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4\"/>
    </mc:Choice>
  </mc:AlternateContent>
  <xr:revisionPtr revIDLastSave="0" documentId="13_ncr:1_{43B27A2B-FF2B-4DF8-80F4-B1A440445D5B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4" i="1" l="1"/>
  <c r="G327" i="11"/>
  <c r="B30" i="10" l="1"/>
  <c r="E330" i="15" l="1"/>
  <c r="T333" i="17" l="1"/>
  <c r="U333" i="17"/>
  <c r="S333" i="17"/>
  <c r="P333" i="17"/>
  <c r="Q333" i="17"/>
  <c r="O333" i="17"/>
  <c r="L333" i="17"/>
  <c r="M333" i="17"/>
  <c r="K333" i="17"/>
  <c r="Q332" i="5" l="1"/>
  <c r="AO327" i="11" l="1"/>
  <c r="G42" i="12"/>
  <c r="E327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G37" i="2" s="1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202" i="2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F16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43" i="1"/>
  <c r="B312" i="1"/>
  <c r="T210" i="5" l="1"/>
  <c r="T294" i="5"/>
  <c r="T37" i="5"/>
  <c r="T179" i="5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G224" i="2"/>
  <c r="C208" i="2"/>
  <c r="P208" i="3" s="1"/>
  <c r="C208" i="3" s="1"/>
  <c r="G200" i="2"/>
  <c r="G184" i="2"/>
  <c r="G160" i="2"/>
  <c r="B144" i="2"/>
  <c r="G136" i="2"/>
  <c r="C104" i="2"/>
  <c r="G88" i="2"/>
  <c r="B48" i="2"/>
  <c r="C40" i="2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C151" i="2"/>
  <c r="C143" i="2"/>
  <c r="P143" i="3" s="1"/>
  <c r="C143" i="3" s="1"/>
  <c r="C127" i="2"/>
  <c r="G119" i="2"/>
  <c r="C103" i="2"/>
  <c r="G95" i="2"/>
  <c r="C71" i="2"/>
  <c r="C55" i="2"/>
  <c r="G47" i="2"/>
  <c r="F31" i="2"/>
  <c r="S31" i="3" s="1"/>
  <c r="F31" i="3" s="1"/>
  <c r="F7" i="2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G221" i="2"/>
  <c r="G133" i="2"/>
  <c r="T133" i="3" s="1"/>
  <c r="G133" i="3" s="1"/>
  <c r="G125" i="2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G28" i="2"/>
  <c r="B237" i="1"/>
  <c r="E237" i="1"/>
  <c r="G283" i="2"/>
  <c r="G235" i="2"/>
  <c r="G211" i="2"/>
  <c r="G163" i="2"/>
  <c r="G139" i="2"/>
  <c r="F95" i="2"/>
  <c r="C167" i="2"/>
  <c r="P167" i="3" s="1"/>
  <c r="C167" i="3" s="1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5" i="12" s="1"/>
  <c r="B26" i="12" s="1"/>
  <c r="A45" i="10"/>
  <c r="B24" i="12" s="1"/>
  <c r="A44" i="10"/>
  <c r="B23" i="12" s="1"/>
  <c r="A43" i="10"/>
  <c r="B22" i="12" s="1"/>
  <c r="A42" i="10"/>
  <c r="B21" i="12" s="1"/>
  <c r="A41" i="10"/>
  <c r="B20" i="12" s="1"/>
  <c r="A40" i="10"/>
  <c r="B19" i="12" s="1"/>
  <c r="A39" i="10"/>
  <c r="B18" i="12" s="1"/>
  <c r="A38" i="10"/>
  <c r="B17" i="12" s="1"/>
  <c r="A37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55" i="3"/>
  <c r="C55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39" i="3"/>
  <c r="F139" i="3" s="1"/>
  <c r="T167" i="3"/>
  <c r="G16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T139" i="3"/>
  <c r="G139" i="3" s="1"/>
  <c r="P283" i="3"/>
  <c r="C283" i="3" s="1"/>
  <c r="T88" i="3"/>
  <c r="G88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R179" i="3"/>
  <c r="E179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24" i="3"/>
  <c r="G124" i="3" s="1"/>
  <c r="T136" i="3"/>
  <c r="G136" i="3" s="1"/>
  <c r="R156" i="3"/>
  <c r="E156" i="3" s="1"/>
  <c r="T172" i="3"/>
  <c r="G172" i="3" s="1"/>
  <c r="T192" i="3"/>
  <c r="G19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R65" i="3"/>
  <c r="E65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232" i="3"/>
  <c r="G232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P209" i="3"/>
  <c r="C20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53" i="3"/>
  <c r="G253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P234" i="3"/>
  <c r="C234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T232" i="5" s="1"/>
  <c r="E11" i="5"/>
  <c r="T11" i="5" s="1"/>
  <c r="E275" i="5"/>
  <c r="T275" i="5" s="1"/>
  <c r="E86" i="5"/>
  <c r="T86" i="5" s="1"/>
  <c r="E316" i="5"/>
  <c r="T316" i="5" s="1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T306" i="5" s="1"/>
  <c r="E290" i="5"/>
  <c r="T290" i="5" s="1"/>
  <c r="E191" i="5"/>
  <c r="T191" i="5" s="1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T218" i="5" s="1"/>
  <c r="E206" i="5"/>
  <c r="T206" i="5" s="1"/>
  <c r="E78" i="5"/>
  <c r="T78" i="5" s="1"/>
  <c r="E46" i="5"/>
  <c r="T46" i="5" s="1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T185" i="5" s="1"/>
  <c r="E165" i="5"/>
  <c r="T165" i="5" s="1"/>
  <c r="E154" i="5"/>
  <c r="T154" i="5" s="1"/>
  <c r="E142" i="5"/>
  <c r="T142" i="5" s="1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T328" i="5" s="1"/>
  <c r="E320" i="5"/>
  <c r="T320" i="5" s="1"/>
  <c r="D316" i="5"/>
  <c r="E312" i="5"/>
  <c r="T312" i="5" s="1"/>
  <c r="E284" i="5"/>
  <c r="T284" i="5" s="1"/>
  <c r="E276" i="5"/>
  <c r="T276" i="5" s="1"/>
  <c r="E268" i="5"/>
  <c r="T268" i="5" s="1"/>
  <c r="E260" i="5"/>
  <c r="T260" i="5" s="1"/>
  <c r="E252" i="5"/>
  <c r="T252" i="5" s="1"/>
  <c r="E244" i="5"/>
  <c r="T244" i="5" s="1"/>
  <c r="E236" i="5"/>
  <c r="T236" i="5" s="1"/>
  <c r="D232" i="5"/>
  <c r="D212" i="5"/>
  <c r="K212" i="5" s="1"/>
  <c r="E153" i="5"/>
  <c r="T153" i="5" s="1"/>
  <c r="E141" i="5"/>
  <c r="T141" i="5" s="1"/>
  <c r="E126" i="5"/>
  <c r="T126" i="5" s="1"/>
  <c r="E62" i="5"/>
  <c r="T62" i="5" s="1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T327" i="5" s="1"/>
  <c r="D315" i="5"/>
  <c r="D295" i="5"/>
  <c r="E291" i="5"/>
  <c r="T291" i="5" s="1"/>
  <c r="E283" i="5"/>
  <c r="T283" i="5" s="1"/>
  <c r="D275" i="5"/>
  <c r="K275" i="5" s="1"/>
  <c r="D231" i="5"/>
  <c r="E227" i="5"/>
  <c r="T227" i="5" s="1"/>
  <c r="E207" i="5"/>
  <c r="T207" i="5" s="1"/>
  <c r="E195" i="5"/>
  <c r="T195" i="5" s="1"/>
  <c r="D191" i="5"/>
  <c r="E175" i="5"/>
  <c r="T175" i="5" s="1"/>
  <c r="D148" i="5"/>
  <c r="E94" i="5"/>
  <c r="T94" i="5" s="1"/>
  <c r="E61" i="5"/>
  <c r="T61" i="5" s="1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T329" i="5" s="1"/>
  <c r="D329" i="5"/>
  <c r="B329" i="5"/>
  <c r="E325" i="5"/>
  <c r="T325" i="5" s="1"/>
  <c r="D325" i="5"/>
  <c r="B325" i="5"/>
  <c r="E321" i="5"/>
  <c r="T321" i="5" s="1"/>
  <c r="D321" i="5"/>
  <c r="B321" i="5"/>
  <c r="E317" i="5"/>
  <c r="T317" i="5" s="1"/>
  <c r="D317" i="5"/>
  <c r="G317" i="5"/>
  <c r="B317" i="5"/>
  <c r="E313" i="5"/>
  <c r="T313" i="5" s="1"/>
  <c r="D313" i="5"/>
  <c r="B313" i="5"/>
  <c r="E309" i="5"/>
  <c r="T309" i="5" s="1"/>
  <c r="D309" i="5"/>
  <c r="B309" i="5"/>
  <c r="E305" i="5"/>
  <c r="T305" i="5" s="1"/>
  <c r="D305" i="5"/>
  <c r="B305" i="5"/>
  <c r="E301" i="5"/>
  <c r="T301" i="5" s="1"/>
  <c r="G301" i="5"/>
  <c r="D301" i="5"/>
  <c r="E297" i="5"/>
  <c r="T297" i="5" s="1"/>
  <c r="D297" i="5"/>
  <c r="B297" i="5"/>
  <c r="E293" i="5"/>
  <c r="T293" i="5" s="1"/>
  <c r="D293" i="5"/>
  <c r="B293" i="5"/>
  <c r="E289" i="5"/>
  <c r="T289" i="5" s="1"/>
  <c r="D289" i="5"/>
  <c r="B289" i="5"/>
  <c r="D285" i="5"/>
  <c r="E285" i="5"/>
  <c r="T285" i="5" s="1"/>
  <c r="G285" i="5"/>
  <c r="B285" i="5"/>
  <c r="E281" i="5"/>
  <c r="T281" i="5" s="1"/>
  <c r="D281" i="5"/>
  <c r="B281" i="5"/>
  <c r="E277" i="5"/>
  <c r="T277" i="5" s="1"/>
  <c r="B277" i="5"/>
  <c r="D277" i="5"/>
  <c r="D273" i="5"/>
  <c r="B273" i="5"/>
  <c r="E273" i="5"/>
  <c r="T273" i="5" s="1"/>
  <c r="E269" i="5"/>
  <c r="T269" i="5" s="1"/>
  <c r="G269" i="5"/>
  <c r="E265" i="5"/>
  <c r="T265" i="5" s="1"/>
  <c r="D265" i="5"/>
  <c r="B265" i="5"/>
  <c r="E261" i="5"/>
  <c r="T261" i="5" s="1"/>
  <c r="B261" i="5"/>
  <c r="D261" i="5"/>
  <c r="E257" i="5"/>
  <c r="T257" i="5" s="1"/>
  <c r="D257" i="5"/>
  <c r="B257" i="5"/>
  <c r="G253" i="5"/>
  <c r="E253" i="5"/>
  <c r="T253" i="5" s="1"/>
  <c r="B253" i="5"/>
  <c r="D253" i="5"/>
  <c r="E249" i="5"/>
  <c r="T249" i="5" s="1"/>
  <c r="D249" i="5"/>
  <c r="B249" i="5"/>
  <c r="E245" i="5"/>
  <c r="T245" i="5" s="1"/>
  <c r="B245" i="5"/>
  <c r="D245" i="5"/>
  <c r="E241" i="5"/>
  <c r="T241" i="5" s="1"/>
  <c r="D241" i="5"/>
  <c r="E237" i="5"/>
  <c r="T237" i="5" s="1"/>
  <c r="G237" i="5"/>
  <c r="B237" i="5"/>
  <c r="D237" i="5"/>
  <c r="E233" i="5"/>
  <c r="T233" i="5" s="1"/>
  <c r="D233" i="5"/>
  <c r="B233" i="5"/>
  <c r="E229" i="5"/>
  <c r="T229" i="5" s="1"/>
  <c r="B229" i="5"/>
  <c r="D229" i="5"/>
  <c r="E225" i="5"/>
  <c r="T225" i="5" s="1"/>
  <c r="D225" i="5"/>
  <c r="F225" i="5"/>
  <c r="B225" i="5"/>
  <c r="D221" i="5"/>
  <c r="E221" i="5"/>
  <c r="T221" i="5" s="1"/>
  <c r="G221" i="5"/>
  <c r="E217" i="5"/>
  <c r="T217" i="5" s="1"/>
  <c r="D217" i="5"/>
  <c r="B217" i="5"/>
  <c r="E213" i="5"/>
  <c r="T213" i="5" s="1"/>
  <c r="D213" i="5"/>
  <c r="B213" i="5"/>
  <c r="E209" i="5"/>
  <c r="T209" i="5" s="1"/>
  <c r="D209" i="5"/>
  <c r="B209" i="5"/>
  <c r="E205" i="5"/>
  <c r="T205" i="5" s="1"/>
  <c r="D205" i="5"/>
  <c r="G205" i="5"/>
  <c r="B205" i="5"/>
  <c r="D201" i="5"/>
  <c r="E201" i="5"/>
  <c r="T201" i="5" s="1"/>
  <c r="E197" i="5"/>
  <c r="T197" i="5" s="1"/>
  <c r="B197" i="5"/>
  <c r="E193" i="5"/>
  <c r="T193" i="5" s="1"/>
  <c r="D193" i="5"/>
  <c r="B193" i="5"/>
  <c r="E189" i="5"/>
  <c r="T189" i="5" s="1"/>
  <c r="D189" i="5"/>
  <c r="G189" i="5"/>
  <c r="B189" i="5"/>
  <c r="D107" i="5"/>
  <c r="E107" i="5"/>
  <c r="T107" i="5" s="1"/>
  <c r="B107" i="5"/>
  <c r="D100" i="5"/>
  <c r="E100" i="5"/>
  <c r="T100" i="5" s="1"/>
  <c r="B100" i="5"/>
  <c r="E96" i="5"/>
  <c r="T96" i="5" s="1"/>
  <c r="D96" i="5"/>
  <c r="K96" i="5" s="1"/>
  <c r="B96" i="5"/>
  <c r="D92" i="5"/>
  <c r="K92" i="5" s="1"/>
  <c r="E92" i="5"/>
  <c r="T92" i="5" s="1"/>
  <c r="B92" i="5"/>
  <c r="E88" i="5"/>
  <c r="T88" i="5" s="1"/>
  <c r="D88" i="5"/>
  <c r="K88" i="5" s="1"/>
  <c r="B88" i="5"/>
  <c r="D85" i="5"/>
  <c r="B85" i="5"/>
  <c r="E85" i="5"/>
  <c r="T85" i="5" s="1"/>
  <c r="D63" i="5"/>
  <c r="E63" i="5"/>
  <c r="T63" i="5" s="1"/>
  <c r="B63" i="5"/>
  <c r="E56" i="5"/>
  <c r="T56" i="5" s="1"/>
  <c r="D56" i="5"/>
  <c r="B56" i="5"/>
  <c r="E53" i="5"/>
  <c r="T53" i="5" s="1"/>
  <c r="D53" i="5"/>
  <c r="B53" i="5"/>
  <c r="E31" i="5"/>
  <c r="T31" i="5" s="1"/>
  <c r="D31" i="5"/>
  <c r="B31" i="5"/>
  <c r="D24" i="5"/>
  <c r="B24" i="5"/>
  <c r="E21" i="5"/>
  <c r="T21" i="5" s="1"/>
  <c r="D21" i="5"/>
  <c r="B21" i="5"/>
  <c r="D269" i="5"/>
  <c r="B310" i="1"/>
  <c r="G310" i="1"/>
  <c r="G273" i="1"/>
  <c r="B273" i="1"/>
  <c r="B240" i="2"/>
  <c r="E122" i="5"/>
  <c r="T122" i="5" s="1"/>
  <c r="G122" i="5"/>
  <c r="D122" i="5"/>
  <c r="E118" i="5"/>
  <c r="T118" i="5" s="1"/>
  <c r="D118" i="5"/>
  <c r="E114" i="5"/>
  <c r="T114" i="5" s="1"/>
  <c r="D114" i="5"/>
  <c r="B114" i="5"/>
  <c r="E110" i="5"/>
  <c r="T110" i="5" s="1"/>
  <c r="D110" i="5"/>
  <c r="B110" i="5"/>
  <c r="E66" i="5"/>
  <c r="T66" i="5" s="1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T171" i="5" s="1"/>
  <c r="E167" i="5"/>
  <c r="T167" i="5" s="1"/>
  <c r="D167" i="5"/>
  <c r="E163" i="5"/>
  <c r="T163" i="5" s="1"/>
  <c r="D163" i="5"/>
  <c r="B163" i="5"/>
  <c r="E159" i="5"/>
  <c r="T159" i="5" s="1"/>
  <c r="D159" i="5"/>
  <c r="B159" i="5"/>
  <c r="E152" i="5"/>
  <c r="T152" i="5" s="1"/>
  <c r="D152" i="5"/>
  <c r="B152" i="5"/>
  <c r="E144" i="5"/>
  <c r="T144" i="5" s="1"/>
  <c r="D144" i="5"/>
  <c r="B144" i="5"/>
  <c r="D140" i="5"/>
  <c r="E140" i="5"/>
  <c r="T140" i="5" s="1"/>
  <c r="B140" i="5"/>
  <c r="E137" i="5"/>
  <c r="T137" i="5" s="1"/>
  <c r="D137" i="5"/>
  <c r="E133" i="5"/>
  <c r="T133" i="5" s="1"/>
  <c r="D133" i="5"/>
  <c r="E129" i="5"/>
  <c r="T129" i="5" s="1"/>
  <c r="D129" i="5"/>
  <c r="B129" i="5"/>
  <c r="E125" i="5"/>
  <c r="T125" i="5" s="1"/>
  <c r="G125" i="5"/>
  <c r="B125" i="5"/>
  <c r="D125" i="5"/>
  <c r="E79" i="5"/>
  <c r="T79" i="5" s="1"/>
  <c r="D79" i="5"/>
  <c r="B79" i="5"/>
  <c r="E72" i="5"/>
  <c r="T72" i="5" s="1"/>
  <c r="D72" i="5"/>
  <c r="B72" i="5"/>
  <c r="E69" i="5"/>
  <c r="T69" i="5" s="1"/>
  <c r="D69" i="5"/>
  <c r="D47" i="5"/>
  <c r="E47" i="5"/>
  <c r="T47" i="5" s="1"/>
  <c r="B47" i="5"/>
  <c r="D40" i="5"/>
  <c r="E40" i="5"/>
  <c r="T40" i="5" s="1"/>
  <c r="B40" i="5"/>
  <c r="E37" i="5"/>
  <c r="D37" i="5"/>
  <c r="E15" i="5"/>
  <c r="T15" i="5" s="1"/>
  <c r="D15" i="5"/>
  <c r="B15" i="5"/>
  <c r="D8" i="5"/>
  <c r="B8" i="5"/>
  <c r="B37" i="5"/>
  <c r="G230" i="1"/>
  <c r="B230" i="1"/>
  <c r="B327" i="2"/>
  <c r="B292" i="2"/>
  <c r="E186" i="5"/>
  <c r="T186" i="5" s="1"/>
  <c r="G186" i="5"/>
  <c r="B186" i="5"/>
  <c r="D186" i="5"/>
  <c r="E182" i="5"/>
  <c r="T182" i="5" s="1"/>
  <c r="D182" i="5"/>
  <c r="E178" i="5"/>
  <c r="T178" i="5" s="1"/>
  <c r="D178" i="5"/>
  <c r="E174" i="5"/>
  <c r="T174" i="5" s="1"/>
  <c r="D174" i="5"/>
  <c r="E82" i="5"/>
  <c r="T82" i="5" s="1"/>
  <c r="D82" i="5"/>
  <c r="B82" i="5"/>
  <c r="E50" i="5"/>
  <c r="T50" i="5" s="1"/>
  <c r="D50" i="5"/>
  <c r="B50" i="5"/>
  <c r="D18" i="5"/>
  <c r="B18" i="5"/>
  <c r="E148" i="5"/>
  <c r="T148" i="5" s="1"/>
  <c r="F130" i="1"/>
  <c r="G130" i="1"/>
  <c r="E324" i="5"/>
  <c r="T324" i="5" s="1"/>
  <c r="D324" i="5"/>
  <c r="K324" i="5" s="1"/>
  <c r="E308" i="5"/>
  <c r="T308" i="5" s="1"/>
  <c r="D308" i="5"/>
  <c r="D304" i="5"/>
  <c r="E304" i="5"/>
  <c r="T304" i="5" s="1"/>
  <c r="E300" i="5"/>
  <c r="T300" i="5" s="1"/>
  <c r="D300" i="5"/>
  <c r="E296" i="5"/>
  <c r="T296" i="5" s="1"/>
  <c r="D296" i="5"/>
  <c r="E292" i="5"/>
  <c r="T292" i="5" s="1"/>
  <c r="D292" i="5"/>
  <c r="E288" i="5"/>
  <c r="T288" i="5" s="1"/>
  <c r="D288" i="5"/>
  <c r="E280" i="5"/>
  <c r="T280" i="5" s="1"/>
  <c r="D280" i="5"/>
  <c r="E272" i="5"/>
  <c r="T272" i="5" s="1"/>
  <c r="D272" i="5"/>
  <c r="D264" i="5"/>
  <c r="K264" i="5" s="1"/>
  <c r="E264" i="5"/>
  <c r="T264" i="5" s="1"/>
  <c r="E256" i="5"/>
  <c r="T256" i="5" s="1"/>
  <c r="D256" i="5"/>
  <c r="E248" i="5"/>
  <c r="T248" i="5" s="1"/>
  <c r="D248" i="5"/>
  <c r="E240" i="5"/>
  <c r="T240" i="5" s="1"/>
  <c r="D240" i="5"/>
  <c r="E228" i="5"/>
  <c r="T228" i="5" s="1"/>
  <c r="D228" i="5"/>
  <c r="E224" i="5"/>
  <c r="T224" i="5" s="1"/>
  <c r="D224" i="5"/>
  <c r="D220" i="5"/>
  <c r="K220" i="5" s="1"/>
  <c r="E220" i="5"/>
  <c r="T220" i="5" s="1"/>
  <c r="D216" i="5"/>
  <c r="E216" i="5"/>
  <c r="T216" i="5" s="1"/>
  <c r="E208" i="5"/>
  <c r="T208" i="5" s="1"/>
  <c r="D208" i="5"/>
  <c r="E204" i="5"/>
  <c r="T204" i="5" s="1"/>
  <c r="D204" i="5"/>
  <c r="D200" i="5"/>
  <c r="E200" i="5"/>
  <c r="T200" i="5" s="1"/>
  <c r="E196" i="5"/>
  <c r="T196" i="5" s="1"/>
  <c r="D196" i="5"/>
  <c r="K196" i="5" s="1"/>
  <c r="E192" i="5"/>
  <c r="T192" i="5" s="1"/>
  <c r="D192" i="5"/>
  <c r="K192" i="5" s="1"/>
  <c r="E188" i="5"/>
  <c r="T188" i="5" s="1"/>
  <c r="D188" i="5"/>
  <c r="E181" i="5"/>
  <c r="T181" i="5" s="1"/>
  <c r="D181" i="5"/>
  <c r="E177" i="5"/>
  <c r="T177" i="5" s="1"/>
  <c r="D177" i="5"/>
  <c r="E173" i="5"/>
  <c r="T173" i="5" s="1"/>
  <c r="D173" i="5"/>
  <c r="G173" i="5"/>
  <c r="D166" i="5"/>
  <c r="E166" i="5"/>
  <c r="T166" i="5" s="1"/>
  <c r="E162" i="5"/>
  <c r="T162" i="5" s="1"/>
  <c r="D162" i="5"/>
  <c r="E158" i="5"/>
  <c r="T158" i="5" s="1"/>
  <c r="D158" i="5"/>
  <c r="D155" i="5"/>
  <c r="E155" i="5"/>
  <c r="T155" i="5" s="1"/>
  <c r="E151" i="5"/>
  <c r="T151" i="5" s="1"/>
  <c r="D151" i="5"/>
  <c r="E143" i="5"/>
  <c r="T143" i="5" s="1"/>
  <c r="D143" i="5"/>
  <c r="E136" i="5"/>
  <c r="T136" i="5" s="1"/>
  <c r="D136" i="5"/>
  <c r="D132" i="5"/>
  <c r="E132" i="5"/>
  <c r="T132" i="5" s="1"/>
  <c r="E128" i="5"/>
  <c r="T128" i="5" s="1"/>
  <c r="D128" i="5"/>
  <c r="D124" i="5"/>
  <c r="E124" i="5"/>
  <c r="T124" i="5" s="1"/>
  <c r="E121" i="5"/>
  <c r="T121" i="5" s="1"/>
  <c r="D121" i="5"/>
  <c r="E117" i="5"/>
  <c r="T117" i="5" s="1"/>
  <c r="D117" i="5"/>
  <c r="E113" i="5"/>
  <c r="T113" i="5" s="1"/>
  <c r="D113" i="5"/>
  <c r="E109" i="5"/>
  <c r="T109" i="5" s="1"/>
  <c r="G109" i="5"/>
  <c r="E106" i="5"/>
  <c r="T106" i="5" s="1"/>
  <c r="D106" i="5"/>
  <c r="E103" i="5"/>
  <c r="T103" i="5" s="1"/>
  <c r="D103" i="5"/>
  <c r="E99" i="5"/>
  <c r="T99" i="5" s="1"/>
  <c r="D99" i="5"/>
  <c r="C99" i="5"/>
  <c r="E95" i="5"/>
  <c r="T95" i="5" s="1"/>
  <c r="D95" i="5"/>
  <c r="E91" i="5"/>
  <c r="T91" i="5" s="1"/>
  <c r="D91" i="5"/>
  <c r="E84" i="5"/>
  <c r="T84" i="5" s="1"/>
  <c r="D84" i="5"/>
  <c r="E81" i="5"/>
  <c r="T81" i="5" s="1"/>
  <c r="D81" i="5"/>
  <c r="E75" i="5"/>
  <c r="T75" i="5" s="1"/>
  <c r="D75" i="5"/>
  <c r="E68" i="5"/>
  <c r="T68" i="5" s="1"/>
  <c r="D68" i="5"/>
  <c r="E65" i="5"/>
  <c r="T65" i="5" s="1"/>
  <c r="D65" i="5"/>
  <c r="D59" i="5"/>
  <c r="E59" i="5"/>
  <c r="T59" i="5" s="1"/>
  <c r="E52" i="5"/>
  <c r="T52" i="5" s="1"/>
  <c r="D52" i="5"/>
  <c r="E49" i="5"/>
  <c r="T49" i="5" s="1"/>
  <c r="D49" i="5"/>
  <c r="D43" i="5"/>
  <c r="E43" i="5"/>
  <c r="T43" i="5" s="1"/>
  <c r="E33" i="5"/>
  <c r="T33" i="5" s="1"/>
  <c r="D33" i="5"/>
  <c r="D27" i="5"/>
  <c r="E27" i="5"/>
  <c r="T27" i="5" s="1"/>
  <c r="D17" i="5"/>
  <c r="E17" i="5"/>
  <c r="T17" i="5" s="1"/>
  <c r="I306" i="3"/>
  <c r="B306" i="3"/>
  <c r="B250" i="3"/>
  <c r="I250" i="3"/>
  <c r="I162" i="3"/>
  <c r="K162" i="3" s="1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T315" i="5" s="1"/>
  <c r="E231" i="5"/>
  <c r="T231" i="5" s="1"/>
  <c r="E190" i="5"/>
  <c r="T190" i="5" s="1"/>
  <c r="E147" i="5"/>
  <c r="T147" i="5" s="1"/>
  <c r="E9" i="5"/>
  <c r="T9" i="5" s="1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T331" i="5" s="1"/>
  <c r="D331" i="5"/>
  <c r="E323" i="5"/>
  <c r="T323" i="5" s="1"/>
  <c r="D323" i="5"/>
  <c r="E319" i="5"/>
  <c r="T319" i="5" s="1"/>
  <c r="D319" i="5"/>
  <c r="E311" i="5"/>
  <c r="T311" i="5" s="1"/>
  <c r="D311" i="5"/>
  <c r="E307" i="5"/>
  <c r="T307" i="5" s="1"/>
  <c r="D307" i="5"/>
  <c r="E303" i="5"/>
  <c r="T303" i="5" s="1"/>
  <c r="D303" i="5"/>
  <c r="E299" i="5"/>
  <c r="T299" i="5" s="1"/>
  <c r="D299" i="5"/>
  <c r="E287" i="5"/>
  <c r="T287" i="5" s="1"/>
  <c r="D287" i="5"/>
  <c r="E279" i="5"/>
  <c r="T279" i="5" s="1"/>
  <c r="D279" i="5"/>
  <c r="E271" i="5"/>
  <c r="T271" i="5" s="1"/>
  <c r="D271" i="5"/>
  <c r="K271" i="5" s="1"/>
  <c r="E267" i="5"/>
  <c r="T267" i="5" s="1"/>
  <c r="D267" i="5"/>
  <c r="D263" i="5"/>
  <c r="E263" i="5"/>
  <c r="T263" i="5" s="1"/>
  <c r="E259" i="5"/>
  <c r="T259" i="5" s="1"/>
  <c r="D259" i="5"/>
  <c r="E255" i="5"/>
  <c r="T255" i="5" s="1"/>
  <c r="D255" i="5"/>
  <c r="E251" i="5"/>
  <c r="T251" i="5" s="1"/>
  <c r="D251" i="5"/>
  <c r="E247" i="5"/>
  <c r="T247" i="5" s="1"/>
  <c r="D247" i="5"/>
  <c r="D243" i="5"/>
  <c r="E243" i="5"/>
  <c r="T243" i="5" s="1"/>
  <c r="E239" i="5"/>
  <c r="T239" i="5" s="1"/>
  <c r="D239" i="5"/>
  <c r="E235" i="5"/>
  <c r="T235" i="5" s="1"/>
  <c r="D235" i="5"/>
  <c r="E223" i="5"/>
  <c r="T223" i="5" s="1"/>
  <c r="D223" i="5"/>
  <c r="E219" i="5"/>
  <c r="T219" i="5" s="1"/>
  <c r="D219" i="5"/>
  <c r="E215" i="5"/>
  <c r="T215" i="5" s="1"/>
  <c r="D215" i="5"/>
  <c r="E211" i="5"/>
  <c r="T211" i="5" s="1"/>
  <c r="D211" i="5"/>
  <c r="E203" i="5"/>
  <c r="T203" i="5" s="1"/>
  <c r="D203" i="5"/>
  <c r="E199" i="5"/>
  <c r="T199" i="5" s="1"/>
  <c r="D199" i="5"/>
  <c r="E184" i="5"/>
  <c r="T184" i="5" s="1"/>
  <c r="D184" i="5"/>
  <c r="E180" i="5"/>
  <c r="T180" i="5" s="1"/>
  <c r="D180" i="5"/>
  <c r="D176" i="5"/>
  <c r="E176" i="5"/>
  <c r="T176" i="5" s="1"/>
  <c r="E172" i="5"/>
  <c r="T172" i="5" s="1"/>
  <c r="D172" i="5"/>
  <c r="E169" i="5"/>
  <c r="T169" i="5" s="1"/>
  <c r="D169" i="5"/>
  <c r="E161" i="5"/>
  <c r="T161" i="5" s="1"/>
  <c r="D161" i="5"/>
  <c r="E157" i="5"/>
  <c r="T157" i="5" s="1"/>
  <c r="G157" i="5"/>
  <c r="D157" i="5"/>
  <c r="E150" i="5"/>
  <c r="T150" i="5" s="1"/>
  <c r="D150" i="5"/>
  <c r="E146" i="5"/>
  <c r="T146" i="5" s="1"/>
  <c r="D146" i="5"/>
  <c r="D139" i="5"/>
  <c r="E139" i="5"/>
  <c r="T139" i="5" s="1"/>
  <c r="E135" i="5"/>
  <c r="T135" i="5" s="1"/>
  <c r="D135" i="5"/>
  <c r="D131" i="5"/>
  <c r="E131" i="5"/>
  <c r="T131" i="5" s="1"/>
  <c r="E127" i="5"/>
  <c r="T127" i="5" s="1"/>
  <c r="D127" i="5"/>
  <c r="E120" i="5"/>
  <c r="T120" i="5" s="1"/>
  <c r="D120" i="5"/>
  <c r="E112" i="5"/>
  <c r="T112" i="5" s="1"/>
  <c r="D112" i="5"/>
  <c r="K112" i="5" s="1"/>
  <c r="D108" i="5"/>
  <c r="E108" i="5"/>
  <c r="T108" i="5" s="1"/>
  <c r="E105" i="5"/>
  <c r="T105" i="5" s="1"/>
  <c r="D105" i="5"/>
  <c r="E102" i="5"/>
  <c r="T102" i="5" s="1"/>
  <c r="D102" i="5"/>
  <c r="E98" i="5"/>
  <c r="T98" i="5" s="1"/>
  <c r="D98" i="5"/>
  <c r="E90" i="5"/>
  <c r="T90" i="5" s="1"/>
  <c r="D90" i="5"/>
  <c r="G90" i="5"/>
  <c r="E87" i="5"/>
  <c r="T87" i="5" s="1"/>
  <c r="D87" i="5"/>
  <c r="E80" i="5"/>
  <c r="T80" i="5" s="1"/>
  <c r="D80" i="5"/>
  <c r="K80" i="5" s="1"/>
  <c r="E77" i="5"/>
  <c r="T77" i="5" s="1"/>
  <c r="G77" i="5"/>
  <c r="E74" i="5"/>
  <c r="T74" i="5" s="1"/>
  <c r="D74" i="5"/>
  <c r="E71" i="5"/>
  <c r="T71" i="5" s="1"/>
  <c r="D71" i="5"/>
  <c r="E64" i="5"/>
  <c r="T64" i="5" s="1"/>
  <c r="D64" i="5"/>
  <c r="E58" i="5"/>
  <c r="T58" i="5" s="1"/>
  <c r="D58" i="5"/>
  <c r="E48" i="5"/>
  <c r="T48" i="5" s="1"/>
  <c r="D48" i="5"/>
  <c r="E45" i="5"/>
  <c r="T45" i="5" s="1"/>
  <c r="G45" i="5"/>
  <c r="E42" i="5"/>
  <c r="T42" i="5" s="1"/>
  <c r="D42" i="5"/>
  <c r="D39" i="5"/>
  <c r="E39" i="5"/>
  <c r="T39" i="5" s="1"/>
  <c r="E29" i="5"/>
  <c r="T29" i="5" s="1"/>
  <c r="G29" i="5"/>
  <c r="D26" i="5"/>
  <c r="K26" i="5" s="1"/>
  <c r="G26" i="5"/>
  <c r="E23" i="5"/>
  <c r="T23" i="5" s="1"/>
  <c r="D23" i="5"/>
  <c r="E13" i="5"/>
  <c r="T13" i="5" s="1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K93" i="3" s="1"/>
  <c r="G61" i="5"/>
  <c r="D306" i="5"/>
  <c r="D291" i="5"/>
  <c r="D207" i="5"/>
  <c r="D165" i="5"/>
  <c r="D142" i="5"/>
  <c r="D78" i="5"/>
  <c r="D46" i="5"/>
  <c r="E295" i="5"/>
  <c r="T295" i="5" s="1"/>
  <c r="E212" i="5"/>
  <c r="T212" i="5" s="1"/>
  <c r="E116" i="5"/>
  <c r="T116" i="5" s="1"/>
  <c r="E55" i="5"/>
  <c r="T55" i="5" s="1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T330" i="5" s="1"/>
  <c r="G330" i="5"/>
  <c r="D330" i="5"/>
  <c r="D326" i="5"/>
  <c r="E326" i="5"/>
  <c r="T326" i="5" s="1"/>
  <c r="E322" i="5"/>
  <c r="T322" i="5" s="1"/>
  <c r="D322" i="5"/>
  <c r="E318" i="5"/>
  <c r="T318" i="5" s="1"/>
  <c r="D318" i="5"/>
  <c r="E314" i="5"/>
  <c r="T314" i="5" s="1"/>
  <c r="D314" i="5"/>
  <c r="G314" i="5"/>
  <c r="E310" i="5"/>
  <c r="T310" i="5" s="1"/>
  <c r="D310" i="5"/>
  <c r="E302" i="5"/>
  <c r="T302" i="5" s="1"/>
  <c r="D302" i="5"/>
  <c r="E298" i="5"/>
  <c r="T298" i="5" s="1"/>
  <c r="G298" i="5"/>
  <c r="E294" i="5"/>
  <c r="D294" i="5"/>
  <c r="E286" i="5"/>
  <c r="T286" i="5" s="1"/>
  <c r="D286" i="5"/>
  <c r="K286" i="5" s="1"/>
  <c r="E282" i="5"/>
  <c r="T282" i="5" s="1"/>
  <c r="D282" i="5"/>
  <c r="E278" i="5"/>
  <c r="T278" i="5" s="1"/>
  <c r="D278" i="5"/>
  <c r="E274" i="5"/>
  <c r="T274" i="5" s="1"/>
  <c r="D274" i="5"/>
  <c r="E270" i="5"/>
  <c r="T270" i="5" s="1"/>
  <c r="D270" i="5"/>
  <c r="E266" i="5"/>
  <c r="T266" i="5" s="1"/>
  <c r="D266" i="5"/>
  <c r="G266" i="5"/>
  <c r="E262" i="5"/>
  <c r="T262" i="5" s="1"/>
  <c r="D262" i="5"/>
  <c r="E258" i="5"/>
  <c r="T258" i="5" s="1"/>
  <c r="D258" i="5"/>
  <c r="E254" i="5"/>
  <c r="T254" i="5" s="1"/>
  <c r="D254" i="5"/>
  <c r="E250" i="5"/>
  <c r="T250" i="5" s="1"/>
  <c r="D250" i="5"/>
  <c r="G250" i="5"/>
  <c r="E246" i="5"/>
  <c r="T246" i="5" s="1"/>
  <c r="D246" i="5"/>
  <c r="E242" i="5"/>
  <c r="T242" i="5" s="1"/>
  <c r="D242" i="5"/>
  <c r="E238" i="5"/>
  <c r="T238" i="5" s="1"/>
  <c r="D238" i="5"/>
  <c r="E234" i="5"/>
  <c r="T234" i="5" s="1"/>
  <c r="D234" i="5"/>
  <c r="G234" i="5"/>
  <c r="E230" i="5"/>
  <c r="T230" i="5" s="1"/>
  <c r="D230" i="5"/>
  <c r="E226" i="5"/>
  <c r="T226" i="5" s="1"/>
  <c r="D226" i="5"/>
  <c r="E222" i="5"/>
  <c r="T222" i="5" s="1"/>
  <c r="D222" i="5"/>
  <c r="E214" i="5"/>
  <c r="T214" i="5" s="1"/>
  <c r="D214" i="5"/>
  <c r="E202" i="5"/>
  <c r="T202" i="5" s="1"/>
  <c r="G202" i="5"/>
  <c r="D202" i="5"/>
  <c r="E198" i="5"/>
  <c r="T198" i="5" s="1"/>
  <c r="D198" i="5"/>
  <c r="E194" i="5"/>
  <c r="T194" i="5" s="1"/>
  <c r="D194" i="5"/>
  <c r="E187" i="5"/>
  <c r="T187" i="5" s="1"/>
  <c r="D187" i="5"/>
  <c r="E183" i="5"/>
  <c r="T183" i="5" s="1"/>
  <c r="D183" i="5"/>
  <c r="E179" i="5"/>
  <c r="D179" i="5"/>
  <c r="E168" i="5"/>
  <c r="T168" i="5" s="1"/>
  <c r="D168" i="5"/>
  <c r="D164" i="5"/>
  <c r="E164" i="5"/>
  <c r="T164" i="5" s="1"/>
  <c r="D160" i="5"/>
  <c r="E160" i="5"/>
  <c r="T160" i="5" s="1"/>
  <c r="E156" i="5"/>
  <c r="T156" i="5" s="1"/>
  <c r="D156" i="5"/>
  <c r="E149" i="5"/>
  <c r="T149" i="5" s="1"/>
  <c r="D149" i="5"/>
  <c r="E145" i="5"/>
  <c r="T145" i="5" s="1"/>
  <c r="D145" i="5"/>
  <c r="E138" i="5"/>
  <c r="T138" i="5" s="1"/>
  <c r="D138" i="5"/>
  <c r="E134" i="5"/>
  <c r="T134" i="5" s="1"/>
  <c r="D134" i="5"/>
  <c r="E130" i="5"/>
  <c r="T130" i="5" s="1"/>
  <c r="D130" i="5"/>
  <c r="D123" i="5"/>
  <c r="E123" i="5"/>
  <c r="T123" i="5" s="1"/>
  <c r="E119" i="5"/>
  <c r="T119" i="5" s="1"/>
  <c r="D119" i="5"/>
  <c r="E111" i="5"/>
  <c r="T111" i="5" s="1"/>
  <c r="D111" i="5"/>
  <c r="E104" i="5"/>
  <c r="T104" i="5" s="1"/>
  <c r="D104" i="5"/>
  <c r="D101" i="5"/>
  <c r="E101" i="5"/>
  <c r="T101" i="5" s="1"/>
  <c r="E97" i="5"/>
  <c r="T97" i="5" s="1"/>
  <c r="D97" i="5"/>
  <c r="E93" i="5"/>
  <c r="T93" i="5" s="1"/>
  <c r="G93" i="5"/>
  <c r="E89" i="5"/>
  <c r="T89" i="5" s="1"/>
  <c r="D89" i="5"/>
  <c r="E83" i="5"/>
  <c r="T83" i="5" s="1"/>
  <c r="D83" i="5"/>
  <c r="E76" i="5"/>
  <c r="T76" i="5" s="1"/>
  <c r="D76" i="5"/>
  <c r="E73" i="5"/>
  <c r="T73" i="5" s="1"/>
  <c r="D73" i="5"/>
  <c r="E70" i="5"/>
  <c r="T70" i="5" s="1"/>
  <c r="D70" i="5"/>
  <c r="D67" i="5"/>
  <c r="E67" i="5"/>
  <c r="T67" i="5" s="1"/>
  <c r="E60" i="5"/>
  <c r="T60" i="5" s="1"/>
  <c r="D60" i="5"/>
  <c r="E57" i="5"/>
  <c r="T57" i="5" s="1"/>
  <c r="D57" i="5"/>
  <c r="D51" i="5"/>
  <c r="E51" i="5"/>
  <c r="T51" i="5" s="1"/>
  <c r="E44" i="5"/>
  <c r="T44" i="5" s="1"/>
  <c r="D44" i="5"/>
  <c r="K44" i="5" s="1"/>
  <c r="E41" i="5"/>
  <c r="T41" i="5" s="1"/>
  <c r="D41" i="5"/>
  <c r="E38" i="5"/>
  <c r="T38" i="5" s="1"/>
  <c r="D38" i="5"/>
  <c r="D35" i="5"/>
  <c r="E35" i="5"/>
  <c r="T35" i="5" s="1"/>
  <c r="D25" i="5"/>
  <c r="E25" i="5"/>
  <c r="T25" i="5" s="1"/>
  <c r="E19" i="5"/>
  <c r="T19" i="5" s="1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T170" i="5" s="1"/>
  <c r="E115" i="5"/>
  <c r="T115" i="5" s="1"/>
  <c r="E54" i="5"/>
  <c r="T54" i="5" s="1"/>
  <c r="E7" i="5"/>
  <c r="T7" i="5" s="1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K69" i="3" s="1"/>
  <c r="I81" i="3"/>
  <c r="K81" i="3" s="1"/>
  <c r="I96" i="3"/>
  <c r="I112" i="3"/>
  <c r="K112" i="3" s="1"/>
  <c r="I125" i="3"/>
  <c r="K125" i="3" s="1"/>
  <c r="I137" i="3"/>
  <c r="I152" i="3"/>
  <c r="K152" i="3" s="1"/>
  <c r="I157" i="3"/>
  <c r="K157" i="3" s="1"/>
  <c r="I165" i="3"/>
  <c r="K165" i="3" s="1"/>
  <c r="I177" i="3"/>
  <c r="K177" i="3" s="1"/>
  <c r="I185" i="3"/>
  <c r="K185" i="3" s="1"/>
  <c r="I191" i="3"/>
  <c r="K191" i="3" s="1"/>
  <c r="I199" i="3"/>
  <c r="K199" i="3" s="1"/>
  <c r="I204" i="3"/>
  <c r="K204" i="3" s="1"/>
  <c r="I212" i="3"/>
  <c r="K212" i="3" s="1"/>
  <c r="I218" i="3"/>
  <c r="I226" i="3"/>
  <c r="K226" i="3" s="1"/>
  <c r="I233" i="3"/>
  <c r="I241" i="3"/>
  <c r="I247" i="3"/>
  <c r="K247" i="3" s="1"/>
  <c r="I253" i="3"/>
  <c r="K253" i="3" s="1"/>
  <c r="I261" i="3"/>
  <c r="I268" i="3"/>
  <c r="I276" i="3"/>
  <c r="I282" i="3"/>
  <c r="K282" i="3" s="1"/>
  <c r="I290" i="3"/>
  <c r="K290" i="3" s="1"/>
  <c r="I296" i="3"/>
  <c r="I304" i="3"/>
  <c r="K304" i="3" s="1"/>
  <c r="I309" i="3"/>
  <c r="K309" i="3" s="1"/>
  <c r="I316" i="3"/>
  <c r="I324" i="3"/>
  <c r="K324" i="3" s="1"/>
  <c r="I329" i="3"/>
  <c r="I16" i="3"/>
  <c r="K16" i="3" s="1"/>
  <c r="I29" i="3"/>
  <c r="I41" i="3"/>
  <c r="I57" i="3"/>
  <c r="K57" i="3" s="1"/>
  <c r="I72" i="3"/>
  <c r="K72" i="3" s="1"/>
  <c r="I85" i="3"/>
  <c r="I101" i="3"/>
  <c r="K101" i="3" s="1"/>
  <c r="I113" i="3"/>
  <c r="I128" i="3"/>
  <c r="K128" i="3" s="1"/>
  <c r="I144" i="3"/>
  <c r="I153" i="3"/>
  <c r="K153" i="3" s="1"/>
  <c r="I159" i="3"/>
  <c r="K159" i="3" s="1"/>
  <c r="I167" i="3"/>
  <c r="I172" i="3"/>
  <c r="I180" i="3"/>
  <c r="K180" i="3" s="1"/>
  <c r="I186" i="3"/>
  <c r="I193" i="3"/>
  <c r="K193" i="3" s="1"/>
  <c r="I200" i="3"/>
  <c r="I207" i="3"/>
  <c r="K207" i="3" s="1"/>
  <c r="I213" i="3"/>
  <c r="K213" i="3" s="1"/>
  <c r="I221" i="3"/>
  <c r="K221" i="3" s="1"/>
  <c r="I228" i="3"/>
  <c r="I236" i="3"/>
  <c r="K236" i="3" s="1"/>
  <c r="I242" i="3"/>
  <c r="K242" i="3" s="1"/>
  <c r="I248" i="3"/>
  <c r="K248" i="3" s="1"/>
  <c r="I256" i="3"/>
  <c r="K256" i="3" s="1"/>
  <c r="I263" i="3"/>
  <c r="K263" i="3" s="1"/>
  <c r="I271" i="3"/>
  <c r="I277" i="3"/>
  <c r="I285" i="3"/>
  <c r="I292" i="3"/>
  <c r="K292" i="3" s="1"/>
  <c r="I297" i="3"/>
  <c r="I305" i="3"/>
  <c r="K305" i="3" s="1"/>
  <c r="I311" i="3"/>
  <c r="K311" i="3" s="1"/>
  <c r="I319" i="3"/>
  <c r="K319" i="3" s="1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K321" i="3" s="1"/>
  <c r="I308" i="3"/>
  <c r="K308" i="3" s="1"/>
  <c r="I295" i="3"/>
  <c r="I281" i="3"/>
  <c r="I266" i="3"/>
  <c r="K266" i="3" s="1"/>
  <c r="I252" i="3"/>
  <c r="K252" i="3" s="1"/>
  <c r="I239" i="3"/>
  <c r="K239" i="3" s="1"/>
  <c r="I224" i="3"/>
  <c r="K224" i="3" s="1"/>
  <c r="I209" i="3"/>
  <c r="I197" i="3"/>
  <c r="K197" i="3" s="1"/>
  <c r="I184" i="3"/>
  <c r="I170" i="3"/>
  <c r="I156" i="3"/>
  <c r="I136" i="3"/>
  <c r="K136" i="3" s="1"/>
  <c r="I105" i="3"/>
  <c r="K105" i="3" s="1"/>
  <c r="I80" i="3"/>
  <c r="K80" i="3" s="1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K12" i="3" s="1"/>
  <c r="I20" i="3"/>
  <c r="K20" i="3" s="1"/>
  <c r="I28" i="3"/>
  <c r="I36" i="3"/>
  <c r="K36" i="3" s="1"/>
  <c r="I44" i="3"/>
  <c r="K44" i="3" s="1"/>
  <c r="I52" i="3"/>
  <c r="K52" i="3" s="1"/>
  <c r="I60" i="3"/>
  <c r="K60" i="3" s="1"/>
  <c r="I68" i="3"/>
  <c r="K68" i="3" s="1"/>
  <c r="I76" i="3"/>
  <c r="K76" i="3" s="1"/>
  <c r="I84" i="3"/>
  <c r="K84" i="3" s="1"/>
  <c r="I92" i="3"/>
  <c r="K92" i="3" s="1"/>
  <c r="I100" i="3"/>
  <c r="K100" i="3" s="1"/>
  <c r="I108" i="3"/>
  <c r="K108" i="3" s="1"/>
  <c r="I116" i="3"/>
  <c r="K116" i="3" s="1"/>
  <c r="I124" i="3"/>
  <c r="K124" i="3" s="1"/>
  <c r="I132" i="3"/>
  <c r="I140" i="3"/>
  <c r="I148" i="3"/>
  <c r="H275" i="1"/>
  <c r="I327" i="3"/>
  <c r="K327" i="3" s="1"/>
  <c r="I322" i="3"/>
  <c r="I317" i="3"/>
  <c r="K317" i="3" s="1"/>
  <c r="I312" i="3"/>
  <c r="I303" i="3"/>
  <c r="K303" i="3" s="1"/>
  <c r="I298" i="3"/>
  <c r="K298" i="3" s="1"/>
  <c r="I293" i="3"/>
  <c r="K293" i="3" s="1"/>
  <c r="I289" i="3"/>
  <c r="K289" i="3" s="1"/>
  <c r="I284" i="3"/>
  <c r="K284" i="3" s="1"/>
  <c r="I279" i="3"/>
  <c r="K279" i="3" s="1"/>
  <c r="I274" i="3"/>
  <c r="K274" i="3" s="1"/>
  <c r="I269" i="3"/>
  <c r="K269" i="3" s="1"/>
  <c r="I264" i="3"/>
  <c r="I260" i="3"/>
  <c r="K260" i="3" s="1"/>
  <c r="I255" i="3"/>
  <c r="I249" i="3"/>
  <c r="K249" i="3" s="1"/>
  <c r="I244" i="3"/>
  <c r="I240" i="3"/>
  <c r="K240" i="3" s="1"/>
  <c r="I234" i="3"/>
  <c r="K234" i="3" s="1"/>
  <c r="I229" i="3"/>
  <c r="K229" i="3" s="1"/>
  <c r="I225" i="3"/>
  <c r="K225" i="3" s="1"/>
  <c r="I220" i="3"/>
  <c r="I215" i="3"/>
  <c r="K215" i="3" s="1"/>
  <c r="I210" i="3"/>
  <c r="K210" i="3" s="1"/>
  <c r="I205" i="3"/>
  <c r="K205" i="3" s="1"/>
  <c r="I201" i="3"/>
  <c r="K201" i="3" s="1"/>
  <c r="I196" i="3"/>
  <c r="K196" i="3" s="1"/>
  <c r="I192" i="3"/>
  <c r="K192" i="3" s="1"/>
  <c r="I183" i="3"/>
  <c r="I178" i="3"/>
  <c r="K178" i="3" s="1"/>
  <c r="I173" i="3"/>
  <c r="K173" i="3" s="1"/>
  <c r="I169" i="3"/>
  <c r="K169" i="3" s="1"/>
  <c r="I164" i="3"/>
  <c r="K164" i="3" s="1"/>
  <c r="I160" i="3"/>
  <c r="K160" i="3" s="1"/>
  <c r="I151" i="3"/>
  <c r="K151" i="3" s="1"/>
  <c r="I141" i="3"/>
  <c r="K141" i="3" s="1"/>
  <c r="I129" i="3"/>
  <c r="I120" i="3"/>
  <c r="K120" i="3" s="1"/>
  <c r="I109" i="3"/>
  <c r="K109" i="3" s="1"/>
  <c r="I97" i="3"/>
  <c r="K97" i="3" s="1"/>
  <c r="I88" i="3"/>
  <c r="I77" i="3"/>
  <c r="K77" i="3" s="1"/>
  <c r="I65" i="3"/>
  <c r="K65" i="3" s="1"/>
  <c r="I56" i="3"/>
  <c r="K56" i="3" s="1"/>
  <c r="I45" i="3"/>
  <c r="K45" i="3" s="1"/>
  <c r="I33" i="3"/>
  <c r="I24" i="3"/>
  <c r="K24" i="3" s="1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K146" i="3" s="1"/>
  <c r="I143" i="3"/>
  <c r="K143" i="3" s="1"/>
  <c r="I138" i="3"/>
  <c r="I135" i="3"/>
  <c r="K135" i="3" s="1"/>
  <c r="I130" i="3"/>
  <c r="I127" i="3"/>
  <c r="K127" i="3" s="1"/>
  <c r="I122" i="3"/>
  <c r="K122" i="3" s="1"/>
  <c r="I119" i="3"/>
  <c r="K119" i="3" s="1"/>
  <c r="I114" i="3"/>
  <c r="I111" i="3"/>
  <c r="K111" i="3" s="1"/>
  <c r="I106" i="3"/>
  <c r="K106" i="3" s="1"/>
  <c r="I103" i="3"/>
  <c r="I98" i="3"/>
  <c r="K98" i="3" s="1"/>
  <c r="I95" i="3"/>
  <c r="I90" i="3"/>
  <c r="K90" i="3" s="1"/>
  <c r="I87" i="3"/>
  <c r="K87" i="3" s="1"/>
  <c r="I82" i="3"/>
  <c r="K82" i="3" s="1"/>
  <c r="I79" i="3"/>
  <c r="K79" i="3" s="1"/>
  <c r="I74" i="3"/>
  <c r="I71" i="3"/>
  <c r="I66" i="3"/>
  <c r="K66" i="3" s="1"/>
  <c r="I63" i="3"/>
  <c r="I58" i="3"/>
  <c r="K58" i="3" s="1"/>
  <c r="I55" i="3"/>
  <c r="K55" i="3" s="1"/>
  <c r="I50" i="3"/>
  <c r="K50" i="3" s="1"/>
  <c r="I47" i="3"/>
  <c r="I42" i="3"/>
  <c r="K42" i="3" s="1"/>
  <c r="I39" i="3"/>
  <c r="K39" i="3" s="1"/>
  <c r="I34" i="3"/>
  <c r="K34" i="3" s="1"/>
  <c r="I31" i="3"/>
  <c r="I26" i="3"/>
  <c r="K26" i="3" s="1"/>
  <c r="I23" i="3"/>
  <c r="I18" i="3"/>
  <c r="I15" i="3"/>
  <c r="I10" i="3"/>
  <c r="K10" i="3" s="1"/>
  <c r="I7" i="3"/>
  <c r="I6" i="3"/>
  <c r="K6" i="3" s="1"/>
  <c r="I326" i="3"/>
  <c r="K326" i="3" s="1"/>
  <c r="I323" i="3"/>
  <c r="I318" i="3"/>
  <c r="K318" i="3" s="1"/>
  <c r="I315" i="3"/>
  <c r="K315" i="3" s="1"/>
  <c r="I310" i="3"/>
  <c r="K310" i="3" s="1"/>
  <c r="I307" i="3"/>
  <c r="K307" i="3" s="1"/>
  <c r="I302" i="3"/>
  <c r="I299" i="3"/>
  <c r="K299" i="3" s="1"/>
  <c r="I294" i="3"/>
  <c r="K294" i="3" s="1"/>
  <c r="I291" i="3"/>
  <c r="K291" i="3" s="1"/>
  <c r="I286" i="3"/>
  <c r="I283" i="3"/>
  <c r="K283" i="3" s="1"/>
  <c r="I278" i="3"/>
  <c r="K278" i="3" s="1"/>
  <c r="I275" i="3"/>
  <c r="K275" i="3" s="1"/>
  <c r="I270" i="3"/>
  <c r="I267" i="3"/>
  <c r="I262" i="3"/>
  <c r="K262" i="3" s="1"/>
  <c r="I259" i="3"/>
  <c r="K259" i="3" s="1"/>
  <c r="I254" i="3"/>
  <c r="I251" i="3"/>
  <c r="K251" i="3" s="1"/>
  <c r="I246" i="3"/>
  <c r="K246" i="3" s="1"/>
  <c r="I243" i="3"/>
  <c r="K243" i="3" s="1"/>
  <c r="I238" i="3"/>
  <c r="I235" i="3"/>
  <c r="I230" i="3"/>
  <c r="K230" i="3" s="1"/>
  <c r="I227" i="3"/>
  <c r="K227" i="3" s="1"/>
  <c r="I222" i="3"/>
  <c r="I219" i="3"/>
  <c r="K219" i="3" s="1"/>
  <c r="I214" i="3"/>
  <c r="I211" i="3"/>
  <c r="K211" i="3" s="1"/>
  <c r="I206" i="3"/>
  <c r="K206" i="3" s="1"/>
  <c r="I203" i="3"/>
  <c r="I198" i="3"/>
  <c r="K198" i="3" s="1"/>
  <c r="I195" i="3"/>
  <c r="I190" i="3"/>
  <c r="I187" i="3"/>
  <c r="I182" i="3"/>
  <c r="I179" i="3"/>
  <c r="K179" i="3" s="1"/>
  <c r="I174" i="3"/>
  <c r="K174" i="3" s="1"/>
  <c r="I171" i="3"/>
  <c r="K171" i="3" s="1"/>
  <c r="I166" i="3"/>
  <c r="K166" i="3" s="1"/>
  <c r="I163" i="3"/>
  <c r="K163" i="3" s="1"/>
  <c r="I158" i="3"/>
  <c r="K158" i="3" s="1"/>
  <c r="I155" i="3"/>
  <c r="K155" i="3" s="1"/>
  <c r="I150" i="3"/>
  <c r="K150" i="3" s="1"/>
  <c r="I147" i="3"/>
  <c r="K147" i="3" s="1"/>
  <c r="I142" i="3"/>
  <c r="K142" i="3" s="1"/>
  <c r="I139" i="3"/>
  <c r="I134" i="3"/>
  <c r="K134" i="3" s="1"/>
  <c r="I131" i="3"/>
  <c r="I126" i="3"/>
  <c r="K126" i="3" s="1"/>
  <c r="I123" i="3"/>
  <c r="I118" i="3"/>
  <c r="I115" i="3"/>
  <c r="K115" i="3" s="1"/>
  <c r="I110" i="3"/>
  <c r="K110" i="3" s="1"/>
  <c r="I107" i="3"/>
  <c r="I102" i="3"/>
  <c r="K102" i="3" s="1"/>
  <c r="I99" i="3"/>
  <c r="K99" i="3" s="1"/>
  <c r="I94" i="3"/>
  <c r="I91" i="3"/>
  <c r="I86" i="3"/>
  <c r="K86" i="3" s="1"/>
  <c r="I83" i="3"/>
  <c r="I78" i="3"/>
  <c r="K78" i="3" s="1"/>
  <c r="I75" i="3"/>
  <c r="I70" i="3"/>
  <c r="K70" i="3" s="1"/>
  <c r="I67" i="3"/>
  <c r="K67" i="3" s="1"/>
  <c r="I62" i="3"/>
  <c r="K62" i="3" s="1"/>
  <c r="I59" i="3"/>
  <c r="I54" i="3"/>
  <c r="I51" i="3"/>
  <c r="I46" i="3"/>
  <c r="K46" i="3" s="1"/>
  <c r="I43" i="3"/>
  <c r="K43" i="3" s="1"/>
  <c r="I38" i="3"/>
  <c r="K38" i="3" s="1"/>
  <c r="I35" i="3"/>
  <c r="I30" i="3"/>
  <c r="K30" i="3" s="1"/>
  <c r="I27" i="3"/>
  <c r="I22" i="3"/>
  <c r="K22" i="3" s="1"/>
  <c r="I19" i="3"/>
  <c r="I14" i="3"/>
  <c r="K14" i="3" s="1"/>
  <c r="H34" i="1"/>
  <c r="H293" i="1"/>
  <c r="H296" i="1"/>
  <c r="H41" i="1"/>
  <c r="F43" i="1"/>
  <c r="F39" i="1"/>
  <c r="F35" i="1"/>
  <c r="F31" i="1"/>
  <c r="F27" i="1"/>
  <c r="F23" i="1"/>
  <c r="F19" i="1"/>
  <c r="F15" i="1"/>
  <c r="F11" i="1"/>
  <c r="E36" i="5"/>
  <c r="T36" i="5" s="1"/>
  <c r="E34" i="5"/>
  <c r="T34" i="5" s="1"/>
  <c r="E32" i="5"/>
  <c r="T32" i="5" s="1"/>
  <c r="E30" i="5"/>
  <c r="T30" i="5" s="1"/>
  <c r="E28" i="5"/>
  <c r="T28" i="5" s="1"/>
  <c r="E26" i="5"/>
  <c r="T26" i="5" s="1"/>
  <c r="E24" i="5"/>
  <c r="T24" i="5" s="1"/>
  <c r="E22" i="5"/>
  <c r="T22" i="5" s="1"/>
  <c r="E20" i="5"/>
  <c r="T20" i="5" s="1"/>
  <c r="E18" i="5"/>
  <c r="T18" i="5" s="1"/>
  <c r="E16" i="5"/>
  <c r="T16" i="5" s="1"/>
  <c r="E14" i="5"/>
  <c r="T14" i="5" s="1"/>
  <c r="E12" i="5"/>
  <c r="T12" i="5" s="1"/>
  <c r="E10" i="5"/>
  <c r="T10" i="5" s="1"/>
  <c r="E8" i="5"/>
  <c r="T8" i="5" s="1"/>
  <c r="K235" i="3" l="1"/>
  <c r="K302" i="3"/>
  <c r="K209" i="3"/>
  <c r="K296" i="3"/>
  <c r="K241" i="3"/>
  <c r="K96" i="3"/>
  <c r="K231" i="3"/>
  <c r="K75" i="3"/>
  <c r="K83" i="3"/>
  <c r="K244" i="3"/>
  <c r="K217" i="3"/>
  <c r="K107" i="3"/>
  <c r="K130" i="3"/>
  <c r="K182" i="3"/>
  <c r="K15" i="3"/>
  <c r="K13" i="3"/>
  <c r="K28" i="3"/>
  <c r="K168" i="3"/>
  <c r="K73" i="3"/>
  <c r="K265" i="3"/>
  <c r="K328" i="3"/>
  <c r="K325" i="3"/>
  <c r="K133" i="3"/>
  <c r="K238" i="3"/>
  <c r="K71" i="3"/>
  <c r="K322" i="3"/>
  <c r="K54" i="3"/>
  <c r="K118" i="3"/>
  <c r="K214" i="3"/>
  <c r="K47" i="3"/>
  <c r="K27" i="3"/>
  <c r="K59" i="3"/>
  <c r="K91" i="3"/>
  <c r="K187" i="3"/>
  <c r="K18" i="3"/>
  <c r="K255" i="3"/>
  <c r="K276" i="3"/>
  <c r="K194" i="3"/>
  <c r="K250" i="3"/>
  <c r="K270" i="3"/>
  <c r="K254" i="3"/>
  <c r="K203" i="3"/>
  <c r="K190" i="3"/>
  <c r="K131" i="3"/>
  <c r="K183" i="3"/>
  <c r="K264" i="3"/>
  <c r="K170" i="3"/>
  <c r="K281" i="3"/>
  <c r="K285" i="3"/>
  <c r="K85" i="3"/>
  <c r="K316" i="3"/>
  <c r="K137" i="3"/>
  <c r="K139" i="3"/>
  <c r="H57" i="1"/>
  <c r="H26" i="1"/>
  <c r="K123" i="3"/>
  <c r="K148" i="3"/>
  <c r="K297" i="3"/>
  <c r="K186" i="3"/>
  <c r="K113" i="3"/>
  <c r="K329" i="3"/>
  <c r="K218" i="3"/>
  <c r="K53" i="3"/>
  <c r="K188" i="3"/>
  <c r="K117" i="3"/>
  <c r="K273" i="3"/>
  <c r="K48" i="3"/>
  <c r="K232" i="3"/>
  <c r="H129" i="1"/>
  <c r="H51" i="1"/>
  <c r="H202" i="1"/>
  <c r="H132" i="1"/>
  <c r="K94" i="3"/>
  <c r="K222" i="3"/>
  <c r="K286" i="3"/>
  <c r="K23" i="3"/>
  <c r="K33" i="3"/>
  <c r="K220" i="3"/>
  <c r="K140" i="3"/>
  <c r="K156" i="3"/>
  <c r="K268" i="3"/>
  <c r="K40" i="3"/>
  <c r="K189" i="3"/>
  <c r="K237" i="3"/>
  <c r="K208" i="3"/>
  <c r="K145" i="3"/>
  <c r="K89" i="3"/>
  <c r="K280" i="3"/>
  <c r="K114" i="3"/>
  <c r="H137" i="1"/>
  <c r="H59" i="1"/>
  <c r="H198" i="1"/>
  <c r="H128" i="1"/>
  <c r="K195" i="3"/>
  <c r="K323" i="3"/>
  <c r="K129" i="3"/>
  <c r="K132" i="3"/>
  <c r="K11" i="3"/>
  <c r="K228" i="3"/>
  <c r="K172" i="3"/>
  <c r="K261" i="3"/>
  <c r="K25" i="3"/>
  <c r="K272" i="3"/>
  <c r="K149" i="3"/>
  <c r="K258" i="3"/>
  <c r="K175" i="3"/>
  <c r="K216" i="3"/>
  <c r="H300" i="1"/>
  <c r="H297" i="1"/>
  <c r="K35" i="3"/>
  <c r="H199" i="1"/>
  <c r="H168" i="1"/>
  <c r="H146" i="1"/>
  <c r="H68" i="1"/>
  <c r="K31" i="3"/>
  <c r="K63" i="3"/>
  <c r="K95" i="3"/>
  <c r="K312" i="3"/>
  <c r="K184" i="3"/>
  <c r="K295" i="3"/>
  <c r="K277" i="3"/>
  <c r="K167" i="3"/>
  <c r="K9" i="3"/>
  <c r="K306" i="3"/>
  <c r="K288" i="3"/>
  <c r="K161" i="3"/>
  <c r="K154" i="3"/>
  <c r="K301" i="3"/>
  <c r="K121" i="3"/>
  <c r="H204" i="1"/>
  <c r="H173" i="1"/>
  <c r="H138" i="1"/>
  <c r="H56" i="1"/>
  <c r="K267" i="3"/>
  <c r="K21" i="3"/>
  <c r="K271" i="3"/>
  <c r="K32" i="3"/>
  <c r="K181" i="3"/>
  <c r="K202" i="3"/>
  <c r="K223" i="3"/>
  <c r="K8" i="3"/>
  <c r="K7" i="3"/>
  <c r="K103" i="3"/>
  <c r="K49" i="3"/>
  <c r="K41" i="3"/>
  <c r="K64" i="3"/>
  <c r="K17" i="3"/>
  <c r="K245" i="3"/>
  <c r="K313" i="3"/>
  <c r="K300" i="3"/>
  <c r="K176" i="3"/>
  <c r="K61" i="3"/>
  <c r="H244" i="1"/>
  <c r="H233" i="1"/>
  <c r="H90" i="1"/>
  <c r="H252" i="1"/>
  <c r="H245" i="1"/>
  <c r="H82" i="1"/>
  <c r="K19" i="3"/>
  <c r="K51" i="3"/>
  <c r="K74" i="3"/>
  <c r="K138" i="3"/>
  <c r="K88" i="3"/>
  <c r="K200" i="3"/>
  <c r="K144" i="3"/>
  <c r="K29" i="3"/>
  <c r="K233" i="3"/>
  <c r="K104" i="3"/>
  <c r="K37" i="3"/>
  <c r="K257" i="3"/>
  <c r="K320" i="3"/>
  <c r="K287" i="3"/>
  <c r="K314" i="3"/>
  <c r="E331" i="1"/>
  <c r="B26" i="10" s="1"/>
  <c r="G6" i="3"/>
  <c r="H6" i="3" s="1"/>
  <c r="T6" i="3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7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B19" i="10" s="1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N7" i="5" l="1"/>
  <c r="C8" i="12"/>
  <c r="G331" i="3"/>
  <c r="N303" i="5"/>
  <c r="H330" i="3"/>
  <c r="H26" i="3"/>
  <c r="N187" i="5"/>
  <c r="N269" i="5"/>
  <c r="D6" i="12"/>
  <c r="N152" i="5"/>
  <c r="D42" i="12"/>
  <c r="K37" i="12"/>
  <c r="J37" i="12"/>
  <c r="K36" i="12"/>
  <c r="J36" i="12"/>
  <c r="C37" i="12"/>
  <c r="C36" i="12"/>
  <c r="N254" i="5"/>
  <c r="N238" i="5"/>
  <c r="N204" i="5"/>
  <c r="C10" i="12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1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B15" i="10" l="1"/>
  <c r="O17" i="12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24" i="10"/>
  <c r="C331" i="3" l="1"/>
  <c r="J25" i="12" s="1"/>
  <c r="H331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<sst xmlns="http://schemas.openxmlformats.org/spreadsheetml/2006/main" count="4484" uniqueCount="1168">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</sst>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1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activeCell="H331" sqref="D331:H33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838</v>
      </c>
      <c r="H3" s="16" t="s">
        <v>839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3 Regular State Payment Budget</v>
      </c>
    </row>
    <row r="5" spans="1:11" s="14" customFormat="1" ht="38.25" x14ac:dyDescent="0.2">
      <c r="A5" s="13"/>
      <c r="B5" s="19"/>
      <c r="C5" s="61" t="s">
        <v>703</v>
      </c>
      <c r="D5" s="61" t="s">
        <v>704</v>
      </c>
      <c r="E5" s="61" t="s">
        <v>841</v>
      </c>
      <c r="F5" s="61" t="s">
        <v>705</v>
      </c>
      <c r="G5" s="61" t="s">
        <v>706</v>
      </c>
      <c r="H5" s="62" t="s">
        <v>840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15457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3877078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6897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1927014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47984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15533245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12502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3973720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4720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1018911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24757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8243743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11856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3309999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6163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1610365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32570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8840212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24486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7326516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12083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3526696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19654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5092348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99972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23794590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28285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8864164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5247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1586344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285338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85522908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18312</v>
      </c>
      <c r="G22" s="22">
        <f>IF(OR(Notes!$B$3="Pay 1 Regular State Payment Budget",Notes!$B$3="Pay 2 Regular State Payment Budget"),0,INDEX(Data[],MATCH($A22,Data[Dist],0),MATCH(G$4,Data[#Headers],0)))</f>
        <v>28017</v>
      </c>
      <c r="H22" s="22">
        <f>INDEX(Data[],MATCH($A22,Data[Dist],0),MATCH(H$4,Data[#Headers],0))</f>
        <v>5727779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9052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1678848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6220</v>
      </c>
      <c r="G24" s="22">
        <f>IF(OR(Notes!$B$3="Pay 1 Regular State Payment Budget",Notes!$B$3="Pay 2 Regular State Payment Budget"),0,INDEX(Data[],MATCH($A24,Data[Dist],0),MATCH(G$4,Data[#Headers],0)))</f>
        <v>637</v>
      </c>
      <c r="H24" s="22">
        <f>INDEX(Data[],MATCH($A24,Data[Dist],0),MATCH(H$4,Data[#Headers],0))</f>
        <v>1181540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31568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10712776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11498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3315504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17848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4156771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39614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13498736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8122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2723668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10394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2552189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11300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3339931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10644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3321276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14225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3988930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16666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4925983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3945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1027864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34626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9616699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90460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27693086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18816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4496914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56631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18531250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45881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16203408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12802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3937641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12594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3238741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11590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3268031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10888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2518804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86925</v>
      </c>
      <c r="G45" s="22">
        <f>IF(OR(Notes!$B$3="Pay 1 Regular State Payment Budget",Notes!$B$3="Pay 2 Regular State Payment Budget"),0,INDEX(Data[],MATCH($A45,Data[Dist],0),MATCH(G$4,Data[#Headers],0)))</f>
        <v>1049691</v>
      </c>
      <c r="H45" s="22">
        <f>INDEX(Data[],MATCH($A45,Data[Dist],0),MATCH(H$4,Data[#Headers],0))</f>
        <v>30203716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10446</v>
      </c>
      <c r="G46" s="22">
        <f>IF(OR(Notes!$B$3="Pay 1 Regular State Payment Budget",Notes!$B$3="Pay 2 Regular State Payment Budget"),0,INDEX(Data[],MATCH($A46,Data[Dist],0),MATCH(G$4,Data[#Headers],0)))</f>
        <v>67238</v>
      </c>
      <c r="H46" s="22">
        <f>INDEX(Data[],MATCH($A46,Data[Dist],0),MATCH(H$4,Data[#Headers],0))</f>
        <v>1747595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6323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1878325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8586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2347908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19237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5700395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12914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4627614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45284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16313647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37036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9602533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124303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38134573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359376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115642615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27065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8877935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29990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10880521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18084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5165722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10172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3106628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32717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9811134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9782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3033701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14472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5478656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17229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5102119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28627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9714024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33548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11025047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6467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1726129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23313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7824037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22273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6975811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22768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6414849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32483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11316699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6517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2217513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6533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1105070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66156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19487962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26416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5031937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81160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31284526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15925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5022098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115922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33426376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10446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3160641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10199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2430939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16706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5614194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9570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2914058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8604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1801746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196082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76128559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31458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10284296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78319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23644481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9737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3033682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318960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107003976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25867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8025333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34286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9020314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4504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1377220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45629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17437459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19431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6427272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692975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261938626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2522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891802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19731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6242797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226626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75155386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8244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2538421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8539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2093381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11338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3263380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21741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6448649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21437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7459800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12662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3733330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12203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3860567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12376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3943266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10640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3666387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7460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1944413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8386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2214030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9030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2602486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12626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4276127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14979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4116116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10403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3051330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4177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1291197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27067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8931329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9604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2626744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35315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9746670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23766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7303776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80188</v>
      </c>
      <c r="G116" s="22">
        <f>IF(OR(Notes!$B$3="Pay 1 Regular State Payment Budget",Notes!$B$3="Pay 2 Regular State Payment Budget"),0,INDEX(Data[],MATCH($A116,Data[Dist],0),MATCH(G$4,Data[#Headers],0)))</f>
        <v>129795</v>
      </c>
      <c r="H116" s="22">
        <f>INDEX(Data[],MATCH($A116,Data[Dist],0),MATCH(H$4,Data[#Headers],0))</f>
        <v>27856816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47336</v>
      </c>
      <c r="G117" s="22">
        <f>IF(OR(Notes!$B$3="Pay 1 Regular State Payment Budget",Notes!$B$3="Pay 2 Regular State Payment Budget"),0,INDEX(Data[],MATCH($A117,Data[Dist],0),MATCH(G$4,Data[#Headers],0)))</f>
        <v>47118</v>
      </c>
      <c r="H117" s="22">
        <f>INDEX(Data[],MATCH($A117,Data[Dist],0),MATCH(H$4,Data[#Headers],0))</f>
        <v>15058132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9773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3019456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10448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2591219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19141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4206834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10239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2732351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35730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9979114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3918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1208003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13901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3810388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43210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13446432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6665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1840067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8512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1988557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14108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4113662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5731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1332108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33739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10041839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10084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2780714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15297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4801629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9010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2539215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14454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3576371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7055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1943916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5089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1216834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25209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7982122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30969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9490863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6620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1134837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14450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3239513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13128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3467960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12545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3682153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25934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7448325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9273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1953333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16094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5574121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28076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8351424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31159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10199585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77386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26037949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18888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5995187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325159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91489091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22570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6969671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11259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3590403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14999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3829633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9928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3267616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26684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7590896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20134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6470268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157286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48162121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41659</v>
      </c>
      <c r="G158" s="22">
        <f>IF(OR(Notes!$B$3="Pay 1 Regular State Payment Budget",Notes!$B$3="Pay 2 Regular State Payment Budget"),0,INDEX(Data[],MATCH($A158,Data[Dist],0),MATCH(G$4,Data[#Headers],0)))</f>
        <v>92991</v>
      </c>
      <c r="H158" s="22">
        <f>INDEX(Data[],MATCH($A158,Data[Dist],0),MATCH(H$4,Data[#Headers],0))</f>
        <v>15880361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8122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2250052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10608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3162521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39659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13621668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12725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3447649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7584</v>
      </c>
      <c r="G163" s="22">
        <f>IF(OR(Notes!$B$3="Pay 1 Regular State Payment Budget",Notes!$B$3="Pay 2 Regular State Payment Budget"),0,INDEX(Data[],MATCH($A163,Data[Dist],0),MATCH(G$4,Data[#Headers],0)))</f>
        <v>174685</v>
      </c>
      <c r="H163" s="22">
        <f>INDEX(Data[],MATCH($A163,Data[Dist],0),MATCH(H$4,Data[#Headers],0))</f>
        <v>2772235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6740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1958661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13770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3986804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11827</v>
      </c>
      <c r="G166" s="22">
        <f>IF(OR(Notes!$B$3="Pay 1 Regular State Payment Budget",Notes!$B$3="Pay 2 Regular State Payment Budget"),0,INDEX(Data[],MATCH($A166,Data[Dist],0),MATCH(G$4,Data[#Headers],0)))</f>
        <v>608078</v>
      </c>
      <c r="H166" s="22">
        <f>INDEX(Data[],MATCH($A166,Data[Dist],0),MATCH(H$4,Data[#Headers],0))</f>
        <v>2506376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50335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15521646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10142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3288728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59800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15647148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16344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4762890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173064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54843065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15112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5070359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13576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4187156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7134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1857067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15475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4564919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10133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2788106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15087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5258834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11901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3247001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14763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3461867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13371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3186244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27022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9765975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14932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3803040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10476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2123887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40479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14636690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121033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46554323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11516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3333040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76666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24447761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34140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9787514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19710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5570584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6929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2492777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11300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3149592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27650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8253638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17172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5203827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18161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5866703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10563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1979825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21825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6685270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7780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2456516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4765</v>
      </c>
      <c r="G198" s="22">
        <f>IF(OR(Notes!$B$3="Pay 1 Regular State Payment Budget",Notes!$B$3="Pay 2 Regular State Payment Budget"),0,INDEX(Data[],MATCH($A198,Data[Dist],0),MATCH(G$4,Data[#Headers],0)))</f>
        <v>43880</v>
      </c>
      <c r="H198" s="22">
        <f>INDEX(Data[],MATCH($A198,Data[Dist],0),MATCH(H$4,Data[#Headers],0))</f>
        <v>1543782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4369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1449377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4164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1258272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13473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3808674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40350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13213426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25022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7912225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4995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1749615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103017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34404875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13344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3906031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31512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9764385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11167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2937950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20942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5511216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12205</v>
      </c>
      <c r="G210" s="22">
        <f>IF(OR(Notes!$B$3="Pay 1 Regular State Payment Budget",Notes!$B$3="Pay 2 Regular State Payment Budget"),0,INDEX(Data[],MATCH($A210,Data[Dist],0),MATCH(G$4,Data[#Headers],0)))</f>
        <v>29199</v>
      </c>
      <c r="H210" s="22">
        <f>INDEX(Data[],MATCH($A210,Data[Dist],0),MATCH(H$4,Data[#Headers],0))</f>
        <v>4273574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66600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23226169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18134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5301079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11867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3491777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25626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8176054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11000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3056720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12540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3474479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5323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739653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47133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15061401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69753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20469927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10201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2704276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11507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3358470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77132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26866165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16128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4438765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20834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5432654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29859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10997043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13281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3322938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24000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797927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4853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1466471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4011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804783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20102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5899253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50770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16956479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114102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44775873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14477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3548642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4204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1005679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12644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1758758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12365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3269055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49083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13673488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41751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15859910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125130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36993843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16029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5599400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15083</v>
      </c>
      <c r="G241" s="22">
        <f>IF(OR(Notes!$B$3="Pay 1 Regular State Payment Budget",Notes!$B$3="Pay 2 Regular State Payment Budget"),0,INDEX(Data[],MATCH($A241,Data[Dist],0),MATCH(G$4,Data[#Headers],0)))</f>
        <v>138278</v>
      </c>
      <c r="H241" s="22">
        <f>INDEX(Data[],MATCH($A241,Data[Dist],0),MATCH(H$4,Data[#Headers],0))</f>
        <v>2448723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15607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5763462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23241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7254529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23304</v>
      </c>
      <c r="G244" s="22">
        <f>IF(OR(Notes!$B$3="Pay 1 Regular State Payment Budget",Notes!$B$3="Pay 2 Regular State Payment Budget"),0,INDEX(Data[],MATCH($A244,Data[Dist],0),MATCH(G$4,Data[#Headers],0)))</f>
        <v>316708</v>
      </c>
      <c r="H244" s="22">
        <f>INDEX(Data[],MATCH($A244,Data[Dist],0),MATCH(H$4,Data[#Headers],0))</f>
        <v>7214960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7521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1482560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7465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1534449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19168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5961755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22613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6792783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9593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2683180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4346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1260950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12851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3178168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24027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3109660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8017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1937990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4864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959656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32057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8449626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5337</v>
      </c>
      <c r="G256" s="22">
        <f>IF(OR(Notes!$B$3="Pay 1 Regular State Payment Budget",Notes!$B$3="Pay 2 Regular State Payment Budget"),0,INDEX(Data[],MATCH($A256,Data[Dist],0),MATCH(G$4,Data[#Headers],0)))</f>
        <v>3765</v>
      </c>
      <c r="H256" s="22">
        <f>INDEX(Data[],MATCH($A256,Data[Dist],0),MATCH(H$4,Data[#Headers],0))</f>
        <v>1491936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17199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4638512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24829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7892835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23651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7072403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15515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4435412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8692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2723800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12437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3991234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33786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11046985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334160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129514013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9937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2698357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20908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5234582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32681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9389807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11387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3757329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14112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3642365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24628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6985972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4355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1226045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32593</v>
      </c>
      <c r="G272" s="22">
        <f>IF(OR(Notes!$B$3="Pay 1 Regular State Payment Budget",Notes!$B$3="Pay 2 Regular State Payment Budget"),0,INDEX(Data[],MATCH($A272,Data[Dist],0),MATCH(G$4,Data[#Headers],0)))</f>
        <v>840985</v>
      </c>
      <c r="H272" s="22">
        <f>INDEX(Data[],MATCH($A272,Data[Dist],0),MATCH(H$4,Data[#Headers],0))</f>
        <v>10826977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11635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3518324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162379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53685010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45606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15614166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26299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3069227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9158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2845861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4436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1507089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13164</v>
      </c>
      <c r="G279" s="22">
        <f>IF(OR(Notes!$B$3="Pay 1 Regular State Payment Budget",Notes!$B$3="Pay 2 Regular State Payment Budget"),0,INDEX(Data[],MATCH($A279,Data[Dist],0),MATCH(G$4,Data[#Headers],0)))</f>
        <v>26814</v>
      </c>
      <c r="H279" s="22">
        <f>INDEX(Data[],MATCH($A279,Data[Dist],0),MATCH(H$4,Data[#Headers],0))</f>
        <v>4040925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57010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22715555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2990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913617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21329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5489530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17330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5137472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18661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5843300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12953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3400595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14774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4545806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5985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1778011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8573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2772955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7989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2213883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7273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2551519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3603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806187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17220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5128579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8690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1623995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77643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23621558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21777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6226786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20143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5966649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7005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2081111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36513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11715468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11020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3769649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18814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5117827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12034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3731152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14810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4786460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36615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12427586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240322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92622272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296203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82722344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49491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15655192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12937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3649494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38939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11757897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7388</v>
      </c>
      <c r="G309" s="22">
        <f>IF(OR(Notes!$B$3="Pay 1 Regular State Payment Budget",Notes!$B$3="Pay 2 Regular State Payment Budget"),0,INDEX(Data[],MATCH($A309,Data[Dist],0),MATCH(G$4,Data[#Headers],0)))</f>
        <v>113706</v>
      </c>
      <c r="H309" s="22">
        <f>INDEX(Data[],MATCH($A309,Data[Dist],0),MATCH(H$4,Data[#Headers],0))</f>
        <v>1601076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17697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4958581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9120</v>
      </c>
      <c r="G311" s="22">
        <f>IF(OR(Notes!$B$3="Pay 1 Regular State Payment Budget",Notes!$B$3="Pay 2 Regular State Payment Budget"),0,INDEX(Data[],MATCH($A311,Data[Dist],0),MATCH(G$4,Data[#Headers],0)))</f>
        <v>78614</v>
      </c>
      <c r="H311" s="22">
        <f>INDEX(Data[],MATCH($A311,Data[Dist],0),MATCH(H$4,Data[#Headers],0))</f>
        <v>2717050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6039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1621057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30704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8904834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195427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50862866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72063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20405957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8023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1987777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27812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9788836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21131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5614603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17715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5190923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13551</v>
      </c>
      <c r="G320" s="22">
        <f>IF(OR(Notes!$B$3="Pay 1 Regular State Payment Budget",Notes!$B$3="Pay 2 Regular State Payment Budget"),0,INDEX(Data[],MATCH($A320,Data[Dist],0),MATCH(G$4,Data[#Headers],0)))</f>
        <v>19055</v>
      </c>
      <c r="H320" s="22">
        <f>INDEX(Data[],MATCH($A320,Data[Dist],0),MATCH(H$4,Data[#Headers],0))</f>
        <v>3989577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17904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6419309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11973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2751718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4152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1048047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26126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7785181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19183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6266623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6895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2175580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37545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11778999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10494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3242490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11631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3640414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23935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7385700</v>
      </c>
    </row>
    <row r="331" spans="1:10" s="21" customFormat="1" ht="13.5" thickBot="1" x14ac:dyDescent="0.25">
      <c r="A331" s="122" t="s">
        <v>788</v>
      </c>
      <c r="B331" s="21" t="s">
        <v>787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10954583</v>
      </c>
      <c r="G331" s="24">
        <f t="shared" si="0"/>
        <v>3809254</v>
      </c>
      <c r="H331" s="24">
        <f t="shared" si="0"/>
        <v>3459020661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3 State Foundation Aid (Code 3111)</v>
      </c>
      <c r="I4" s="18" t="str">
        <f>Notes!B3</f>
        <v>Pay 3 Regular State Payment Budget</v>
      </c>
    </row>
    <row r="5" spans="1:10" s="14" customFormat="1" ht="42" customHeight="1" x14ac:dyDescent="0.2">
      <c r="A5" s="13"/>
      <c r="C5" s="33" t="s">
        <v>755</v>
      </c>
      <c r="D5" s="33" t="s">
        <v>707</v>
      </c>
      <c r="E5" s="34" t="s">
        <v>361</v>
      </c>
      <c r="F5" s="33" t="s">
        <v>362</v>
      </c>
      <c r="G5" s="33" t="s">
        <v>754</v>
      </c>
      <c r="H5" s="34" t="s">
        <v>756</v>
      </c>
      <c r="I5" s="34" t="s">
        <v>359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2884322</v>
      </c>
      <c r="I6" s="22">
        <f>INDEX(Data[],MATCH($A6,Data[Dist],0),MATCH(I$4,Data[#Headers],0))</f>
        <v>3877078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1483012</v>
      </c>
      <c r="I7" s="22">
        <f>INDEX(Data[],MATCH($A7,Data[Dist],0),MATCH(I$4,Data[#Headers],0))</f>
        <v>1927014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12883863</v>
      </c>
      <c r="I8" s="22">
        <f>INDEX(Data[],MATCH($A8,Data[Dist],0),MATCH(I$4,Data[#Headers],0))</f>
        <v>15533245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3203771</v>
      </c>
      <c r="I9" s="22">
        <f>INDEX(Data[],MATCH($A9,Data[Dist],0),MATCH(I$4,Data[#Headers],0))</f>
        <v>3973720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753880</v>
      </c>
      <c r="I10" s="22">
        <f>INDEX(Data[],MATCH($A10,Data[Dist],0),MATCH(I$4,Data[#Headers],0))</f>
        <v>1018911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6768107</v>
      </c>
      <c r="I11" s="22">
        <f>INDEX(Data[],MATCH($A11,Data[Dist],0),MATCH(I$4,Data[#Headers],0))</f>
        <v>8243743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2571022</v>
      </c>
      <c r="I12" s="22">
        <f>INDEX(Data[],MATCH($A12,Data[Dist],0),MATCH(I$4,Data[#Headers],0))</f>
        <v>3309999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1245688</v>
      </c>
      <c r="I13" s="22">
        <f>INDEX(Data[],MATCH($A13,Data[Dist],0),MATCH(I$4,Data[#Headers],0))</f>
        <v>1610365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6708720</v>
      </c>
      <c r="I14" s="22">
        <f>INDEX(Data[],MATCH($A14,Data[Dist],0),MATCH(I$4,Data[#Headers],0))</f>
        <v>8840212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5750928</v>
      </c>
      <c r="I15" s="22">
        <f>INDEX(Data[],MATCH($A15,Data[Dist],0),MATCH(I$4,Data[#Headers],0))</f>
        <v>7326516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2720275</v>
      </c>
      <c r="I16" s="22">
        <f>INDEX(Data[],MATCH($A16,Data[Dist],0),MATCH(I$4,Data[#Headers],0))</f>
        <v>3526696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3857044</v>
      </c>
      <c r="I17" s="22">
        <f>INDEX(Data[],MATCH($A17,Data[Dist],0),MATCH(I$4,Data[#Headers],0))</f>
        <v>5092348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17746823</v>
      </c>
      <c r="I18" s="22">
        <f>INDEX(Data[],MATCH($A18,Data[Dist],0),MATCH(I$4,Data[#Headers],0))</f>
        <v>23794590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7076871</v>
      </c>
      <c r="I19" s="22">
        <f>INDEX(Data[],MATCH($A19,Data[Dist],0),MATCH(I$4,Data[#Headers],0))</f>
        <v>8864164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1257270</v>
      </c>
      <c r="I20" s="22">
        <f>INDEX(Data[],MATCH($A20,Data[Dist],0),MATCH(I$4,Data[#Headers],0))</f>
        <v>1586344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70465363</v>
      </c>
      <c r="I21" s="22">
        <f>INDEX(Data[],MATCH($A21,Data[Dist],0),MATCH(I$4,Data[#Headers],0))</f>
        <v>85522908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4610883</v>
      </c>
      <c r="I22" s="22">
        <f>INDEX(Data[],MATCH($A22,Data[Dist],0),MATCH(I$4,Data[#Headers],0))</f>
        <v>5727779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1085272</v>
      </c>
      <c r="I23" s="22">
        <f>INDEX(Data[],MATCH($A23,Data[Dist],0),MATCH(I$4,Data[#Headers],0))</f>
        <v>1678848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788177</v>
      </c>
      <c r="I24" s="22">
        <f>INDEX(Data[],MATCH($A24,Data[Dist],0),MATCH(I$4,Data[#Headers],0))</f>
        <v>1181540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8704574</v>
      </c>
      <c r="I25" s="22">
        <f>INDEX(Data[],MATCH($A25,Data[Dist],0),MATCH(I$4,Data[#Headers],0))</f>
        <v>10712776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2559054</v>
      </c>
      <c r="I26" s="22">
        <f>INDEX(Data[],MATCH($A26,Data[Dist],0),MATCH(I$4,Data[#Headers],0))</f>
        <v>3315504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3109089</v>
      </c>
      <c r="I27" s="22">
        <f>INDEX(Data[],MATCH($A27,Data[Dist],0),MATCH(I$4,Data[#Headers],0))</f>
        <v>4156771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11074470</v>
      </c>
      <c r="I28" s="22">
        <f>INDEX(Data[],MATCH($A28,Data[Dist],0),MATCH(I$4,Data[#Headers],0))</f>
        <v>13498736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2196637</v>
      </c>
      <c r="I29" s="22">
        <f>INDEX(Data[],MATCH($A29,Data[Dist],0),MATCH(I$4,Data[#Headers],0))</f>
        <v>2723668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1892915</v>
      </c>
      <c r="I30" s="22">
        <f>INDEX(Data[],MATCH($A30,Data[Dist],0),MATCH(I$4,Data[#Headers],0))</f>
        <v>2552189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2624618</v>
      </c>
      <c r="I31" s="22">
        <f>INDEX(Data[],MATCH($A31,Data[Dist],0),MATCH(I$4,Data[#Headers],0))</f>
        <v>3339931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2680686</v>
      </c>
      <c r="I32" s="22">
        <f>INDEX(Data[],MATCH($A32,Data[Dist],0),MATCH(I$4,Data[#Headers],0))</f>
        <v>3321276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3005471</v>
      </c>
      <c r="I33" s="22">
        <f>INDEX(Data[],MATCH($A33,Data[Dist],0),MATCH(I$4,Data[#Headers],0))</f>
        <v>3988930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3948459</v>
      </c>
      <c r="I34" s="22">
        <f>INDEX(Data[],MATCH($A34,Data[Dist],0),MATCH(I$4,Data[#Headers],0))</f>
        <v>4925983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809707</v>
      </c>
      <c r="I35" s="22">
        <f>INDEX(Data[],MATCH($A35,Data[Dist],0),MATCH(I$4,Data[#Headers],0))</f>
        <v>1027864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7449437</v>
      </c>
      <c r="I36" s="22">
        <f>INDEX(Data[],MATCH($A36,Data[Dist],0),MATCH(I$4,Data[#Headers],0))</f>
        <v>9616699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22085593</v>
      </c>
      <c r="I37" s="22">
        <f>INDEX(Data[],MATCH($A37,Data[Dist],0),MATCH(I$4,Data[#Headers],0))</f>
        <v>27693086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3292187</v>
      </c>
      <c r="I38" s="22">
        <f>INDEX(Data[],MATCH($A38,Data[Dist],0),MATCH(I$4,Data[#Headers],0))</f>
        <v>4496914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15258967</v>
      </c>
      <c r="I39" s="22">
        <f>INDEX(Data[],MATCH($A39,Data[Dist],0),MATCH(I$4,Data[#Headers],0))</f>
        <v>18531250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13351349</v>
      </c>
      <c r="I40" s="22">
        <f>INDEX(Data[],MATCH($A40,Data[Dist],0),MATCH(I$4,Data[#Headers],0))</f>
        <v>16203408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3041667</v>
      </c>
      <c r="I41" s="22">
        <f>INDEX(Data[],MATCH($A41,Data[Dist],0),MATCH(I$4,Data[#Headers],0))</f>
        <v>3937641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2426576</v>
      </c>
      <c r="I42" s="22">
        <f>INDEX(Data[],MATCH($A42,Data[Dist],0),MATCH(I$4,Data[#Headers],0))</f>
        <v>3238741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2547044</v>
      </c>
      <c r="I43" s="22">
        <f>INDEX(Data[],MATCH($A43,Data[Dist],0),MATCH(I$4,Data[#Headers],0))</f>
        <v>3268031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1812474</v>
      </c>
      <c r="I44" s="22">
        <f>INDEX(Data[],MATCH($A44,Data[Dist],0),MATCH(I$4,Data[#Headers],0))</f>
        <v>2518804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25090920</v>
      </c>
      <c r="I45" s="22">
        <f>INDEX(Data[],MATCH($A45,Data[Dist],0),MATCH(I$4,Data[#Headers],0))</f>
        <v>30203716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1087384</v>
      </c>
      <c r="I46" s="22">
        <f>INDEX(Data[],MATCH($A46,Data[Dist],0),MATCH(I$4,Data[#Headers],0))</f>
        <v>1747595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1470431</v>
      </c>
      <c r="I47" s="22">
        <f>INDEX(Data[],MATCH($A47,Data[Dist],0),MATCH(I$4,Data[#Headers],0))</f>
        <v>1878325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1827301</v>
      </c>
      <c r="I48" s="22">
        <f>INDEX(Data[],MATCH($A48,Data[Dist],0),MATCH(I$4,Data[#Headers],0))</f>
        <v>2347908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4475367</v>
      </c>
      <c r="I49" s="22">
        <f>INDEX(Data[],MATCH($A49,Data[Dist],0),MATCH(I$4,Data[#Headers],0))</f>
        <v>5700395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3664359</v>
      </c>
      <c r="I50" s="22">
        <f>INDEX(Data[],MATCH($A50,Data[Dist],0),MATCH(I$4,Data[#Headers],0))</f>
        <v>4627614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13564876</v>
      </c>
      <c r="I51" s="22">
        <f>INDEX(Data[],MATCH($A51,Data[Dist],0),MATCH(I$4,Data[#Headers],0))</f>
        <v>16313647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7083239</v>
      </c>
      <c r="I52" s="22">
        <f>INDEX(Data[],MATCH($A52,Data[Dist],0),MATCH(I$4,Data[#Headers],0))</f>
        <v>9602533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31063841</v>
      </c>
      <c r="I53" s="22">
        <f>INDEX(Data[],MATCH($A53,Data[Dist],0),MATCH(I$4,Data[#Headers],0))</f>
        <v>38134573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94299053</v>
      </c>
      <c r="I54" s="22">
        <f>INDEX(Data[],MATCH($A54,Data[Dist],0),MATCH(I$4,Data[#Headers],0))</f>
        <v>115642615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7204420</v>
      </c>
      <c r="I55" s="22">
        <f>INDEX(Data[],MATCH($A55,Data[Dist],0),MATCH(I$4,Data[#Headers],0))</f>
        <v>8877935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9068162</v>
      </c>
      <c r="I56" s="22">
        <f>INDEX(Data[],MATCH($A56,Data[Dist],0),MATCH(I$4,Data[#Headers],0))</f>
        <v>10880521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3967894</v>
      </c>
      <c r="I57" s="22">
        <f>INDEX(Data[],MATCH($A57,Data[Dist],0),MATCH(I$4,Data[#Headers],0))</f>
        <v>5165722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2448588</v>
      </c>
      <c r="I58" s="22">
        <f>INDEX(Data[],MATCH($A58,Data[Dist],0),MATCH(I$4,Data[#Headers],0))</f>
        <v>3106628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7749404</v>
      </c>
      <c r="I59" s="22">
        <f>INDEX(Data[],MATCH($A59,Data[Dist],0),MATCH(I$4,Data[#Headers],0))</f>
        <v>9811134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2419747</v>
      </c>
      <c r="I60" s="22">
        <f>INDEX(Data[],MATCH($A60,Data[Dist],0),MATCH(I$4,Data[#Headers],0))</f>
        <v>3033701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4545819</v>
      </c>
      <c r="I61" s="22">
        <f>INDEX(Data[],MATCH($A61,Data[Dist],0),MATCH(I$4,Data[#Headers],0))</f>
        <v>5478656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4054999</v>
      </c>
      <c r="I62" s="22">
        <f>INDEX(Data[],MATCH($A62,Data[Dist],0),MATCH(I$4,Data[#Headers],0))</f>
        <v>5102119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8004853</v>
      </c>
      <c r="I63" s="22">
        <f>INDEX(Data[],MATCH($A63,Data[Dist],0),MATCH(I$4,Data[#Headers],0))</f>
        <v>9714024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8966807</v>
      </c>
      <c r="I64" s="22">
        <f>INDEX(Data[],MATCH($A64,Data[Dist],0),MATCH(I$4,Data[#Headers],0))</f>
        <v>11025047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1317694</v>
      </c>
      <c r="I65" s="22">
        <f>INDEX(Data[],MATCH($A65,Data[Dist],0),MATCH(I$4,Data[#Headers],0))</f>
        <v>1726129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6445618</v>
      </c>
      <c r="I66" s="22">
        <f>INDEX(Data[],MATCH($A66,Data[Dist],0),MATCH(I$4,Data[#Headers],0))</f>
        <v>7824037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5749736</v>
      </c>
      <c r="I67" s="22">
        <f>INDEX(Data[],MATCH($A67,Data[Dist],0),MATCH(I$4,Data[#Headers],0))</f>
        <v>6975811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4956877</v>
      </c>
      <c r="I68" s="22">
        <f>INDEX(Data[],MATCH($A68,Data[Dist],0),MATCH(I$4,Data[#Headers],0))</f>
        <v>6414849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9395271</v>
      </c>
      <c r="I69" s="22">
        <f>INDEX(Data[],MATCH($A69,Data[Dist],0),MATCH(I$4,Data[#Headers],0))</f>
        <v>11316699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1806745</v>
      </c>
      <c r="I70" s="22">
        <f>INDEX(Data[],MATCH($A70,Data[Dist],0),MATCH(I$4,Data[#Headers],0))</f>
        <v>2217513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721018</v>
      </c>
      <c r="I71" s="22">
        <f>INDEX(Data[],MATCH($A71,Data[Dist],0),MATCH(I$4,Data[#Headers],0))</f>
        <v>1105070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15486648</v>
      </c>
      <c r="I72" s="22">
        <f>INDEX(Data[],MATCH($A72,Data[Dist],0),MATCH(I$4,Data[#Headers],0))</f>
        <v>19487962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3483605</v>
      </c>
      <c r="I73" s="22">
        <f>INDEX(Data[],MATCH($A73,Data[Dist],0),MATCH(I$4,Data[#Headers],0))</f>
        <v>5031937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26271574</v>
      </c>
      <c r="I74" s="22">
        <f>INDEX(Data[],MATCH($A74,Data[Dist],0),MATCH(I$4,Data[#Headers],0))</f>
        <v>31284526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4054609</v>
      </c>
      <c r="I75" s="22">
        <f>INDEX(Data[],MATCH($A75,Data[Dist],0),MATCH(I$4,Data[#Headers],0))</f>
        <v>5022098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26571884</v>
      </c>
      <c r="I76" s="22">
        <f>INDEX(Data[],MATCH($A76,Data[Dist],0),MATCH(I$4,Data[#Headers],0))</f>
        <v>33426376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2552732</v>
      </c>
      <c r="I77" s="22">
        <f>INDEX(Data[],MATCH($A77,Data[Dist],0),MATCH(I$4,Data[#Headers],0))</f>
        <v>3160641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1783592</v>
      </c>
      <c r="I78" s="22">
        <f>INDEX(Data[],MATCH($A78,Data[Dist],0),MATCH(I$4,Data[#Headers],0))</f>
        <v>2430939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4572156</v>
      </c>
      <c r="I79" s="22">
        <f>INDEX(Data[],MATCH($A79,Data[Dist],0),MATCH(I$4,Data[#Headers],0))</f>
        <v>5614194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2286022</v>
      </c>
      <c r="I80" s="22">
        <f>INDEX(Data[],MATCH($A80,Data[Dist],0),MATCH(I$4,Data[#Headers],0))</f>
        <v>2914058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1212339</v>
      </c>
      <c r="I81" s="22">
        <f>INDEX(Data[],MATCH($A81,Data[Dist],0),MATCH(I$4,Data[#Headers],0))</f>
        <v>1801746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64417471</v>
      </c>
      <c r="I82" s="22">
        <f>INDEX(Data[],MATCH($A82,Data[Dist],0),MATCH(I$4,Data[#Headers],0))</f>
        <v>76128559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8290209</v>
      </c>
      <c r="I83" s="22">
        <f>INDEX(Data[],MATCH($A83,Data[Dist],0),MATCH(I$4,Data[#Headers],0))</f>
        <v>10284296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19015121</v>
      </c>
      <c r="I84" s="22">
        <f>INDEX(Data[],MATCH($A84,Data[Dist],0),MATCH(I$4,Data[#Headers],0))</f>
        <v>23644481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2353820</v>
      </c>
      <c r="I85" s="22">
        <f>INDEX(Data[],MATCH($A85,Data[Dist],0),MATCH(I$4,Data[#Headers],0))</f>
        <v>3033682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87705881</v>
      </c>
      <c r="I86" s="22">
        <f>INDEX(Data[],MATCH($A86,Data[Dist],0),MATCH(I$4,Data[#Headers],0))</f>
        <v>107003976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6490090</v>
      </c>
      <c r="I87" s="22">
        <f>INDEX(Data[],MATCH($A87,Data[Dist],0),MATCH(I$4,Data[#Headers],0))</f>
        <v>8025333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6863011</v>
      </c>
      <c r="I88" s="22">
        <f>INDEX(Data[],MATCH($A88,Data[Dist],0),MATCH(I$4,Data[#Headers],0))</f>
        <v>9020314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1110684</v>
      </c>
      <c r="I89" s="22">
        <f>INDEX(Data[],MATCH($A89,Data[Dist],0),MATCH(I$4,Data[#Headers],0))</f>
        <v>1377220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14735976</v>
      </c>
      <c r="I90" s="22">
        <f>INDEX(Data[],MATCH($A90,Data[Dist],0),MATCH(I$4,Data[#Headers],0))</f>
        <v>17437459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5217736</v>
      </c>
      <c r="I91" s="22">
        <f>INDEX(Data[],MATCH($A91,Data[Dist],0),MATCH(I$4,Data[#Headers],0))</f>
        <v>6427272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218526362</v>
      </c>
      <c r="I92" s="22">
        <f>INDEX(Data[],MATCH($A92,Data[Dist],0),MATCH(I$4,Data[#Headers],0))</f>
        <v>261938626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696928</v>
      </c>
      <c r="I93" s="22">
        <f>INDEX(Data[],MATCH($A93,Data[Dist],0),MATCH(I$4,Data[#Headers],0))</f>
        <v>891802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5069565</v>
      </c>
      <c r="I94" s="22">
        <f>INDEX(Data[],MATCH($A94,Data[Dist],0),MATCH(I$4,Data[#Headers],0))</f>
        <v>6242797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60512520</v>
      </c>
      <c r="I95" s="22">
        <f>INDEX(Data[],MATCH($A95,Data[Dist],0),MATCH(I$4,Data[#Headers],0))</f>
        <v>75155386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2024902</v>
      </c>
      <c r="I96" s="22">
        <f>INDEX(Data[],MATCH($A96,Data[Dist],0),MATCH(I$4,Data[#Headers],0))</f>
        <v>2538421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1494610</v>
      </c>
      <c r="I97" s="22">
        <f>INDEX(Data[],MATCH($A97,Data[Dist],0),MATCH(I$4,Data[#Headers],0))</f>
        <v>2093381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2463274</v>
      </c>
      <c r="I98" s="22">
        <f>INDEX(Data[],MATCH($A98,Data[Dist],0),MATCH(I$4,Data[#Headers],0))</f>
        <v>3263380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5143068</v>
      </c>
      <c r="I99" s="22">
        <f>INDEX(Data[],MATCH($A99,Data[Dist],0),MATCH(I$4,Data[#Headers],0))</f>
        <v>6448649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6132856</v>
      </c>
      <c r="I100" s="22">
        <f>INDEX(Data[],MATCH($A100,Data[Dist],0),MATCH(I$4,Data[#Headers],0))</f>
        <v>7459800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2918571</v>
      </c>
      <c r="I101" s="22">
        <f>INDEX(Data[],MATCH($A101,Data[Dist],0),MATCH(I$4,Data[#Headers],0))</f>
        <v>3733330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3068020</v>
      </c>
      <c r="I102" s="22">
        <f>INDEX(Data[],MATCH($A102,Data[Dist],0),MATCH(I$4,Data[#Headers],0))</f>
        <v>3860567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3147919</v>
      </c>
      <c r="I103" s="22">
        <f>INDEX(Data[],MATCH($A103,Data[Dist],0),MATCH(I$4,Data[#Headers],0))</f>
        <v>3943266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2980980</v>
      </c>
      <c r="I104" s="22">
        <f>INDEX(Data[],MATCH($A104,Data[Dist],0),MATCH(I$4,Data[#Headers],0))</f>
        <v>3666387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1472412</v>
      </c>
      <c r="I105" s="22">
        <f>INDEX(Data[],MATCH($A105,Data[Dist],0),MATCH(I$4,Data[#Headers],0))</f>
        <v>1944413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1676839</v>
      </c>
      <c r="I106" s="22">
        <f>INDEX(Data[],MATCH($A106,Data[Dist],0),MATCH(I$4,Data[#Headers],0))</f>
        <v>2214030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1966641</v>
      </c>
      <c r="I107" s="22">
        <f>INDEX(Data[],MATCH($A107,Data[Dist],0),MATCH(I$4,Data[#Headers],0))</f>
        <v>2602486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3445004</v>
      </c>
      <c r="I108" s="22">
        <f>INDEX(Data[],MATCH($A108,Data[Dist],0),MATCH(I$4,Data[#Headers],0))</f>
        <v>4276127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3126603</v>
      </c>
      <c r="I109" s="22">
        <f>INDEX(Data[],MATCH($A109,Data[Dist],0),MATCH(I$4,Data[#Headers],0))</f>
        <v>4116116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2357381</v>
      </c>
      <c r="I110" s="22">
        <f>INDEX(Data[],MATCH($A110,Data[Dist],0),MATCH(I$4,Data[#Headers],0))</f>
        <v>3051330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1022906</v>
      </c>
      <c r="I111" s="22">
        <f>INDEX(Data[],MATCH($A111,Data[Dist],0),MATCH(I$4,Data[#Headers],0))</f>
        <v>1291197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7267997</v>
      </c>
      <c r="I112" s="22">
        <f>INDEX(Data[],MATCH($A112,Data[Dist],0),MATCH(I$4,Data[#Headers],0))</f>
        <v>8931329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2010973</v>
      </c>
      <c r="I113" s="22">
        <f>INDEX(Data[],MATCH($A113,Data[Dist],0),MATCH(I$4,Data[#Headers],0))</f>
        <v>2626744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7692354</v>
      </c>
      <c r="I114" s="22">
        <f>INDEX(Data[],MATCH($A114,Data[Dist],0),MATCH(I$4,Data[#Headers],0))</f>
        <v>9746670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5807948</v>
      </c>
      <c r="I115" s="22">
        <f>INDEX(Data[],MATCH($A115,Data[Dist],0),MATCH(I$4,Data[#Headers],0))</f>
        <v>7303776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22751870</v>
      </c>
      <c r="I116" s="22">
        <f>INDEX(Data[],MATCH($A116,Data[Dist],0),MATCH(I$4,Data[#Headers],0))</f>
        <v>27856816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12428945</v>
      </c>
      <c r="I117" s="22">
        <f>INDEX(Data[],MATCH($A117,Data[Dist],0),MATCH(I$4,Data[#Headers],0))</f>
        <v>15058132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2419012</v>
      </c>
      <c r="I118" s="22">
        <f>INDEX(Data[],MATCH($A118,Data[Dist],0),MATCH(I$4,Data[#Headers],0))</f>
        <v>3019456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1929123</v>
      </c>
      <c r="I119" s="22">
        <f>INDEX(Data[],MATCH($A119,Data[Dist],0),MATCH(I$4,Data[#Headers],0))</f>
        <v>2591219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2892296</v>
      </c>
      <c r="I120" s="22">
        <f>INDEX(Data[],MATCH($A120,Data[Dist],0),MATCH(I$4,Data[#Headers],0))</f>
        <v>4206834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2098807</v>
      </c>
      <c r="I121" s="22">
        <f>INDEX(Data[],MATCH($A121,Data[Dist],0),MATCH(I$4,Data[#Headers],0))</f>
        <v>2732351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7910704</v>
      </c>
      <c r="I122" s="22">
        <f>INDEX(Data[],MATCH($A122,Data[Dist],0),MATCH(I$4,Data[#Headers],0))</f>
        <v>9979114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930456</v>
      </c>
      <c r="I123" s="22">
        <f>INDEX(Data[],MATCH($A123,Data[Dist],0),MATCH(I$4,Data[#Headers],0))</f>
        <v>1208003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2956535</v>
      </c>
      <c r="I124" s="22">
        <f>INDEX(Data[],MATCH($A124,Data[Dist],0),MATCH(I$4,Data[#Headers],0))</f>
        <v>3810388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11066004</v>
      </c>
      <c r="I125" s="22">
        <f>INDEX(Data[],MATCH($A125,Data[Dist],0),MATCH(I$4,Data[#Headers],0))</f>
        <v>13446432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1343474</v>
      </c>
      <c r="I126" s="22">
        <f>INDEX(Data[],MATCH($A126,Data[Dist],0),MATCH(I$4,Data[#Headers],0))</f>
        <v>1840067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1433884</v>
      </c>
      <c r="I127" s="22">
        <f>INDEX(Data[],MATCH($A127,Data[Dist],0),MATCH(I$4,Data[#Headers],0))</f>
        <v>1988557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3265881</v>
      </c>
      <c r="I128" s="22">
        <f>INDEX(Data[],MATCH($A128,Data[Dist],0),MATCH(I$4,Data[#Headers],0))</f>
        <v>4113662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906352</v>
      </c>
      <c r="I129" s="22">
        <f>INDEX(Data[],MATCH($A129,Data[Dist],0),MATCH(I$4,Data[#Headers],0))</f>
        <v>1332108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8024842</v>
      </c>
      <c r="I130" s="22">
        <f>INDEX(Data[],MATCH($A130,Data[Dist],0),MATCH(I$4,Data[#Headers],0))</f>
        <v>10041839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2152353</v>
      </c>
      <c r="I131" s="22">
        <f>INDEX(Data[],MATCH($A131,Data[Dist],0),MATCH(I$4,Data[#Headers],0))</f>
        <v>2780714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3792691</v>
      </c>
      <c r="I132" s="22">
        <f>INDEX(Data[],MATCH($A132,Data[Dist],0),MATCH(I$4,Data[#Headers],0))</f>
        <v>4801629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1927980</v>
      </c>
      <c r="I133" s="22">
        <f>INDEX(Data[],MATCH($A133,Data[Dist],0),MATCH(I$4,Data[#Headers],0))</f>
        <v>2539215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2733684</v>
      </c>
      <c r="I134" s="22">
        <f>INDEX(Data[],MATCH($A134,Data[Dist],0),MATCH(I$4,Data[#Headers],0))</f>
        <v>3576371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1501443</v>
      </c>
      <c r="I135" s="22">
        <f>INDEX(Data[],MATCH($A135,Data[Dist],0),MATCH(I$4,Data[#Headers],0))</f>
        <v>1943916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907202</v>
      </c>
      <c r="I136" s="22">
        <f>INDEX(Data[],MATCH($A136,Data[Dist],0),MATCH(I$4,Data[#Headers],0))</f>
        <v>1216834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6423309</v>
      </c>
      <c r="I137" s="22">
        <f>INDEX(Data[],MATCH($A137,Data[Dist],0),MATCH(I$4,Data[#Headers],0))</f>
        <v>7982122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7560900</v>
      </c>
      <c r="I138" s="22">
        <f>INDEX(Data[],MATCH($A138,Data[Dist],0),MATCH(I$4,Data[#Headers],0))</f>
        <v>9490863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721019</v>
      </c>
      <c r="I139" s="22">
        <f>INDEX(Data[],MATCH($A139,Data[Dist],0),MATCH(I$4,Data[#Headers],0))</f>
        <v>1134837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2326927</v>
      </c>
      <c r="I140" s="22">
        <f>INDEX(Data[],MATCH($A140,Data[Dist],0),MATCH(I$4,Data[#Headers],0))</f>
        <v>3239513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2632972</v>
      </c>
      <c r="I141" s="22">
        <f>INDEX(Data[],MATCH($A141,Data[Dist],0),MATCH(I$4,Data[#Headers],0))</f>
        <v>3467960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2877893</v>
      </c>
      <c r="I142" s="22">
        <f>INDEX(Data[],MATCH($A142,Data[Dist],0),MATCH(I$4,Data[#Headers],0))</f>
        <v>3682153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5836386</v>
      </c>
      <c r="I143" s="22">
        <f>INDEX(Data[],MATCH($A143,Data[Dist],0),MATCH(I$4,Data[#Headers],0))</f>
        <v>7448325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1384196</v>
      </c>
      <c r="I144" s="22">
        <f>INDEX(Data[],MATCH($A144,Data[Dist],0),MATCH(I$4,Data[#Headers],0))</f>
        <v>1953333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4550795</v>
      </c>
      <c r="I145" s="22">
        <f>INDEX(Data[],MATCH($A145,Data[Dist],0),MATCH(I$4,Data[#Headers],0))</f>
        <v>5574121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6589740</v>
      </c>
      <c r="I146" s="22">
        <f>INDEX(Data[],MATCH($A146,Data[Dist],0),MATCH(I$4,Data[#Headers],0))</f>
        <v>8351424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8134649</v>
      </c>
      <c r="I147" s="22">
        <f>INDEX(Data[],MATCH($A147,Data[Dist],0),MATCH(I$4,Data[#Headers],0))</f>
        <v>10199585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21714784</v>
      </c>
      <c r="I148" s="22">
        <f>INDEX(Data[],MATCH($A148,Data[Dist],0),MATCH(I$4,Data[#Headers],0))</f>
        <v>26037949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4867182</v>
      </c>
      <c r="I149" s="22">
        <f>INDEX(Data[],MATCH($A149,Data[Dist],0),MATCH(I$4,Data[#Headers],0))</f>
        <v>5995187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73014527</v>
      </c>
      <c r="I150" s="22">
        <f>INDEX(Data[],MATCH($A150,Data[Dist],0),MATCH(I$4,Data[#Headers],0))</f>
        <v>91489091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5538160</v>
      </c>
      <c r="I151" s="22">
        <f>INDEX(Data[],MATCH($A151,Data[Dist],0),MATCH(I$4,Data[#Headers],0))</f>
        <v>6969671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2906174</v>
      </c>
      <c r="I152" s="22">
        <f>INDEX(Data[],MATCH($A152,Data[Dist],0),MATCH(I$4,Data[#Headers],0))</f>
        <v>3590403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2828032</v>
      </c>
      <c r="I153" s="22">
        <f>INDEX(Data[],MATCH($A153,Data[Dist],0),MATCH(I$4,Data[#Headers],0))</f>
        <v>3829633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2619571</v>
      </c>
      <c r="I154" s="22">
        <f>INDEX(Data[],MATCH($A154,Data[Dist],0),MATCH(I$4,Data[#Headers],0))</f>
        <v>3267616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5883836</v>
      </c>
      <c r="I155" s="22">
        <f>INDEX(Data[],MATCH($A155,Data[Dist],0),MATCH(I$4,Data[#Headers],0))</f>
        <v>7590896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5241561</v>
      </c>
      <c r="I156" s="22">
        <f>INDEX(Data[],MATCH($A156,Data[Dist],0),MATCH(I$4,Data[#Headers],0))</f>
        <v>6470268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39414964</v>
      </c>
      <c r="I157" s="22">
        <f>INDEX(Data[],MATCH($A157,Data[Dist],0),MATCH(I$4,Data[#Headers],0))</f>
        <v>48162121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13360024</v>
      </c>
      <c r="I158" s="22">
        <f>INDEX(Data[],MATCH($A158,Data[Dist],0),MATCH(I$4,Data[#Headers],0))</f>
        <v>15880361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1741967</v>
      </c>
      <c r="I159" s="22">
        <f>INDEX(Data[],MATCH($A159,Data[Dist],0),MATCH(I$4,Data[#Headers],0))</f>
        <v>2250052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2582833</v>
      </c>
      <c r="I160" s="22">
        <f>INDEX(Data[],MATCH($A160,Data[Dist],0),MATCH(I$4,Data[#Headers],0))</f>
        <v>3162521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11277864</v>
      </c>
      <c r="I161" s="22">
        <f>INDEX(Data[],MATCH($A161,Data[Dist],0),MATCH(I$4,Data[#Headers],0))</f>
        <v>13621668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2655728</v>
      </c>
      <c r="I162" s="22">
        <f>INDEX(Data[],MATCH($A162,Data[Dist],0),MATCH(I$4,Data[#Headers],0))</f>
        <v>3447649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2255240</v>
      </c>
      <c r="I163" s="22">
        <f>INDEX(Data[],MATCH($A163,Data[Dist],0),MATCH(I$4,Data[#Headers],0))</f>
        <v>2772235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1509915</v>
      </c>
      <c r="I164" s="22">
        <f>INDEX(Data[],MATCH($A164,Data[Dist],0),MATCH(I$4,Data[#Headers],0))</f>
        <v>1958661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3165242</v>
      </c>
      <c r="I165" s="22">
        <f>INDEX(Data[],MATCH($A165,Data[Dist],0),MATCH(I$4,Data[#Headers],0))</f>
        <v>3986804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1739006</v>
      </c>
      <c r="I166" s="22">
        <f>INDEX(Data[],MATCH($A166,Data[Dist],0),MATCH(I$4,Data[#Headers],0))</f>
        <v>2506376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12562952</v>
      </c>
      <c r="I167" s="22">
        <f>INDEX(Data[],MATCH($A167,Data[Dist],0),MATCH(I$4,Data[#Headers],0))</f>
        <v>15521646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2591574</v>
      </c>
      <c r="I168" s="22">
        <f>INDEX(Data[],MATCH($A168,Data[Dist],0),MATCH(I$4,Data[#Headers],0))</f>
        <v>3288728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12288089</v>
      </c>
      <c r="I169" s="22">
        <f>INDEX(Data[],MATCH($A169,Data[Dist],0),MATCH(I$4,Data[#Headers],0))</f>
        <v>15647148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3779276</v>
      </c>
      <c r="I170" s="22">
        <f>INDEX(Data[],MATCH($A170,Data[Dist],0),MATCH(I$4,Data[#Headers],0))</f>
        <v>4762890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45227773</v>
      </c>
      <c r="I171" s="22">
        <f>INDEX(Data[],MATCH($A171,Data[Dist],0),MATCH(I$4,Data[#Headers],0))</f>
        <v>54843065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4138545</v>
      </c>
      <c r="I172" s="22">
        <f>INDEX(Data[],MATCH($A172,Data[Dist],0),MATCH(I$4,Data[#Headers],0))</f>
        <v>5070359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3379117</v>
      </c>
      <c r="I173" s="22">
        <f>INDEX(Data[],MATCH($A173,Data[Dist],0),MATCH(I$4,Data[#Headers],0))</f>
        <v>4187156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1382709</v>
      </c>
      <c r="I174" s="22">
        <f>INDEX(Data[],MATCH($A174,Data[Dist],0),MATCH(I$4,Data[#Headers],0))</f>
        <v>1857067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3560334</v>
      </c>
      <c r="I175" s="22">
        <f>INDEX(Data[],MATCH($A175,Data[Dist],0),MATCH(I$4,Data[#Headers],0))</f>
        <v>4564919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2161769</v>
      </c>
      <c r="I176" s="22">
        <f>INDEX(Data[],MATCH($A176,Data[Dist],0),MATCH(I$4,Data[#Headers],0))</f>
        <v>2788106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4368827</v>
      </c>
      <c r="I177" s="22">
        <f>INDEX(Data[],MATCH($A177,Data[Dist],0),MATCH(I$4,Data[#Headers],0))</f>
        <v>5258834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2497498</v>
      </c>
      <c r="I178" s="22">
        <f>INDEX(Data[],MATCH($A178,Data[Dist],0),MATCH(I$4,Data[#Headers],0))</f>
        <v>3247001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2550387</v>
      </c>
      <c r="I179" s="22">
        <f>INDEX(Data[],MATCH($A179,Data[Dist],0),MATCH(I$4,Data[#Headers],0))</f>
        <v>3461867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2356390</v>
      </c>
      <c r="I180" s="22">
        <f>INDEX(Data[],MATCH($A180,Data[Dist],0),MATCH(I$4,Data[#Headers],0))</f>
        <v>3186244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8030913</v>
      </c>
      <c r="I181" s="22">
        <f>INDEX(Data[],MATCH($A181,Data[Dist],0),MATCH(I$4,Data[#Headers],0))</f>
        <v>9765975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2878131</v>
      </c>
      <c r="I182" s="22">
        <f>INDEX(Data[],MATCH($A182,Data[Dist],0),MATCH(I$4,Data[#Headers],0))</f>
        <v>3803040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1480481</v>
      </c>
      <c r="I183" s="22">
        <f>INDEX(Data[],MATCH($A183,Data[Dist],0),MATCH(I$4,Data[#Headers],0))</f>
        <v>2123887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12061226</v>
      </c>
      <c r="I184" s="22">
        <f>INDEX(Data[],MATCH($A184,Data[Dist],0),MATCH(I$4,Data[#Headers],0))</f>
        <v>14636690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39172632</v>
      </c>
      <c r="I185" s="22">
        <f>INDEX(Data[],MATCH($A185,Data[Dist],0),MATCH(I$4,Data[#Headers],0))</f>
        <v>46554323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2669097</v>
      </c>
      <c r="I186" s="22">
        <f>INDEX(Data[],MATCH($A186,Data[Dist],0),MATCH(I$4,Data[#Headers],0))</f>
        <v>3333040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19774869</v>
      </c>
      <c r="I187" s="22">
        <f>INDEX(Data[],MATCH($A187,Data[Dist],0),MATCH(I$4,Data[#Headers],0))</f>
        <v>24447761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7788113</v>
      </c>
      <c r="I188" s="22">
        <f>INDEX(Data[],MATCH($A188,Data[Dist],0),MATCH(I$4,Data[#Headers],0))</f>
        <v>9787514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4548277</v>
      </c>
      <c r="I189" s="22">
        <f>INDEX(Data[],MATCH($A189,Data[Dist],0),MATCH(I$4,Data[#Headers],0))</f>
        <v>5570584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2013334</v>
      </c>
      <c r="I190" s="22">
        <f>INDEX(Data[],MATCH($A190,Data[Dist],0),MATCH(I$4,Data[#Headers],0))</f>
        <v>2492777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2459727</v>
      </c>
      <c r="I191" s="22">
        <f>INDEX(Data[],MATCH($A191,Data[Dist],0),MATCH(I$4,Data[#Headers],0))</f>
        <v>3149592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6515276</v>
      </c>
      <c r="I192" s="22">
        <f>INDEX(Data[],MATCH($A192,Data[Dist],0),MATCH(I$4,Data[#Headers],0))</f>
        <v>8253638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4222060</v>
      </c>
      <c r="I193" s="22">
        <f>INDEX(Data[],MATCH($A193,Data[Dist],0),MATCH(I$4,Data[#Headers],0))</f>
        <v>5203827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4687465</v>
      </c>
      <c r="I194" s="22">
        <f>INDEX(Data[],MATCH($A194,Data[Dist],0),MATCH(I$4,Data[#Headers],0))</f>
        <v>5866703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1311362</v>
      </c>
      <c r="I195" s="22">
        <f>INDEX(Data[],MATCH($A195,Data[Dist],0),MATCH(I$4,Data[#Headers],0))</f>
        <v>1979825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5330823</v>
      </c>
      <c r="I196" s="22">
        <f>INDEX(Data[],MATCH($A196,Data[Dist],0),MATCH(I$4,Data[#Headers],0))</f>
        <v>6685270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1942571</v>
      </c>
      <c r="I197" s="22">
        <f>INDEX(Data[],MATCH($A197,Data[Dist],0),MATCH(I$4,Data[#Headers],0))</f>
        <v>2456516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1231340</v>
      </c>
      <c r="I198" s="22">
        <f>INDEX(Data[],MATCH($A198,Data[Dist],0),MATCH(I$4,Data[#Headers],0))</f>
        <v>1543782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1161309</v>
      </c>
      <c r="I199" s="22">
        <f>INDEX(Data[],MATCH($A199,Data[Dist],0),MATCH(I$4,Data[#Headers],0))</f>
        <v>1449377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1008040</v>
      </c>
      <c r="I200" s="22">
        <f>INDEX(Data[],MATCH($A200,Data[Dist],0),MATCH(I$4,Data[#Headers],0))</f>
        <v>1258272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2914607</v>
      </c>
      <c r="I201" s="22">
        <f>INDEX(Data[],MATCH($A201,Data[Dist],0),MATCH(I$4,Data[#Headers],0))</f>
        <v>3808674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10829741</v>
      </c>
      <c r="I202" s="22">
        <f>INDEX(Data[],MATCH($A202,Data[Dist],0),MATCH(I$4,Data[#Headers],0))</f>
        <v>13213426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6424611</v>
      </c>
      <c r="I203" s="22">
        <f>INDEX(Data[],MATCH($A203,Data[Dist],0),MATCH(I$4,Data[#Headers],0))</f>
        <v>7912225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1374228</v>
      </c>
      <c r="I204" s="22">
        <f>INDEX(Data[],MATCH($A204,Data[Dist],0),MATCH(I$4,Data[#Headers],0))</f>
        <v>1749615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28170803</v>
      </c>
      <c r="I205" s="22">
        <f>INDEX(Data[],MATCH($A205,Data[Dist],0),MATCH(I$4,Data[#Headers],0))</f>
        <v>34404875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3080686</v>
      </c>
      <c r="I206" s="22">
        <f>INDEX(Data[],MATCH($A206,Data[Dist],0),MATCH(I$4,Data[#Headers],0))</f>
        <v>3906031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7819306</v>
      </c>
      <c r="I207" s="22">
        <f>INDEX(Data[],MATCH($A207,Data[Dist],0),MATCH(I$4,Data[#Headers],0))</f>
        <v>9764385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2233792</v>
      </c>
      <c r="I208" s="22">
        <f>INDEX(Data[],MATCH($A208,Data[Dist],0),MATCH(I$4,Data[#Headers],0))</f>
        <v>2937950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4189368</v>
      </c>
      <c r="I209" s="22">
        <f>INDEX(Data[],MATCH($A209,Data[Dist],0),MATCH(I$4,Data[#Headers],0))</f>
        <v>5511216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3541240</v>
      </c>
      <c r="I210" s="22">
        <f>INDEX(Data[],MATCH($A210,Data[Dist],0),MATCH(I$4,Data[#Headers],0))</f>
        <v>4273574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19366356</v>
      </c>
      <c r="I211" s="22">
        <f>INDEX(Data[],MATCH($A211,Data[Dist],0),MATCH(I$4,Data[#Headers],0))</f>
        <v>23226169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4153821</v>
      </c>
      <c r="I212" s="22">
        <f>INDEX(Data[],MATCH($A212,Data[Dist],0),MATCH(I$4,Data[#Headers],0))</f>
        <v>5301079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2688168</v>
      </c>
      <c r="I213" s="22">
        <f>INDEX(Data[],MATCH($A213,Data[Dist],0),MATCH(I$4,Data[#Headers],0))</f>
        <v>3491777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6597205</v>
      </c>
      <c r="I214" s="22">
        <f>INDEX(Data[],MATCH($A214,Data[Dist],0),MATCH(I$4,Data[#Headers],0))</f>
        <v>8176054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2365658</v>
      </c>
      <c r="I215" s="22">
        <f>INDEX(Data[],MATCH($A215,Data[Dist],0),MATCH(I$4,Data[#Headers],0))</f>
        <v>3056720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2757603</v>
      </c>
      <c r="I216" s="22">
        <f>INDEX(Data[],MATCH($A216,Data[Dist],0),MATCH(I$4,Data[#Headers],0))</f>
        <v>3474479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353957</v>
      </c>
      <c r="I217" s="22">
        <f>INDEX(Data[],MATCH($A217,Data[Dist],0),MATCH(I$4,Data[#Headers],0))</f>
        <v>739653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12334400</v>
      </c>
      <c r="I218" s="22">
        <f>INDEX(Data[],MATCH($A218,Data[Dist],0),MATCH(I$4,Data[#Headers],0))</f>
        <v>15061401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16334096</v>
      </c>
      <c r="I219" s="22">
        <f>INDEX(Data[],MATCH($A219,Data[Dist],0),MATCH(I$4,Data[#Headers],0))</f>
        <v>20469927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2014666</v>
      </c>
      <c r="I220" s="22">
        <f>INDEX(Data[],MATCH($A220,Data[Dist],0),MATCH(I$4,Data[#Headers],0))</f>
        <v>2704276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2610709</v>
      </c>
      <c r="I221" s="22">
        <f>INDEX(Data[],MATCH($A221,Data[Dist],0),MATCH(I$4,Data[#Headers],0))</f>
        <v>3358470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22421082</v>
      </c>
      <c r="I222" s="22">
        <f>INDEX(Data[],MATCH($A222,Data[Dist],0),MATCH(I$4,Data[#Headers],0))</f>
        <v>26866165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3452148</v>
      </c>
      <c r="I223" s="22">
        <f>INDEX(Data[],MATCH($A223,Data[Dist],0),MATCH(I$4,Data[#Headers],0))</f>
        <v>4438765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4125895</v>
      </c>
      <c r="I224" s="22">
        <f>INDEX(Data[],MATCH($A224,Data[Dist],0),MATCH(I$4,Data[#Headers],0))</f>
        <v>5432654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9284356</v>
      </c>
      <c r="I225" s="22">
        <f>INDEX(Data[],MATCH($A225,Data[Dist],0),MATCH(I$4,Data[#Headers],0))</f>
        <v>10997043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2455230</v>
      </c>
      <c r="I226" s="22">
        <f>INDEX(Data[],MATCH($A226,Data[Dist],0),MATCH(I$4,Data[#Headers],0))</f>
        <v>3322938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-723027</v>
      </c>
      <c r="I227" s="22">
        <f>INDEX(Data[],MATCH($A227,Data[Dist],0),MATCH(I$4,Data[#Headers],0))</f>
        <v>797927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1143741</v>
      </c>
      <c r="I228" s="22">
        <f>INDEX(Data[],MATCH($A228,Data[Dist],0),MATCH(I$4,Data[#Headers],0))</f>
        <v>1466471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553577</v>
      </c>
      <c r="I229" s="22">
        <f>INDEX(Data[],MATCH($A229,Data[Dist],0),MATCH(I$4,Data[#Headers],0))</f>
        <v>804783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4616121</v>
      </c>
      <c r="I230" s="22">
        <f>INDEX(Data[],MATCH($A230,Data[Dist],0),MATCH(I$4,Data[#Headers],0))</f>
        <v>5899253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13869218</v>
      </c>
      <c r="I231" s="22">
        <f>INDEX(Data[],MATCH($A231,Data[Dist],0),MATCH(I$4,Data[#Headers],0))</f>
        <v>16956479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37938386</v>
      </c>
      <c r="I232" s="22">
        <f>INDEX(Data[],MATCH($A232,Data[Dist],0),MATCH(I$4,Data[#Headers],0))</f>
        <v>44775873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2658226</v>
      </c>
      <c r="I233" s="22">
        <f>INDEX(Data[],MATCH($A233,Data[Dist],0),MATCH(I$4,Data[#Headers],0))</f>
        <v>3548642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742782</v>
      </c>
      <c r="I234" s="22">
        <f>INDEX(Data[],MATCH($A234,Data[Dist],0),MATCH(I$4,Data[#Headers],0))</f>
        <v>1005679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947075</v>
      </c>
      <c r="I235" s="22">
        <f>INDEX(Data[],MATCH($A235,Data[Dist],0),MATCH(I$4,Data[#Headers],0))</f>
        <v>1758758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2467078</v>
      </c>
      <c r="I236" s="22">
        <f>INDEX(Data[],MATCH($A236,Data[Dist],0),MATCH(I$4,Data[#Headers],0))</f>
        <v>3269055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10757707</v>
      </c>
      <c r="I237" s="22">
        <f>INDEX(Data[],MATCH($A237,Data[Dist],0),MATCH(I$4,Data[#Headers],0))</f>
        <v>13673488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13279947</v>
      </c>
      <c r="I238" s="22">
        <f>INDEX(Data[],MATCH($A238,Data[Dist],0),MATCH(I$4,Data[#Headers],0))</f>
        <v>15859910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29912675</v>
      </c>
      <c r="I239" s="22">
        <f>INDEX(Data[],MATCH($A239,Data[Dist],0),MATCH(I$4,Data[#Headers],0))</f>
        <v>36993843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4650964</v>
      </c>
      <c r="I240" s="22">
        <f>INDEX(Data[],MATCH($A240,Data[Dist],0),MATCH(I$4,Data[#Headers],0))</f>
        <v>5599400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1439389</v>
      </c>
      <c r="I241" s="22">
        <f>INDEX(Data[],MATCH($A241,Data[Dist],0),MATCH(I$4,Data[#Headers],0))</f>
        <v>2448723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4821721</v>
      </c>
      <c r="I242" s="22">
        <f>INDEX(Data[],MATCH($A242,Data[Dist],0),MATCH(I$4,Data[#Headers],0))</f>
        <v>5763462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5855083</v>
      </c>
      <c r="I243" s="22">
        <f>INDEX(Data[],MATCH($A243,Data[Dist],0),MATCH(I$4,Data[#Headers],0))</f>
        <v>7254529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5701944</v>
      </c>
      <c r="I244" s="22">
        <f>INDEX(Data[],MATCH($A244,Data[Dist],0),MATCH(I$4,Data[#Headers],0))</f>
        <v>7214960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1029759</v>
      </c>
      <c r="I245" s="22">
        <f>INDEX(Data[],MATCH($A245,Data[Dist],0),MATCH(I$4,Data[#Headers],0))</f>
        <v>1482560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969273</v>
      </c>
      <c r="I246" s="22">
        <f>INDEX(Data[],MATCH($A246,Data[Dist],0),MATCH(I$4,Data[#Headers],0))</f>
        <v>1534449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4674251</v>
      </c>
      <c r="I247" s="22">
        <f>INDEX(Data[],MATCH($A247,Data[Dist],0),MATCH(I$4,Data[#Headers],0))</f>
        <v>5961755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5427652</v>
      </c>
      <c r="I248" s="22">
        <f>INDEX(Data[],MATCH($A248,Data[Dist],0),MATCH(I$4,Data[#Headers],0))</f>
        <v>6792783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2088692</v>
      </c>
      <c r="I249" s="22">
        <f>INDEX(Data[],MATCH($A249,Data[Dist],0),MATCH(I$4,Data[#Headers],0))</f>
        <v>2683180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979151</v>
      </c>
      <c r="I250" s="22">
        <f>INDEX(Data[],MATCH($A250,Data[Dist],0),MATCH(I$4,Data[#Headers],0))</f>
        <v>1260950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2398236</v>
      </c>
      <c r="I251" s="22">
        <f>INDEX(Data[],MATCH($A251,Data[Dist],0),MATCH(I$4,Data[#Headers],0))</f>
        <v>3178168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1618061</v>
      </c>
      <c r="I252" s="22">
        <f>INDEX(Data[],MATCH($A252,Data[Dist],0),MATCH(I$4,Data[#Headers],0))</f>
        <v>3109660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1435838</v>
      </c>
      <c r="I253" s="22">
        <f>INDEX(Data[],MATCH($A253,Data[Dist],0),MATCH(I$4,Data[#Headers],0))</f>
        <v>1937990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673855</v>
      </c>
      <c r="I254" s="22">
        <f>INDEX(Data[],MATCH($A254,Data[Dist],0),MATCH(I$4,Data[#Headers],0))</f>
        <v>959656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6509621</v>
      </c>
      <c r="I255" s="22">
        <f>INDEX(Data[],MATCH($A255,Data[Dist],0),MATCH(I$4,Data[#Headers],0))</f>
        <v>8449626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1111152</v>
      </c>
      <c r="I256" s="22">
        <f>INDEX(Data[],MATCH($A256,Data[Dist],0),MATCH(I$4,Data[#Headers],0))</f>
        <v>1491936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3543286</v>
      </c>
      <c r="I257" s="22">
        <f>INDEX(Data[],MATCH($A257,Data[Dist],0),MATCH(I$4,Data[#Headers],0))</f>
        <v>4638512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6310362</v>
      </c>
      <c r="I258" s="22">
        <f>INDEX(Data[],MATCH($A258,Data[Dist],0),MATCH(I$4,Data[#Headers],0))</f>
        <v>7892835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5662205</v>
      </c>
      <c r="I259" s="22">
        <f>INDEX(Data[],MATCH($A259,Data[Dist],0),MATCH(I$4,Data[#Headers],0))</f>
        <v>7072403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3450863</v>
      </c>
      <c r="I260" s="22">
        <f>INDEX(Data[],MATCH($A260,Data[Dist],0),MATCH(I$4,Data[#Headers],0))</f>
        <v>4435412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2148607</v>
      </c>
      <c r="I261" s="22">
        <f>INDEX(Data[],MATCH($A261,Data[Dist],0),MATCH(I$4,Data[#Headers],0))</f>
        <v>2723800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3201483</v>
      </c>
      <c r="I262" s="22">
        <f>INDEX(Data[],MATCH($A262,Data[Dist],0),MATCH(I$4,Data[#Headers],0))</f>
        <v>3991234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8732076</v>
      </c>
      <c r="I263" s="22">
        <f>INDEX(Data[],MATCH($A263,Data[Dist],0),MATCH(I$4,Data[#Headers],0))</f>
        <v>11046985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109758334</v>
      </c>
      <c r="I264" s="22">
        <f>INDEX(Data[],MATCH($A264,Data[Dist],0),MATCH(I$4,Data[#Headers],0))</f>
        <v>129514013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1989064</v>
      </c>
      <c r="I265" s="22">
        <f>INDEX(Data[],MATCH($A265,Data[Dist],0),MATCH(I$4,Data[#Headers],0))</f>
        <v>2698357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3889405</v>
      </c>
      <c r="I266" s="22">
        <f>INDEX(Data[],MATCH($A266,Data[Dist],0),MATCH(I$4,Data[#Headers],0))</f>
        <v>5234582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7520696</v>
      </c>
      <c r="I267" s="22">
        <f>INDEX(Data[],MATCH($A267,Data[Dist],0),MATCH(I$4,Data[#Headers],0))</f>
        <v>9389807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3071089</v>
      </c>
      <c r="I268" s="22">
        <f>INDEX(Data[],MATCH($A268,Data[Dist],0),MATCH(I$4,Data[#Headers],0))</f>
        <v>3757329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2722879</v>
      </c>
      <c r="I269" s="22">
        <f>INDEX(Data[],MATCH($A269,Data[Dist],0),MATCH(I$4,Data[#Headers],0))</f>
        <v>3642365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5435572</v>
      </c>
      <c r="I270" s="22">
        <f>INDEX(Data[],MATCH($A270,Data[Dist],0),MATCH(I$4,Data[#Headers],0))</f>
        <v>6985972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969427</v>
      </c>
      <c r="I271" s="22">
        <f>INDEX(Data[],MATCH($A271,Data[Dist],0),MATCH(I$4,Data[#Headers],0))</f>
        <v>1226045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8827443</v>
      </c>
      <c r="I272" s="22">
        <f>INDEX(Data[],MATCH($A272,Data[Dist],0),MATCH(I$4,Data[#Headers],0))</f>
        <v>10826977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2709746</v>
      </c>
      <c r="I273" s="22">
        <f>INDEX(Data[],MATCH($A273,Data[Dist],0),MATCH(I$4,Data[#Headers],0))</f>
        <v>3518324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44472332</v>
      </c>
      <c r="I274" s="22">
        <f>INDEX(Data[],MATCH($A274,Data[Dist],0),MATCH(I$4,Data[#Headers],0))</f>
        <v>53685010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12588756</v>
      </c>
      <c r="I275" s="22">
        <f>INDEX(Data[],MATCH($A275,Data[Dist],0),MATCH(I$4,Data[#Headers],0))</f>
        <v>15614166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1407192</v>
      </c>
      <c r="I276" s="22">
        <f>INDEX(Data[],MATCH($A276,Data[Dist],0),MATCH(I$4,Data[#Headers],0))</f>
        <v>3069227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2257619</v>
      </c>
      <c r="I277" s="22">
        <f>INDEX(Data[],MATCH($A277,Data[Dist],0),MATCH(I$4,Data[#Headers],0))</f>
        <v>2845861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1167021</v>
      </c>
      <c r="I278" s="22">
        <f>INDEX(Data[],MATCH($A278,Data[Dist],0),MATCH(I$4,Data[#Headers],0))</f>
        <v>1507089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3194746</v>
      </c>
      <c r="I279" s="22">
        <f>INDEX(Data[],MATCH($A279,Data[Dist],0),MATCH(I$4,Data[#Headers],0))</f>
        <v>4040925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19102738</v>
      </c>
      <c r="I280" s="22">
        <f>INDEX(Data[],MATCH($A280,Data[Dist],0),MATCH(I$4,Data[#Headers],0))</f>
        <v>22715555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698097</v>
      </c>
      <c r="I281" s="22">
        <f>INDEX(Data[],MATCH($A281,Data[Dist],0),MATCH(I$4,Data[#Headers],0))</f>
        <v>913617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4187341</v>
      </c>
      <c r="I282" s="22">
        <f>INDEX(Data[],MATCH($A282,Data[Dist],0),MATCH(I$4,Data[#Headers],0))</f>
        <v>5489530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4054630</v>
      </c>
      <c r="I283" s="22">
        <f>INDEX(Data[],MATCH($A283,Data[Dist],0),MATCH(I$4,Data[#Headers],0))</f>
        <v>5137472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4762119</v>
      </c>
      <c r="I284" s="22">
        <f>INDEX(Data[],MATCH($A284,Data[Dist],0),MATCH(I$4,Data[#Headers],0))</f>
        <v>5843300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2725190</v>
      </c>
      <c r="I285" s="22">
        <f>INDEX(Data[],MATCH($A285,Data[Dist],0),MATCH(I$4,Data[#Headers],0))</f>
        <v>3400595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3615558</v>
      </c>
      <c r="I286" s="22">
        <f>INDEX(Data[],MATCH($A286,Data[Dist],0),MATCH(I$4,Data[#Headers],0))</f>
        <v>4545806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1390396</v>
      </c>
      <c r="I287" s="22">
        <f>INDEX(Data[],MATCH($A287,Data[Dist],0),MATCH(I$4,Data[#Headers],0))</f>
        <v>1778011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2306194</v>
      </c>
      <c r="I288" s="22">
        <f>INDEX(Data[],MATCH($A288,Data[Dist],0),MATCH(I$4,Data[#Headers],0))</f>
        <v>2772955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1658700</v>
      </c>
      <c r="I289" s="22">
        <f>INDEX(Data[],MATCH($A289,Data[Dist],0),MATCH(I$4,Data[#Headers],0))</f>
        <v>2213883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2097671</v>
      </c>
      <c r="I290" s="22">
        <f>INDEX(Data[],MATCH($A290,Data[Dist],0),MATCH(I$4,Data[#Headers],0))</f>
        <v>2551519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599265</v>
      </c>
      <c r="I291" s="22">
        <f>INDEX(Data[],MATCH($A291,Data[Dist],0),MATCH(I$4,Data[#Headers],0))</f>
        <v>806187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4128996</v>
      </c>
      <c r="I292" s="22">
        <f>INDEX(Data[],MATCH($A292,Data[Dist],0),MATCH(I$4,Data[#Headers],0))</f>
        <v>5128579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1007553</v>
      </c>
      <c r="I293" s="22">
        <f>INDEX(Data[],MATCH($A293,Data[Dist],0),MATCH(I$4,Data[#Headers],0))</f>
        <v>1623995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18788061</v>
      </c>
      <c r="I294" s="22">
        <f>INDEX(Data[],MATCH($A294,Data[Dist],0),MATCH(I$4,Data[#Headers],0))</f>
        <v>23621558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4884546</v>
      </c>
      <c r="I295" s="22">
        <f>INDEX(Data[],MATCH($A295,Data[Dist],0),MATCH(I$4,Data[#Headers],0))</f>
        <v>6226786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4716101</v>
      </c>
      <c r="I296" s="22">
        <f>INDEX(Data[],MATCH($A296,Data[Dist],0),MATCH(I$4,Data[#Headers],0))</f>
        <v>5966649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1649673</v>
      </c>
      <c r="I297" s="22">
        <f>INDEX(Data[],MATCH($A297,Data[Dist],0),MATCH(I$4,Data[#Headers],0))</f>
        <v>2081111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9449697</v>
      </c>
      <c r="I298" s="22">
        <f>INDEX(Data[],MATCH($A298,Data[Dist],0),MATCH(I$4,Data[#Headers],0))</f>
        <v>11715468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3038170</v>
      </c>
      <c r="I299" s="22">
        <f>INDEX(Data[],MATCH($A299,Data[Dist],0),MATCH(I$4,Data[#Headers],0))</f>
        <v>3769649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3972358</v>
      </c>
      <c r="I300" s="22">
        <f>INDEX(Data[],MATCH($A300,Data[Dist],0),MATCH(I$4,Data[#Headers],0))</f>
        <v>5117827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2982471</v>
      </c>
      <c r="I301" s="22">
        <f>INDEX(Data[],MATCH($A301,Data[Dist],0),MATCH(I$4,Data[#Headers],0))</f>
        <v>3731152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3805771</v>
      </c>
      <c r="I302" s="22">
        <f>INDEX(Data[],MATCH($A302,Data[Dist],0),MATCH(I$4,Data[#Headers],0))</f>
        <v>4786460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10179299</v>
      </c>
      <c r="I303" s="22">
        <f>INDEX(Data[],MATCH($A303,Data[Dist],0),MATCH(I$4,Data[#Headers],0))</f>
        <v>12427586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78194087</v>
      </c>
      <c r="I304" s="22">
        <f>INDEX(Data[],MATCH($A304,Data[Dist],0),MATCH(I$4,Data[#Headers],0))</f>
        <v>92622272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67505510</v>
      </c>
      <c r="I305" s="22">
        <f>INDEX(Data[],MATCH($A305,Data[Dist],0),MATCH(I$4,Data[#Headers],0))</f>
        <v>82722344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12615778</v>
      </c>
      <c r="I306" s="22">
        <f>INDEX(Data[],MATCH($A306,Data[Dist],0),MATCH(I$4,Data[#Headers],0))</f>
        <v>15655192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2821392</v>
      </c>
      <c r="I307" s="22">
        <f>INDEX(Data[],MATCH($A307,Data[Dist],0),MATCH(I$4,Data[#Headers],0))</f>
        <v>3649494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9279257</v>
      </c>
      <c r="I308" s="22">
        <f>INDEX(Data[],MATCH($A308,Data[Dist],0),MATCH(I$4,Data[#Headers],0))</f>
        <v>11757897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1129768</v>
      </c>
      <c r="I309" s="22">
        <f>INDEX(Data[],MATCH($A309,Data[Dist],0),MATCH(I$4,Data[#Headers],0))</f>
        <v>1601076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3849808</v>
      </c>
      <c r="I310" s="22">
        <f>INDEX(Data[],MATCH($A310,Data[Dist],0),MATCH(I$4,Data[#Headers],0))</f>
        <v>4958581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2034798</v>
      </c>
      <c r="I311" s="22">
        <f>INDEX(Data[],MATCH($A311,Data[Dist],0),MATCH(I$4,Data[#Headers],0))</f>
        <v>2717050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1217740</v>
      </c>
      <c r="I312" s="22">
        <f>INDEX(Data[],MATCH($A312,Data[Dist],0),MATCH(I$4,Data[#Headers],0))</f>
        <v>1621057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7007293</v>
      </c>
      <c r="I313" s="22">
        <f>INDEX(Data[],MATCH($A313,Data[Dist],0),MATCH(I$4,Data[#Headers],0))</f>
        <v>8904834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39617221</v>
      </c>
      <c r="I314" s="22">
        <f>INDEX(Data[],MATCH($A314,Data[Dist],0),MATCH(I$4,Data[#Headers],0))</f>
        <v>50862866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15591327</v>
      </c>
      <c r="I315" s="22">
        <f>INDEX(Data[],MATCH($A315,Data[Dist],0),MATCH(I$4,Data[#Headers],0))</f>
        <v>20405957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1522548</v>
      </c>
      <c r="I316" s="22">
        <f>INDEX(Data[],MATCH($A316,Data[Dist],0),MATCH(I$4,Data[#Headers],0))</f>
        <v>1987777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8080041</v>
      </c>
      <c r="I317" s="22">
        <f>INDEX(Data[],MATCH($A317,Data[Dist],0),MATCH(I$4,Data[#Headers],0))</f>
        <v>9788836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4252915</v>
      </c>
      <c r="I318" s="22">
        <f>INDEX(Data[],MATCH($A318,Data[Dist],0),MATCH(I$4,Data[#Headers],0))</f>
        <v>5614603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4089775</v>
      </c>
      <c r="I319" s="22">
        <f>INDEX(Data[],MATCH($A319,Data[Dist],0),MATCH(I$4,Data[#Headers],0))</f>
        <v>5190923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3152757</v>
      </c>
      <c r="I320" s="22">
        <f>INDEX(Data[],MATCH($A320,Data[Dist],0),MATCH(I$4,Data[#Headers],0))</f>
        <v>3989577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5311794</v>
      </c>
      <c r="I321" s="22">
        <f>INDEX(Data[],MATCH($A321,Data[Dist],0),MATCH(I$4,Data[#Headers],0))</f>
        <v>6419309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1979065</v>
      </c>
      <c r="I322" s="22">
        <f>INDEX(Data[],MATCH($A322,Data[Dist],0),MATCH(I$4,Data[#Headers],0))</f>
        <v>2751718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753011</v>
      </c>
      <c r="I323" s="22">
        <f>INDEX(Data[],MATCH($A323,Data[Dist],0),MATCH(I$4,Data[#Headers],0))</f>
        <v>1048047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6202623</v>
      </c>
      <c r="I324" s="22">
        <f>INDEX(Data[],MATCH($A324,Data[Dist],0),MATCH(I$4,Data[#Headers],0))</f>
        <v>7785181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5039977</v>
      </c>
      <c r="I325" s="22">
        <f>INDEX(Data[],MATCH($A325,Data[Dist],0),MATCH(I$4,Data[#Headers],0))</f>
        <v>6266623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1732848</v>
      </c>
      <c r="I326" s="22">
        <f>INDEX(Data[],MATCH($A326,Data[Dist],0),MATCH(I$4,Data[#Headers],0))</f>
        <v>2175580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9595754</v>
      </c>
      <c r="I327" s="22">
        <f>INDEX(Data[],MATCH($A327,Data[Dist],0),MATCH(I$4,Data[#Headers],0))</f>
        <v>11778999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2513968</v>
      </c>
      <c r="I328" s="22">
        <f>INDEX(Data[],MATCH($A328,Data[Dist],0),MATCH(I$4,Data[#Headers],0))</f>
        <v>3242490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2931423</v>
      </c>
      <c r="I329" s="22">
        <f>INDEX(Data[],MATCH($A329,Data[Dist],0),MATCH(I$4,Data[#Headers],0))</f>
        <v>3640414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5908318</v>
      </c>
      <c r="I330" s="22">
        <f>INDEX(Data[],MATCH($A330,Data[Dist],0),MATCH(I$4,Data[#Headers],0))</f>
        <v>7385700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2796749175</v>
      </c>
      <c r="I331" s="24">
        <f t="shared" si="0"/>
        <v>3459020661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5" width="15.42578125" style="163" customWidth="1"/>
    <col min="6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(May Total)</v>
      </c>
      <c r="B1" s="210"/>
      <c r="C1" s="210"/>
      <c r="D1" s="210"/>
      <c r="E1" s="210"/>
      <c r="F1" s="210"/>
      <c r="G1" s="210"/>
      <c r="H1" s="210"/>
      <c r="I1" s="10"/>
      <c r="J1" s="221" t="s">
        <v>765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768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757</v>
      </c>
      <c r="K2" s="220" t="s">
        <v>758</v>
      </c>
      <c r="L2" s="220" t="s">
        <v>759</v>
      </c>
      <c r="M2" s="220" t="s">
        <v>769</v>
      </c>
      <c r="N2" s="220" t="s">
        <v>760</v>
      </c>
      <c r="O2" s="28"/>
      <c r="P2" s="37"/>
      <c r="Q2" s="37"/>
      <c r="R2" s="36"/>
      <c r="S2" s="219" t="s">
        <v>749</v>
      </c>
      <c r="T2" s="222"/>
      <c r="V2" s="212" t="s">
        <v>805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May</v>
      </c>
      <c r="F4" s="157" t="str">
        <f>IF(Notes!$B$2="June",Notes!$B$2,"June")</f>
        <v>June</v>
      </c>
      <c r="G4" s="60" t="s">
        <v>727</v>
      </c>
      <c r="H4" s="39" t="s">
        <v>746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726</v>
      </c>
      <c r="D5" s="158" t="s">
        <v>726</v>
      </c>
      <c r="E5" s="158" t="s">
        <v>726</v>
      </c>
      <c r="F5" s="158" t="s">
        <v>726</v>
      </c>
      <c r="G5" s="40" t="str">
        <f>Notes!$B$2</f>
        <v>May</v>
      </c>
      <c r="H5" s="41" t="s">
        <v>747</v>
      </c>
      <c r="J5" s="220"/>
      <c r="K5" s="220"/>
      <c r="L5" s="220"/>
      <c r="M5" s="220"/>
      <c r="N5" s="220"/>
      <c r="P5" s="38" t="s">
        <v>752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May</v>
      </c>
      <c r="H6" s="43" t="str">
        <f>Notes!$B$3</f>
        <v>Pay 3 Regular State Payment Budget</v>
      </c>
      <c r="P6" s="38" t="s">
        <v>748</v>
      </c>
      <c r="Q6" s="38"/>
      <c r="R6" s="38"/>
      <c r="S6" s="38"/>
      <c r="T6" s="64" t="s">
        <v>750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386677</v>
      </c>
      <c r="E7" s="160">
        <f>INDEX(Data[],MATCH($A7,Data[Dist],0),MATCH(E$6,Data[#Headers],0))</f>
        <v>386677</v>
      </c>
      <c r="F7" s="160">
        <f>INDEX(Data[],MATCH($A7,Data[Dist],0),MATCH(F$6,Data[#Headers],0))</f>
        <v>386677</v>
      </c>
      <c r="G7" s="22">
        <f>INDEX(Data[],MATCH($A7,Data[Dist],0),MATCH(G$6,Data[#Headers],0))</f>
        <v>3490401</v>
      </c>
      <c r="H7" s="22">
        <f>INDEX(Data[],MATCH($A7,Data[Dist],0),MATCH(H$6,Data[#Headers],0))-G7</f>
        <v>386677</v>
      </c>
      <c r="I7" s="23"/>
      <c r="J7" s="22">
        <f>INDEX(Notes!$I$2:$N$11,MATCH(Notes!$B$2,Notes!$I$2:$I$11,0),4)*$C7</f>
        <v>1557016</v>
      </c>
      <c r="K7" s="22">
        <f>INDEX(Notes!$I$2:$N$11,MATCH(Notes!$B$2,Notes!$I$2:$I$11,0),5)*$D7</f>
        <v>773354</v>
      </c>
      <c r="L7" s="22">
        <f>INDEX(Notes!$I$2:$N$11,MATCH(Notes!$B$2,Notes!$I$2:$I$11,0),6)*$E7</f>
        <v>1160031</v>
      </c>
      <c r="M7" s="22">
        <f>IF(Notes!$B$2="June",'Payment Total'!$F7,0)</f>
        <v>0</v>
      </c>
      <c r="N7" s="22">
        <f>SUM(J7:M7)-G7</f>
        <v>0</v>
      </c>
      <c r="P7" s="21" t="s">
        <v>843</v>
      </c>
      <c r="Q7" s="21">
        <v>386677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INDEX($A$7:$H$331,MATCH($S7,$A$7:$A$331,0),5)-Q7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192242</v>
      </c>
      <c r="E8" s="160">
        <f>INDEX(Data[],MATCH($A8,Data[Dist],0),MATCH(E$6,Data[#Headers],0))</f>
        <v>192242</v>
      </c>
      <c r="F8" s="160">
        <f>INDEX(Data[],MATCH($A8,Data[Dist],0),MATCH(F$6,Data[#Headers],0))</f>
        <v>192240</v>
      </c>
      <c r="G8" s="22">
        <f>INDEX(Data[],MATCH($A8,Data[Dist],0),MATCH(G$6,Data[#Headers],0))</f>
        <v>1734774</v>
      </c>
      <c r="H8" s="22">
        <f>INDEX(Data[],MATCH($A8,Data[Dist],0),MATCH(H$6,Data[#Headers],0))-G8</f>
        <v>192240</v>
      </c>
      <c r="I8" s="23"/>
      <c r="J8" s="22">
        <f>INDEX(Notes!$I$2:$N$11,MATCH(Notes!$B$2,Notes!$I$2:$I$11,0),4)*$C8</f>
        <v>773564</v>
      </c>
      <c r="K8" s="22">
        <f>INDEX(Notes!$I$2:$N$11,MATCH(Notes!$B$2,Notes!$I$2:$I$11,0),5)*$D8</f>
        <v>384484</v>
      </c>
      <c r="L8" s="22">
        <f>INDEX(Notes!$I$2:$N$11,MATCH(Notes!$B$2,Notes!$I$2:$I$11,0),6)*$E8</f>
        <v>576726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844</v>
      </c>
      <c r="Q8" s="21">
        <v>192242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INDEX($A$7:$H$331,MATCH($S8,$A$7:$A$331,0),5)-Q8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1550126</v>
      </c>
      <c r="E9" s="160">
        <f>INDEX(Data[],MATCH($A9,Data[Dist],0),MATCH(E$6,Data[#Headers],0))</f>
        <v>1550125</v>
      </c>
      <c r="F9" s="160">
        <f>INDEX(Data[],MATCH($A9,Data[Dist],0),MATCH(F$6,Data[#Headers],0))</f>
        <v>1550126</v>
      </c>
      <c r="G9" s="22">
        <f>INDEX(Data[],MATCH($A9,Data[Dist],0),MATCH(G$6,Data[#Headers],0))</f>
        <v>13983119</v>
      </c>
      <c r="H9" s="22">
        <f>INDEX(Data[],MATCH($A9,Data[Dist],0),MATCH(H$6,Data[#Headers],0))-G9</f>
        <v>1550126</v>
      </c>
      <c r="I9" s="23"/>
      <c r="J9" s="22">
        <f>INDEX(Notes!$I$2:$N$11,MATCH(Notes!$B$2,Notes!$I$2:$I$11,0),4)*$C9</f>
        <v>6232492</v>
      </c>
      <c r="K9" s="22">
        <f>INDEX(Notes!$I$2:$N$11,MATCH(Notes!$B$2,Notes!$I$2:$I$11,0),5)*$D9</f>
        <v>3100252</v>
      </c>
      <c r="L9" s="22">
        <f>INDEX(Notes!$I$2:$N$11,MATCH(Notes!$B$2,Notes!$I$2:$I$11,0),6)*$E9</f>
        <v>4650375</v>
      </c>
      <c r="M9" s="22">
        <f>IF(Notes!$B$2="June",'Payment Total'!$F9,0)</f>
        <v>0</v>
      </c>
      <c r="N9" s="22">
        <f t="shared" si="0"/>
        <v>0</v>
      </c>
      <c r="P9" s="21" t="s">
        <v>845</v>
      </c>
      <c r="Q9" s="21">
        <v>1550125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396539</v>
      </c>
      <c r="E10" s="160">
        <f>INDEX(Data[],MATCH($A10,Data[Dist],0),MATCH(E$6,Data[#Headers],0))</f>
        <v>396539</v>
      </c>
      <c r="F10" s="160">
        <f>INDEX(Data[],MATCH($A10,Data[Dist],0),MATCH(F$6,Data[#Headers],0))</f>
        <v>396537</v>
      </c>
      <c r="G10" s="22">
        <f>INDEX(Data[],MATCH($A10,Data[Dist],0),MATCH(G$6,Data[#Headers],0))</f>
        <v>3577183</v>
      </c>
      <c r="H10" s="22">
        <f>INDEX(Data[],MATCH($A10,Data[Dist],0),MATCH(H$6,Data[#Headers],0))-G10</f>
        <v>396537</v>
      </c>
      <c r="I10" s="23"/>
      <c r="J10" s="22">
        <f>INDEX(Notes!$I$2:$N$11,MATCH(Notes!$B$2,Notes!$I$2:$I$11,0),4)*$C10</f>
        <v>1594488</v>
      </c>
      <c r="K10" s="22">
        <f>INDEX(Notes!$I$2:$N$11,MATCH(Notes!$B$2,Notes!$I$2:$I$11,0),5)*$D10</f>
        <v>793078</v>
      </c>
      <c r="L10" s="22">
        <f>INDEX(Notes!$I$2:$N$11,MATCH(Notes!$B$2,Notes!$I$2:$I$11,0),6)*$E10</f>
        <v>1189617</v>
      </c>
      <c r="M10" s="22">
        <f>IF(Notes!$B$2="June",'Payment Total'!$F10,0)</f>
        <v>0</v>
      </c>
      <c r="N10" s="22">
        <f t="shared" si="0"/>
        <v>0</v>
      </c>
      <c r="P10" s="21" t="s">
        <v>846</v>
      </c>
      <c r="Q10" s="21">
        <v>396539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101577</v>
      </c>
      <c r="E11" s="160">
        <f>INDEX(Data[],MATCH($A11,Data[Dist],0),MATCH(E$6,Data[#Headers],0))</f>
        <v>101576</v>
      </c>
      <c r="F11" s="160">
        <f>INDEX(Data[],MATCH($A11,Data[Dist],0),MATCH(F$6,Data[#Headers],0))</f>
        <v>101577</v>
      </c>
      <c r="G11" s="22">
        <f>INDEX(Data[],MATCH($A11,Data[Dist],0),MATCH(G$6,Data[#Headers],0))</f>
        <v>917334</v>
      </c>
      <c r="H11" s="22">
        <f>INDEX(Data[],MATCH($A11,Data[Dist],0),MATCH(H$6,Data[#Headers],0))-G11</f>
        <v>101577</v>
      </c>
      <c r="I11" s="23"/>
      <c r="J11" s="22">
        <f>INDEX(Notes!$I$2:$N$11,MATCH(Notes!$B$2,Notes!$I$2:$I$11,0),4)*$C11</f>
        <v>409452</v>
      </c>
      <c r="K11" s="22">
        <f>INDEX(Notes!$I$2:$N$11,MATCH(Notes!$B$2,Notes!$I$2:$I$11,0),5)*$D11</f>
        <v>203154</v>
      </c>
      <c r="L11" s="22">
        <f>INDEX(Notes!$I$2:$N$11,MATCH(Notes!$B$2,Notes!$I$2:$I$11,0),6)*$E11</f>
        <v>304728</v>
      </c>
      <c r="M11" s="22">
        <f>IF(Notes!$B$2="June",'Payment Total'!$F11,0)</f>
        <v>0</v>
      </c>
      <c r="N11" s="22">
        <f t="shared" si="0"/>
        <v>0</v>
      </c>
      <c r="P11" s="21" t="s">
        <v>847</v>
      </c>
      <c r="Q11" s="21">
        <v>101576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822724</v>
      </c>
      <c r="E12" s="160">
        <f>INDEX(Data[],MATCH($A12,Data[Dist],0),MATCH(E$6,Data[#Headers],0))</f>
        <v>822724</v>
      </c>
      <c r="F12" s="160">
        <f>INDEX(Data[],MATCH($A12,Data[Dist],0),MATCH(F$6,Data[#Headers],0))</f>
        <v>822723</v>
      </c>
      <c r="G12" s="22">
        <f>INDEX(Data[],MATCH($A12,Data[Dist],0),MATCH(G$6,Data[#Headers],0))</f>
        <v>7421020</v>
      </c>
      <c r="H12" s="22">
        <f>INDEX(Data[],MATCH($A12,Data[Dist],0),MATCH(H$6,Data[#Headers],0))-G12</f>
        <v>822723</v>
      </c>
      <c r="I12" s="23"/>
      <c r="J12" s="22">
        <f>INDEX(Notes!$I$2:$N$11,MATCH(Notes!$B$2,Notes!$I$2:$I$11,0),4)*$C12</f>
        <v>3307400</v>
      </c>
      <c r="K12" s="22">
        <f>INDEX(Notes!$I$2:$N$11,MATCH(Notes!$B$2,Notes!$I$2:$I$11,0),5)*$D12</f>
        <v>1645448</v>
      </c>
      <c r="L12" s="22">
        <f>INDEX(Notes!$I$2:$N$11,MATCH(Notes!$B$2,Notes!$I$2:$I$11,0),6)*$E12</f>
        <v>2468172</v>
      </c>
      <c r="M12" s="22">
        <f>IF(Notes!$B$2="June",'Payment Total'!$F12,0)</f>
        <v>0</v>
      </c>
      <c r="N12" s="22">
        <f t="shared" si="0"/>
        <v>0</v>
      </c>
      <c r="P12" s="21" t="s">
        <v>848</v>
      </c>
      <c r="Q12" s="21">
        <v>822724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330209</v>
      </c>
      <c r="E13" s="160">
        <f>INDEX(Data[],MATCH($A13,Data[Dist],0),MATCH(E$6,Data[#Headers],0))</f>
        <v>330209</v>
      </c>
      <c r="F13" s="160">
        <f>INDEX(Data[],MATCH($A13,Data[Dist],0),MATCH(F$6,Data[#Headers],0))</f>
        <v>330210</v>
      </c>
      <c r="G13" s="22">
        <f>INDEX(Data[],MATCH($A13,Data[Dist],0),MATCH(G$6,Data[#Headers],0))</f>
        <v>2979789</v>
      </c>
      <c r="H13" s="22">
        <f>INDEX(Data[],MATCH($A13,Data[Dist],0),MATCH(H$6,Data[#Headers],0))-G13</f>
        <v>330210</v>
      </c>
      <c r="I13" s="23"/>
      <c r="J13" s="22">
        <f>INDEX(Notes!$I$2:$N$11,MATCH(Notes!$B$2,Notes!$I$2:$I$11,0),4)*$C13</f>
        <v>1328744</v>
      </c>
      <c r="K13" s="22">
        <f>INDEX(Notes!$I$2:$N$11,MATCH(Notes!$B$2,Notes!$I$2:$I$11,0),5)*$D13</f>
        <v>660418</v>
      </c>
      <c r="L13" s="22">
        <f>INDEX(Notes!$I$2:$N$11,MATCH(Notes!$B$2,Notes!$I$2:$I$11,0),6)*$E13</f>
        <v>990627</v>
      </c>
      <c r="M13" s="22">
        <f>IF(Notes!$B$2="June",'Payment Total'!$F13,0)</f>
        <v>0</v>
      </c>
      <c r="N13" s="22">
        <f t="shared" si="0"/>
        <v>0</v>
      </c>
      <c r="P13" s="21" t="s">
        <v>849</v>
      </c>
      <c r="Q13" s="21">
        <v>330209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160626</v>
      </c>
      <c r="E14" s="160">
        <f>INDEX(Data[],MATCH($A14,Data[Dist],0),MATCH(E$6,Data[#Headers],0))</f>
        <v>160625</v>
      </c>
      <c r="F14" s="160">
        <f>INDEX(Data[],MATCH($A14,Data[Dist],0),MATCH(F$6,Data[#Headers],0))</f>
        <v>160626</v>
      </c>
      <c r="G14" s="22">
        <f>INDEX(Data[],MATCH($A14,Data[Dist],0),MATCH(G$6,Data[#Headers],0))</f>
        <v>1449739</v>
      </c>
      <c r="H14" s="22">
        <f>INDEX(Data[],MATCH($A14,Data[Dist],0),MATCH(H$6,Data[#Headers],0))-G14</f>
        <v>160626</v>
      </c>
      <c r="I14" s="23"/>
      <c r="J14" s="22">
        <f>INDEX(Notes!$I$2:$N$11,MATCH(Notes!$B$2,Notes!$I$2:$I$11,0),4)*$C14</f>
        <v>646612</v>
      </c>
      <c r="K14" s="22">
        <f>INDEX(Notes!$I$2:$N$11,MATCH(Notes!$B$2,Notes!$I$2:$I$11,0),5)*$D14</f>
        <v>321252</v>
      </c>
      <c r="L14" s="22">
        <f>INDEX(Notes!$I$2:$N$11,MATCH(Notes!$B$2,Notes!$I$2:$I$11,0),6)*$E14</f>
        <v>481875</v>
      </c>
      <c r="M14" s="22">
        <f>IF(Notes!$B$2="June",'Payment Total'!$F14,0)</f>
        <v>0</v>
      </c>
      <c r="N14" s="22">
        <f t="shared" si="0"/>
        <v>0</v>
      </c>
      <c r="P14" s="21" t="s">
        <v>850</v>
      </c>
      <c r="Q14" s="21">
        <v>160625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881850</v>
      </c>
      <c r="E15" s="160">
        <f>INDEX(Data[],MATCH($A15,Data[Dist],0),MATCH(E$6,Data[#Headers],0))</f>
        <v>881850</v>
      </c>
      <c r="F15" s="160">
        <f>INDEX(Data[],MATCH($A15,Data[Dist],0),MATCH(F$6,Data[#Headers],0))</f>
        <v>881850</v>
      </c>
      <c r="G15" s="22">
        <f>INDEX(Data[],MATCH($A15,Data[Dist],0),MATCH(G$6,Data[#Headers],0))</f>
        <v>7958362</v>
      </c>
      <c r="H15" s="22">
        <f>INDEX(Data[],MATCH($A15,Data[Dist],0),MATCH(H$6,Data[#Headers],0))-G15</f>
        <v>881850</v>
      </c>
      <c r="I15" s="23"/>
      <c r="J15" s="22">
        <f>INDEX(Notes!$I$2:$N$11,MATCH(Notes!$B$2,Notes!$I$2:$I$11,0),4)*$C15</f>
        <v>3549112</v>
      </c>
      <c r="K15" s="22">
        <f>INDEX(Notes!$I$2:$N$11,MATCH(Notes!$B$2,Notes!$I$2:$I$11,0),5)*$D15</f>
        <v>1763700</v>
      </c>
      <c r="L15" s="22">
        <f>INDEX(Notes!$I$2:$N$11,MATCH(Notes!$B$2,Notes!$I$2:$I$11,0),6)*$E15</f>
        <v>2645550</v>
      </c>
      <c r="M15" s="22">
        <f>IF(Notes!$B$2="June",'Payment Total'!$F15,0)</f>
        <v>0</v>
      </c>
      <c r="N15" s="22">
        <f t="shared" si="0"/>
        <v>0</v>
      </c>
      <c r="P15" s="21" t="s">
        <v>851</v>
      </c>
      <c r="Q15" s="21">
        <v>881850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731019</v>
      </c>
      <c r="E16" s="160">
        <f>INDEX(Data[],MATCH($A16,Data[Dist],0),MATCH(E$6,Data[#Headers],0))</f>
        <v>731020</v>
      </c>
      <c r="F16" s="160">
        <f>INDEX(Data[],MATCH($A16,Data[Dist],0),MATCH(F$6,Data[#Headers],0))</f>
        <v>731018</v>
      </c>
      <c r="G16" s="22">
        <f>INDEX(Data[],MATCH($A16,Data[Dist],0),MATCH(G$6,Data[#Headers],0))</f>
        <v>6595498</v>
      </c>
      <c r="H16" s="22">
        <f>INDEX(Data[],MATCH($A16,Data[Dist],0),MATCH(H$6,Data[#Headers],0))-G16</f>
        <v>731018</v>
      </c>
      <c r="I16" s="23"/>
      <c r="J16" s="22">
        <f>INDEX(Notes!$I$2:$N$11,MATCH(Notes!$B$2,Notes!$I$2:$I$11,0),4)*$C16</f>
        <v>2940400</v>
      </c>
      <c r="K16" s="22">
        <f>INDEX(Notes!$I$2:$N$11,MATCH(Notes!$B$2,Notes!$I$2:$I$11,0),5)*$D16</f>
        <v>1462038</v>
      </c>
      <c r="L16" s="22">
        <f>INDEX(Notes!$I$2:$N$11,MATCH(Notes!$B$2,Notes!$I$2:$I$11,0),6)*$E16</f>
        <v>2193060</v>
      </c>
      <c r="M16" s="22">
        <f>IF(Notes!$B$2="June",'Payment Total'!$F16,0)</f>
        <v>0</v>
      </c>
      <c r="N16" s="22">
        <f t="shared" si="0"/>
        <v>0</v>
      </c>
      <c r="P16" s="21" t="s">
        <v>852</v>
      </c>
      <c r="Q16" s="21">
        <v>731020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351864</v>
      </c>
      <c r="E17" s="160">
        <f>INDEX(Data[],MATCH($A17,Data[Dist],0),MATCH(E$6,Data[#Headers],0))</f>
        <v>351864</v>
      </c>
      <c r="F17" s="160">
        <f>INDEX(Data[],MATCH($A17,Data[Dist],0),MATCH(F$6,Data[#Headers],0))</f>
        <v>351864</v>
      </c>
      <c r="G17" s="22">
        <f>INDEX(Data[],MATCH($A17,Data[Dist],0),MATCH(G$6,Data[#Headers],0))</f>
        <v>3174832</v>
      </c>
      <c r="H17" s="22">
        <f>INDEX(Data[],MATCH($A17,Data[Dist],0),MATCH(H$6,Data[#Headers],0))-G17</f>
        <v>351864</v>
      </c>
      <c r="I17" s="23"/>
      <c r="J17" s="22">
        <f>INDEX(Notes!$I$2:$N$11,MATCH(Notes!$B$2,Notes!$I$2:$I$11,0),4)*$C17</f>
        <v>1415512</v>
      </c>
      <c r="K17" s="22">
        <f>INDEX(Notes!$I$2:$N$11,MATCH(Notes!$B$2,Notes!$I$2:$I$11,0),5)*$D17</f>
        <v>703728</v>
      </c>
      <c r="L17" s="22">
        <f>INDEX(Notes!$I$2:$N$11,MATCH(Notes!$B$2,Notes!$I$2:$I$11,0),6)*$E17</f>
        <v>1055592</v>
      </c>
      <c r="M17" s="22">
        <f>IF(Notes!$B$2="June",'Payment Total'!$F17,0)</f>
        <v>0</v>
      </c>
      <c r="N17" s="22">
        <f t="shared" si="0"/>
        <v>0</v>
      </c>
      <c r="P17" s="21" t="s">
        <v>853</v>
      </c>
      <c r="Q17" s="21">
        <v>351864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507925</v>
      </c>
      <c r="E18" s="160">
        <f>INDEX(Data[],MATCH($A18,Data[Dist],0),MATCH(E$6,Data[#Headers],0))</f>
        <v>507925</v>
      </c>
      <c r="F18" s="160">
        <f>INDEX(Data[],MATCH($A18,Data[Dist],0),MATCH(F$6,Data[#Headers],0))</f>
        <v>507923</v>
      </c>
      <c r="G18" s="22">
        <f>INDEX(Data[],MATCH($A18,Data[Dist],0),MATCH(G$6,Data[#Headers],0))</f>
        <v>4584425</v>
      </c>
      <c r="H18" s="22">
        <f>INDEX(Data[],MATCH($A18,Data[Dist],0),MATCH(H$6,Data[#Headers],0))-G18</f>
        <v>507923</v>
      </c>
      <c r="I18" s="23"/>
      <c r="J18" s="22">
        <f>INDEX(Notes!$I$2:$N$11,MATCH(Notes!$B$2,Notes!$I$2:$I$11,0),4)*$C18</f>
        <v>2044800</v>
      </c>
      <c r="K18" s="22">
        <f>INDEX(Notes!$I$2:$N$11,MATCH(Notes!$B$2,Notes!$I$2:$I$11,0),5)*$D18</f>
        <v>1015850</v>
      </c>
      <c r="L18" s="22">
        <f>INDEX(Notes!$I$2:$N$11,MATCH(Notes!$B$2,Notes!$I$2:$I$11,0),6)*$E18</f>
        <v>1523775</v>
      </c>
      <c r="M18" s="22">
        <f>IF(Notes!$B$2="June",'Payment Total'!$F18,0)</f>
        <v>0</v>
      </c>
      <c r="N18" s="22">
        <f t="shared" si="0"/>
        <v>0</v>
      </c>
      <c r="P18" s="21" t="s">
        <v>854</v>
      </c>
      <c r="Q18" s="21">
        <v>507925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2372794</v>
      </c>
      <c r="E19" s="160">
        <f>INDEX(Data[],MATCH($A19,Data[Dist],0),MATCH(E$6,Data[#Headers],0))</f>
        <v>2372795</v>
      </c>
      <c r="F19" s="160">
        <f>INDEX(Data[],MATCH($A19,Data[Dist],0),MATCH(F$6,Data[#Headers],0))</f>
        <v>2372793</v>
      </c>
      <c r="G19" s="22">
        <f>INDEX(Data[],MATCH($A19,Data[Dist],0),MATCH(G$6,Data[#Headers],0))</f>
        <v>21421797</v>
      </c>
      <c r="H19" s="22">
        <f>INDEX(Data[],MATCH($A19,Data[Dist],0),MATCH(H$6,Data[#Headers],0))-G19</f>
        <v>2372793</v>
      </c>
      <c r="I19" s="23"/>
      <c r="J19" s="22">
        <f>INDEX(Notes!$I$2:$N$11,MATCH(Notes!$B$2,Notes!$I$2:$I$11,0),4)*$C19</f>
        <v>9557824</v>
      </c>
      <c r="K19" s="22">
        <f>INDEX(Notes!$I$2:$N$11,MATCH(Notes!$B$2,Notes!$I$2:$I$11,0),5)*$D19</f>
        <v>4745588</v>
      </c>
      <c r="L19" s="22">
        <f>INDEX(Notes!$I$2:$N$11,MATCH(Notes!$B$2,Notes!$I$2:$I$11,0),6)*$E19</f>
        <v>7118385</v>
      </c>
      <c r="M19" s="22">
        <f>IF(Notes!$B$2="June",'Payment Total'!$F19,0)</f>
        <v>0</v>
      </c>
      <c r="N19" s="22">
        <f t="shared" si="0"/>
        <v>0</v>
      </c>
      <c r="P19" s="21" t="s">
        <v>855</v>
      </c>
      <c r="Q19" s="21">
        <v>2372795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884531</v>
      </c>
      <c r="E20" s="160">
        <f>INDEX(Data[],MATCH($A20,Data[Dist],0),MATCH(E$6,Data[#Headers],0))</f>
        <v>884531</v>
      </c>
      <c r="F20" s="160">
        <f>INDEX(Data[],MATCH($A20,Data[Dist],0),MATCH(F$6,Data[#Headers],0))</f>
        <v>884529</v>
      </c>
      <c r="G20" s="22">
        <f>INDEX(Data[],MATCH($A20,Data[Dist],0),MATCH(G$6,Data[#Headers],0))</f>
        <v>7979635</v>
      </c>
      <c r="H20" s="22">
        <f>INDEX(Data[],MATCH($A20,Data[Dist],0),MATCH(H$6,Data[#Headers],0))-G20</f>
        <v>884529</v>
      </c>
      <c r="I20" s="23"/>
      <c r="J20" s="22">
        <f>INDEX(Notes!$I$2:$N$11,MATCH(Notes!$B$2,Notes!$I$2:$I$11,0),4)*$C20</f>
        <v>3556980</v>
      </c>
      <c r="K20" s="22">
        <f>INDEX(Notes!$I$2:$N$11,MATCH(Notes!$B$2,Notes!$I$2:$I$11,0),5)*$D20</f>
        <v>1769062</v>
      </c>
      <c r="L20" s="22">
        <f>INDEX(Notes!$I$2:$N$11,MATCH(Notes!$B$2,Notes!$I$2:$I$11,0),6)*$E20</f>
        <v>2653593</v>
      </c>
      <c r="M20" s="22">
        <f>IF(Notes!$B$2="June",'Payment Total'!$F20,0)</f>
        <v>0</v>
      </c>
      <c r="N20" s="22">
        <f t="shared" si="0"/>
        <v>0</v>
      </c>
      <c r="P20" s="21" t="s">
        <v>856</v>
      </c>
      <c r="Q20" s="21">
        <v>884531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158285</v>
      </c>
      <c r="E21" s="160">
        <f>INDEX(Data[],MATCH($A21,Data[Dist],0),MATCH(E$6,Data[#Headers],0))</f>
        <v>158285</v>
      </c>
      <c r="F21" s="160">
        <f>INDEX(Data[],MATCH($A21,Data[Dist],0),MATCH(F$6,Data[#Headers],0))</f>
        <v>158283</v>
      </c>
      <c r="G21" s="22">
        <f>INDEX(Data[],MATCH($A21,Data[Dist],0),MATCH(G$6,Data[#Headers],0))</f>
        <v>1428061</v>
      </c>
      <c r="H21" s="22">
        <f>INDEX(Data[],MATCH($A21,Data[Dist],0),MATCH(H$6,Data[#Headers],0))-G21</f>
        <v>158283</v>
      </c>
      <c r="I21" s="23"/>
      <c r="J21" s="22">
        <f>INDEX(Notes!$I$2:$N$11,MATCH(Notes!$B$2,Notes!$I$2:$I$11,0),4)*$C21</f>
        <v>636636</v>
      </c>
      <c r="K21" s="22">
        <f>INDEX(Notes!$I$2:$N$11,MATCH(Notes!$B$2,Notes!$I$2:$I$11,0),5)*$D21</f>
        <v>316570</v>
      </c>
      <c r="L21" s="22">
        <f>INDEX(Notes!$I$2:$N$11,MATCH(Notes!$B$2,Notes!$I$2:$I$11,0),6)*$E21</f>
        <v>474855</v>
      </c>
      <c r="M21" s="22">
        <f>IF(Notes!$B$2="June",'Payment Total'!$F21,0)</f>
        <v>0</v>
      </c>
      <c r="N21" s="22">
        <f t="shared" si="0"/>
        <v>0</v>
      </c>
      <c r="P21" s="21" t="s">
        <v>857</v>
      </c>
      <c r="Q21" s="21">
        <v>158285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8533268</v>
      </c>
      <c r="E22" s="160">
        <f>INDEX(Data[],MATCH($A22,Data[Dist],0),MATCH(E$6,Data[#Headers],0))</f>
        <v>8533268</v>
      </c>
      <c r="F22" s="160">
        <f>INDEX(Data[],MATCH($A22,Data[Dist],0),MATCH(F$6,Data[#Headers],0))</f>
        <v>8533268</v>
      </c>
      <c r="G22" s="22">
        <f>INDEX(Data[],MATCH($A22,Data[Dist],0),MATCH(G$6,Data[#Headers],0))</f>
        <v>76989640</v>
      </c>
      <c r="H22" s="22">
        <f>INDEX(Data[],MATCH($A22,Data[Dist],0),MATCH(H$6,Data[#Headers],0))-G22</f>
        <v>8533268</v>
      </c>
      <c r="I22" s="25"/>
      <c r="J22" s="22">
        <f>INDEX(Notes!$I$2:$N$11,MATCH(Notes!$B$2,Notes!$I$2:$I$11,0),4)*$C22</f>
        <v>34323300</v>
      </c>
      <c r="K22" s="22">
        <f>INDEX(Notes!$I$2:$N$11,MATCH(Notes!$B$2,Notes!$I$2:$I$11,0),5)*$D22</f>
        <v>17066536</v>
      </c>
      <c r="L22" s="22">
        <f>INDEX(Notes!$I$2:$N$11,MATCH(Notes!$B$2,Notes!$I$2:$I$11,0),6)*$E22</f>
        <v>25599804</v>
      </c>
      <c r="M22" s="22">
        <f>IF(Notes!$B$2="June",'Payment Total'!$F22,0)</f>
        <v>0</v>
      </c>
      <c r="N22" s="22">
        <f t="shared" si="0"/>
        <v>0</v>
      </c>
      <c r="P22" s="26" t="s">
        <v>858</v>
      </c>
      <c r="Q22" s="26">
        <v>8533268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574359</v>
      </c>
      <c r="E23" s="160">
        <f>INDEX(Data[],MATCH($A23,Data[Dist],0),MATCH(E$6,Data[#Headers],0))</f>
        <v>567354</v>
      </c>
      <c r="F23" s="160">
        <f>INDEX(Data[],MATCH($A23,Data[Dist],0),MATCH(F$6,Data[#Headers],0))</f>
        <v>567355</v>
      </c>
      <c r="G23" s="22">
        <f>INDEX(Data[],MATCH($A23,Data[Dist],0),MATCH(G$6,Data[#Headers],0))</f>
        <v>5160424</v>
      </c>
      <c r="H23" s="22">
        <f>INDEX(Data[],MATCH($A23,Data[Dist],0),MATCH(H$6,Data[#Headers],0))-G23</f>
        <v>567355</v>
      </c>
      <c r="I23" s="25"/>
      <c r="J23" s="22">
        <f>INDEX(Notes!$I$2:$N$11,MATCH(Notes!$B$2,Notes!$I$2:$I$11,0),4)*$C23</f>
        <v>2309644</v>
      </c>
      <c r="K23" s="22">
        <f>INDEX(Notes!$I$2:$N$11,MATCH(Notes!$B$2,Notes!$I$2:$I$11,0),5)*$D23</f>
        <v>1148718</v>
      </c>
      <c r="L23" s="22">
        <f>INDEX(Notes!$I$2:$N$11,MATCH(Notes!$B$2,Notes!$I$2:$I$11,0),6)*$E23</f>
        <v>1702062</v>
      </c>
      <c r="M23" s="22">
        <f>IF(Notes!$B$2="June",'Payment Total'!$F23,0)</f>
        <v>0</v>
      </c>
      <c r="N23" s="22">
        <f t="shared" si="0"/>
        <v>0</v>
      </c>
      <c r="P23" s="26" t="s">
        <v>859</v>
      </c>
      <c r="Q23" s="26">
        <v>567354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167281</v>
      </c>
      <c r="E24" s="160">
        <f>INDEX(Data[],MATCH($A24,Data[Dist],0),MATCH(E$6,Data[#Headers],0))</f>
        <v>167282</v>
      </c>
      <c r="F24" s="160">
        <f>INDEX(Data[],MATCH($A24,Data[Dist],0),MATCH(F$6,Data[#Headers],0))</f>
        <v>167280</v>
      </c>
      <c r="G24" s="22">
        <f>INDEX(Data[],MATCH($A24,Data[Dist],0),MATCH(G$6,Data[#Headers],0))</f>
        <v>1511568</v>
      </c>
      <c r="H24" s="22">
        <f>INDEX(Data[],MATCH($A24,Data[Dist],0),MATCH(H$6,Data[#Headers],0))-G24</f>
        <v>167280</v>
      </c>
      <c r="I24" s="25"/>
      <c r="J24" s="22">
        <f>INDEX(Notes!$I$2:$N$11,MATCH(Notes!$B$2,Notes!$I$2:$I$11,0),4)*$C24</f>
        <v>675160</v>
      </c>
      <c r="K24" s="22">
        <f>INDEX(Notes!$I$2:$N$11,MATCH(Notes!$B$2,Notes!$I$2:$I$11,0),5)*$D24</f>
        <v>334562</v>
      </c>
      <c r="L24" s="22">
        <f>INDEX(Notes!$I$2:$N$11,MATCH(Notes!$B$2,Notes!$I$2:$I$11,0),6)*$E24</f>
        <v>501846</v>
      </c>
      <c r="M24" s="22">
        <f>IF(Notes!$B$2="June",'Payment Total'!$F24,0)</f>
        <v>0</v>
      </c>
      <c r="N24" s="22">
        <f t="shared" si="0"/>
        <v>0</v>
      </c>
      <c r="P24" s="26" t="s">
        <v>860</v>
      </c>
      <c r="Q24" s="26">
        <v>167282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117803</v>
      </c>
      <c r="E25" s="160">
        <f>INDEX(Data[],MATCH($A25,Data[Dist],0),MATCH(E$6,Data[#Headers],0))</f>
        <v>117644</v>
      </c>
      <c r="F25" s="160">
        <f>INDEX(Data[],MATCH($A25,Data[Dist],0),MATCH(F$6,Data[#Headers],0))</f>
        <v>117642</v>
      </c>
      <c r="G25" s="22">
        <f>INDEX(Data[],MATCH($A25,Data[Dist],0),MATCH(G$6,Data[#Headers],0))</f>
        <v>1063898</v>
      </c>
      <c r="H25" s="22">
        <f>INDEX(Data[],MATCH($A25,Data[Dist],0),MATCH(H$6,Data[#Headers],0))-G25</f>
        <v>117642</v>
      </c>
      <c r="I25" s="25"/>
      <c r="J25" s="22">
        <f>INDEX(Notes!$I$2:$N$11,MATCH(Notes!$B$2,Notes!$I$2:$I$11,0),4)*$C25</f>
        <v>475360</v>
      </c>
      <c r="K25" s="22">
        <f>INDEX(Notes!$I$2:$N$11,MATCH(Notes!$B$2,Notes!$I$2:$I$11,0),5)*$D25</f>
        <v>235606</v>
      </c>
      <c r="L25" s="22">
        <f>INDEX(Notes!$I$2:$N$11,MATCH(Notes!$B$2,Notes!$I$2:$I$11,0),6)*$E25</f>
        <v>352932</v>
      </c>
      <c r="M25" s="22">
        <f>IF(Notes!$B$2="June",'Payment Total'!$F25,0)</f>
        <v>0</v>
      </c>
      <c r="N25" s="22">
        <f t="shared" si="0"/>
        <v>0</v>
      </c>
      <c r="P25" s="26" t="s">
        <v>861</v>
      </c>
      <c r="Q25" s="26">
        <v>117644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1069173</v>
      </c>
      <c r="E26" s="160">
        <f>INDEX(Data[],MATCH($A26,Data[Dist],0),MATCH(E$6,Data[#Headers],0))</f>
        <v>1069174</v>
      </c>
      <c r="F26" s="160">
        <f>INDEX(Data[],MATCH($A26,Data[Dist],0),MATCH(F$6,Data[#Headers],0))</f>
        <v>1069172</v>
      </c>
      <c r="G26" s="22">
        <f>INDEX(Data[],MATCH($A26,Data[Dist],0),MATCH(G$6,Data[#Headers],0))</f>
        <v>9643604</v>
      </c>
      <c r="H26" s="22">
        <f>INDEX(Data[],MATCH($A26,Data[Dist],0),MATCH(H$6,Data[#Headers],0))-G26</f>
        <v>1069172</v>
      </c>
      <c r="I26" s="25"/>
      <c r="J26" s="22">
        <f>INDEX(Notes!$I$2:$N$11,MATCH(Notes!$B$2,Notes!$I$2:$I$11,0),4)*$C26</f>
        <v>4297736</v>
      </c>
      <c r="K26" s="22">
        <f>INDEX(Notes!$I$2:$N$11,MATCH(Notes!$B$2,Notes!$I$2:$I$11,0),5)*$D26</f>
        <v>2138346</v>
      </c>
      <c r="L26" s="22">
        <f>INDEX(Notes!$I$2:$N$11,MATCH(Notes!$B$2,Notes!$I$2:$I$11,0),6)*$E26</f>
        <v>3207522</v>
      </c>
      <c r="M26" s="22">
        <f>IF(Notes!$B$2="June",'Payment Total'!$F26,0)</f>
        <v>0</v>
      </c>
      <c r="N26" s="22">
        <f t="shared" si="0"/>
        <v>0</v>
      </c>
      <c r="P26" s="26" t="s">
        <v>862</v>
      </c>
      <c r="Q26" s="26">
        <v>1069174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330784</v>
      </c>
      <c r="E27" s="160">
        <f>INDEX(Data[],MATCH($A27,Data[Dist],0),MATCH(E$6,Data[#Headers],0))</f>
        <v>330784</v>
      </c>
      <c r="F27" s="160">
        <f>INDEX(Data[],MATCH($A27,Data[Dist],0),MATCH(F$6,Data[#Headers],0))</f>
        <v>330784</v>
      </c>
      <c r="G27" s="22">
        <f>INDEX(Data[],MATCH($A27,Data[Dist],0),MATCH(G$6,Data[#Headers],0))</f>
        <v>2984720</v>
      </c>
      <c r="H27" s="22">
        <f>INDEX(Data[],MATCH($A27,Data[Dist],0),MATCH(H$6,Data[#Headers],0))-G27</f>
        <v>330784</v>
      </c>
      <c r="I27" s="25"/>
      <c r="J27" s="22">
        <f>INDEX(Notes!$I$2:$N$11,MATCH(Notes!$B$2,Notes!$I$2:$I$11,0),4)*$C27</f>
        <v>1330800</v>
      </c>
      <c r="K27" s="22">
        <f>INDEX(Notes!$I$2:$N$11,MATCH(Notes!$B$2,Notes!$I$2:$I$11,0),5)*$D27</f>
        <v>661568</v>
      </c>
      <c r="L27" s="22">
        <f>INDEX(Notes!$I$2:$N$11,MATCH(Notes!$B$2,Notes!$I$2:$I$11,0),6)*$E27</f>
        <v>992352</v>
      </c>
      <c r="M27" s="22">
        <f>IF(Notes!$B$2="June",'Payment Total'!$F27,0)</f>
        <v>0</v>
      </c>
      <c r="N27" s="22">
        <f t="shared" si="0"/>
        <v>0</v>
      </c>
      <c r="P27" s="26" t="s">
        <v>863</v>
      </c>
      <c r="Q27" s="26">
        <v>330784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414487</v>
      </c>
      <c r="E28" s="160">
        <f>INDEX(Data[],MATCH($A28,Data[Dist],0),MATCH(E$6,Data[#Headers],0))</f>
        <v>414487</v>
      </c>
      <c r="F28" s="160">
        <f>INDEX(Data[],MATCH($A28,Data[Dist],0),MATCH(F$6,Data[#Headers],0))</f>
        <v>414488</v>
      </c>
      <c r="G28" s="22">
        <f>INDEX(Data[],MATCH($A28,Data[Dist],0),MATCH(G$6,Data[#Headers],0))</f>
        <v>3742283</v>
      </c>
      <c r="H28" s="22">
        <f>INDEX(Data[],MATCH($A28,Data[Dist],0),MATCH(H$6,Data[#Headers],0))-G28</f>
        <v>414488</v>
      </c>
      <c r="I28" s="25"/>
      <c r="J28" s="22">
        <f>INDEX(Notes!$I$2:$N$11,MATCH(Notes!$B$2,Notes!$I$2:$I$11,0),4)*$C28</f>
        <v>1669848</v>
      </c>
      <c r="K28" s="22">
        <f>INDEX(Notes!$I$2:$N$11,MATCH(Notes!$B$2,Notes!$I$2:$I$11,0),5)*$D28</f>
        <v>828974</v>
      </c>
      <c r="L28" s="22">
        <f>INDEX(Notes!$I$2:$N$11,MATCH(Notes!$B$2,Notes!$I$2:$I$11,0),6)*$E28</f>
        <v>1243461</v>
      </c>
      <c r="M28" s="22">
        <f>IF(Notes!$B$2="June",'Payment Total'!$F28,0)</f>
        <v>0</v>
      </c>
      <c r="N28" s="22">
        <f t="shared" si="0"/>
        <v>0</v>
      </c>
      <c r="P28" s="26" t="s">
        <v>864</v>
      </c>
      <c r="Q28" s="26">
        <v>414487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1347233</v>
      </c>
      <c r="E29" s="160">
        <f>INDEX(Data[],MATCH($A29,Data[Dist],0),MATCH(E$6,Data[#Headers],0))</f>
        <v>1347233</v>
      </c>
      <c r="F29" s="160">
        <f>INDEX(Data[],MATCH($A29,Data[Dist],0),MATCH(F$6,Data[#Headers],0))</f>
        <v>1347231</v>
      </c>
      <c r="G29" s="22">
        <f>INDEX(Data[],MATCH($A29,Data[Dist],0),MATCH(G$6,Data[#Headers],0))</f>
        <v>12151505</v>
      </c>
      <c r="H29" s="22">
        <f>INDEX(Data[],MATCH($A29,Data[Dist],0),MATCH(H$6,Data[#Headers],0))-G29</f>
        <v>1347231</v>
      </c>
      <c r="I29" s="25"/>
      <c r="J29" s="22">
        <f>INDEX(Notes!$I$2:$N$11,MATCH(Notes!$B$2,Notes!$I$2:$I$11,0),4)*$C29</f>
        <v>5415340</v>
      </c>
      <c r="K29" s="22">
        <f>INDEX(Notes!$I$2:$N$11,MATCH(Notes!$B$2,Notes!$I$2:$I$11,0),5)*$D29</f>
        <v>2694466</v>
      </c>
      <c r="L29" s="22">
        <f>INDEX(Notes!$I$2:$N$11,MATCH(Notes!$B$2,Notes!$I$2:$I$11,0),6)*$E29</f>
        <v>4041699</v>
      </c>
      <c r="M29" s="22">
        <f>IF(Notes!$B$2="June",'Payment Total'!$F29,0)</f>
        <v>0</v>
      </c>
      <c r="N29" s="22">
        <f t="shared" si="0"/>
        <v>0</v>
      </c>
      <c r="P29" s="26" t="s">
        <v>865</v>
      </c>
      <c r="Q29" s="26">
        <v>1347233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271825</v>
      </c>
      <c r="E30" s="160">
        <f>INDEX(Data[],MATCH($A30,Data[Dist],0),MATCH(E$6,Data[#Headers],0))</f>
        <v>271826</v>
      </c>
      <c r="F30" s="160">
        <f>INDEX(Data[],MATCH($A30,Data[Dist],0),MATCH(F$6,Data[#Headers],0))</f>
        <v>271824</v>
      </c>
      <c r="G30" s="22">
        <f>INDEX(Data[],MATCH($A30,Data[Dist],0),MATCH(G$6,Data[#Headers],0))</f>
        <v>2451844</v>
      </c>
      <c r="H30" s="22">
        <f>INDEX(Data[],MATCH($A30,Data[Dist],0),MATCH(H$6,Data[#Headers],0))-G30</f>
        <v>271824</v>
      </c>
      <c r="I30" s="25"/>
      <c r="J30" s="22">
        <f>INDEX(Notes!$I$2:$N$11,MATCH(Notes!$B$2,Notes!$I$2:$I$11,0),4)*$C30</f>
        <v>1092716</v>
      </c>
      <c r="K30" s="22">
        <f>INDEX(Notes!$I$2:$N$11,MATCH(Notes!$B$2,Notes!$I$2:$I$11,0),5)*$D30</f>
        <v>543650</v>
      </c>
      <c r="L30" s="22">
        <f>INDEX(Notes!$I$2:$N$11,MATCH(Notes!$B$2,Notes!$I$2:$I$11,0),6)*$E30</f>
        <v>815478</v>
      </c>
      <c r="M30" s="22">
        <f>IF(Notes!$B$2="June",'Payment Total'!$F30,0)</f>
        <v>0</v>
      </c>
      <c r="N30" s="22">
        <f t="shared" si="0"/>
        <v>0</v>
      </c>
      <c r="P30" s="26" t="s">
        <v>866</v>
      </c>
      <c r="Q30" s="26">
        <v>271826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254526</v>
      </c>
      <c r="E31" s="160">
        <f>INDEX(Data[],MATCH($A31,Data[Dist],0),MATCH(E$6,Data[#Headers],0))</f>
        <v>254526</v>
      </c>
      <c r="F31" s="160">
        <f>INDEX(Data[],MATCH($A31,Data[Dist],0),MATCH(F$6,Data[#Headers],0))</f>
        <v>254527</v>
      </c>
      <c r="G31" s="22">
        <f>INDEX(Data[],MATCH($A31,Data[Dist],0),MATCH(G$6,Data[#Headers],0))</f>
        <v>2297662</v>
      </c>
      <c r="H31" s="22">
        <f>INDEX(Data[],MATCH($A31,Data[Dist],0),MATCH(H$6,Data[#Headers],0))-G31</f>
        <v>254527</v>
      </c>
      <c r="I31" s="25"/>
      <c r="J31" s="22">
        <f>INDEX(Notes!$I$2:$N$11,MATCH(Notes!$B$2,Notes!$I$2:$I$11,0),4)*$C31</f>
        <v>1025032</v>
      </c>
      <c r="K31" s="22">
        <f>INDEX(Notes!$I$2:$N$11,MATCH(Notes!$B$2,Notes!$I$2:$I$11,0),5)*$D31</f>
        <v>509052</v>
      </c>
      <c r="L31" s="22">
        <f>INDEX(Notes!$I$2:$N$11,MATCH(Notes!$B$2,Notes!$I$2:$I$11,0),6)*$E31</f>
        <v>763578</v>
      </c>
      <c r="M31" s="22">
        <f>IF(Notes!$B$2="June",'Payment Total'!$F31,0)</f>
        <v>0</v>
      </c>
      <c r="N31" s="22">
        <f t="shared" si="0"/>
        <v>0</v>
      </c>
      <c r="P31" s="26" t="s">
        <v>867</v>
      </c>
      <c r="Q31" s="26">
        <v>254526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333240</v>
      </c>
      <c r="E32" s="160">
        <f>INDEX(Data[],MATCH($A32,Data[Dist],0),MATCH(E$6,Data[#Headers],0))</f>
        <v>333240</v>
      </c>
      <c r="F32" s="160">
        <f>INDEX(Data[],MATCH($A32,Data[Dist],0),MATCH(F$6,Data[#Headers],0))</f>
        <v>333239</v>
      </c>
      <c r="G32" s="22">
        <f>INDEX(Data[],MATCH($A32,Data[Dist],0),MATCH(G$6,Data[#Headers],0))</f>
        <v>3006692</v>
      </c>
      <c r="H32" s="22">
        <f>INDEX(Data[],MATCH($A32,Data[Dist],0),MATCH(H$6,Data[#Headers],0))-G32</f>
        <v>333239</v>
      </c>
      <c r="I32" s="25"/>
      <c r="J32" s="22">
        <f>INDEX(Notes!$I$2:$N$11,MATCH(Notes!$B$2,Notes!$I$2:$I$11,0),4)*$C32</f>
        <v>1340492</v>
      </c>
      <c r="K32" s="22">
        <f>INDEX(Notes!$I$2:$N$11,MATCH(Notes!$B$2,Notes!$I$2:$I$11,0),5)*$D32</f>
        <v>666480</v>
      </c>
      <c r="L32" s="22">
        <f>INDEX(Notes!$I$2:$N$11,MATCH(Notes!$B$2,Notes!$I$2:$I$11,0),6)*$E32</f>
        <v>999720</v>
      </c>
      <c r="M32" s="22">
        <f>IF(Notes!$B$2="June",'Payment Total'!$F32,0)</f>
        <v>0</v>
      </c>
      <c r="N32" s="22">
        <f t="shared" si="0"/>
        <v>0</v>
      </c>
      <c r="P32" s="26" t="s">
        <v>868</v>
      </c>
      <c r="Q32" s="26">
        <v>333240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331418</v>
      </c>
      <c r="E33" s="160">
        <f>INDEX(Data[],MATCH($A33,Data[Dist],0),MATCH(E$6,Data[#Headers],0))</f>
        <v>331418</v>
      </c>
      <c r="F33" s="160">
        <f>INDEX(Data[],MATCH($A33,Data[Dist],0),MATCH(F$6,Data[#Headers],0))</f>
        <v>331418</v>
      </c>
      <c r="G33" s="22">
        <f>INDEX(Data[],MATCH($A33,Data[Dist],0),MATCH(G$6,Data[#Headers],0))</f>
        <v>2989858</v>
      </c>
      <c r="H33" s="22">
        <f>INDEX(Data[],MATCH($A33,Data[Dist],0),MATCH(H$6,Data[#Headers],0))-G33</f>
        <v>331418</v>
      </c>
      <c r="I33" s="25"/>
      <c r="J33" s="22">
        <f>INDEX(Notes!$I$2:$N$11,MATCH(Notes!$B$2,Notes!$I$2:$I$11,0),4)*$C33</f>
        <v>1332768</v>
      </c>
      <c r="K33" s="22">
        <f>INDEX(Notes!$I$2:$N$11,MATCH(Notes!$B$2,Notes!$I$2:$I$11,0),5)*$D33</f>
        <v>662836</v>
      </c>
      <c r="L33" s="22">
        <f>INDEX(Notes!$I$2:$N$11,MATCH(Notes!$B$2,Notes!$I$2:$I$11,0),6)*$E33</f>
        <v>994254</v>
      </c>
      <c r="M33" s="22">
        <f>IF(Notes!$B$2="June",'Payment Total'!$F33,0)</f>
        <v>0</v>
      </c>
      <c r="N33" s="22">
        <f t="shared" si="0"/>
        <v>0</v>
      </c>
      <c r="P33" s="26" t="s">
        <v>869</v>
      </c>
      <c r="Q33" s="26">
        <v>331418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397944</v>
      </c>
      <c r="E34" s="160">
        <f>INDEX(Data[],MATCH($A34,Data[Dist],0),MATCH(E$6,Data[#Headers],0))</f>
        <v>397945</v>
      </c>
      <c r="F34" s="160">
        <f>INDEX(Data[],MATCH($A34,Data[Dist],0),MATCH(F$6,Data[#Headers],0))</f>
        <v>397943</v>
      </c>
      <c r="G34" s="22">
        <f>INDEX(Data[],MATCH($A34,Data[Dist],0),MATCH(G$6,Data[#Headers],0))</f>
        <v>3590987</v>
      </c>
      <c r="H34" s="22">
        <f>INDEX(Data[],MATCH($A34,Data[Dist],0),MATCH(H$6,Data[#Headers],0))-G34</f>
        <v>397943</v>
      </c>
      <c r="I34" s="25"/>
      <c r="J34" s="22">
        <f>INDEX(Notes!$I$2:$N$11,MATCH(Notes!$B$2,Notes!$I$2:$I$11,0),4)*$C34</f>
        <v>1601264</v>
      </c>
      <c r="K34" s="22">
        <f>INDEX(Notes!$I$2:$N$11,MATCH(Notes!$B$2,Notes!$I$2:$I$11,0),5)*$D34</f>
        <v>795888</v>
      </c>
      <c r="L34" s="22">
        <f>INDEX(Notes!$I$2:$N$11,MATCH(Notes!$B$2,Notes!$I$2:$I$11,0),6)*$E34</f>
        <v>1193835</v>
      </c>
      <c r="M34" s="22">
        <f>IF(Notes!$B$2="June",'Payment Total'!$F34,0)</f>
        <v>0</v>
      </c>
      <c r="N34" s="22">
        <f t="shared" si="0"/>
        <v>0</v>
      </c>
      <c r="P34" s="26" t="s">
        <v>870</v>
      </c>
      <c r="Q34" s="26">
        <v>397945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491487</v>
      </c>
      <c r="E35" s="160">
        <f>INDEX(Data[],MATCH($A35,Data[Dist],0),MATCH(E$6,Data[#Headers],0))</f>
        <v>491487</v>
      </c>
      <c r="F35" s="160">
        <f>INDEX(Data[],MATCH($A35,Data[Dist],0),MATCH(F$6,Data[#Headers],0))</f>
        <v>491488</v>
      </c>
      <c r="G35" s="22">
        <f>INDEX(Data[],MATCH($A35,Data[Dist],0),MATCH(G$6,Data[#Headers],0))</f>
        <v>4434495</v>
      </c>
      <c r="H35" s="22">
        <f>INDEX(Data[],MATCH($A35,Data[Dist],0),MATCH(H$6,Data[#Headers],0))-G35</f>
        <v>491488</v>
      </c>
      <c r="I35" s="25"/>
      <c r="J35" s="22">
        <f>INDEX(Notes!$I$2:$N$11,MATCH(Notes!$B$2,Notes!$I$2:$I$11,0),4)*$C35</f>
        <v>1977060</v>
      </c>
      <c r="K35" s="22">
        <f>INDEX(Notes!$I$2:$N$11,MATCH(Notes!$B$2,Notes!$I$2:$I$11,0),5)*$D35</f>
        <v>982974</v>
      </c>
      <c r="L35" s="22">
        <f>INDEX(Notes!$I$2:$N$11,MATCH(Notes!$B$2,Notes!$I$2:$I$11,0),6)*$E35</f>
        <v>1474461</v>
      </c>
      <c r="M35" s="22">
        <f>IF(Notes!$B$2="June",'Payment Total'!$F35,0)</f>
        <v>0</v>
      </c>
      <c r="N35" s="22">
        <f t="shared" si="0"/>
        <v>0</v>
      </c>
      <c r="P35" s="26" t="s">
        <v>871</v>
      </c>
      <c r="Q35" s="26">
        <v>491487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102523</v>
      </c>
      <c r="E36" s="160">
        <f>INDEX(Data[],MATCH($A36,Data[Dist],0),MATCH(E$6,Data[#Headers],0))</f>
        <v>102524</v>
      </c>
      <c r="F36" s="160">
        <f>INDEX(Data[],MATCH($A36,Data[Dist],0),MATCH(F$6,Data[#Headers],0))</f>
        <v>102522</v>
      </c>
      <c r="G36" s="22">
        <f>INDEX(Data[],MATCH($A36,Data[Dist],0),MATCH(G$6,Data[#Headers],0))</f>
        <v>925342</v>
      </c>
      <c r="H36" s="22">
        <f>INDEX(Data[],MATCH($A36,Data[Dist],0),MATCH(H$6,Data[#Headers],0))-G36</f>
        <v>102522</v>
      </c>
      <c r="I36" s="25"/>
      <c r="J36" s="22">
        <f>INDEX(Notes!$I$2:$N$11,MATCH(Notes!$B$2,Notes!$I$2:$I$11,0),4)*$C36</f>
        <v>412724</v>
      </c>
      <c r="K36" s="22">
        <f>INDEX(Notes!$I$2:$N$11,MATCH(Notes!$B$2,Notes!$I$2:$I$11,0),5)*$D36</f>
        <v>205046</v>
      </c>
      <c r="L36" s="22">
        <f>INDEX(Notes!$I$2:$N$11,MATCH(Notes!$B$2,Notes!$I$2:$I$11,0),6)*$E36</f>
        <v>307572</v>
      </c>
      <c r="M36" s="22">
        <f>IF(Notes!$B$2="June",'Payment Total'!$F36,0)</f>
        <v>0</v>
      </c>
      <c r="N36" s="22">
        <f t="shared" si="0"/>
        <v>0</v>
      </c>
      <c r="P36" s="26" t="s">
        <v>872</v>
      </c>
      <c r="Q36" s="26">
        <v>102524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959361</v>
      </c>
      <c r="E37" s="160">
        <f>INDEX(Data[],MATCH($A37,Data[Dist],0),MATCH(E$6,Data[#Headers],0))</f>
        <v>959361</v>
      </c>
      <c r="F37" s="160">
        <f>INDEX(Data[],MATCH($A37,Data[Dist],0),MATCH(F$6,Data[#Headers],0))</f>
        <v>959362</v>
      </c>
      <c r="G37" s="22">
        <f>INDEX(Data[],MATCH($A37,Data[Dist],0),MATCH(G$6,Data[#Headers],0))</f>
        <v>8657337</v>
      </c>
      <c r="H37" s="22">
        <f>INDEX(Data[],MATCH($A37,Data[Dist],0),MATCH(H$6,Data[#Headers],0))-G37</f>
        <v>959362</v>
      </c>
      <c r="I37" s="25"/>
      <c r="J37" s="22">
        <f>INDEX(Notes!$I$2:$N$11,MATCH(Notes!$B$2,Notes!$I$2:$I$11,0),4)*$C37</f>
        <v>3860532</v>
      </c>
      <c r="K37" s="22">
        <f>INDEX(Notes!$I$2:$N$11,MATCH(Notes!$B$2,Notes!$I$2:$I$11,0),5)*$D37</f>
        <v>1918722</v>
      </c>
      <c r="L37" s="22">
        <f>INDEX(Notes!$I$2:$N$11,MATCH(Notes!$B$2,Notes!$I$2:$I$11,0),6)*$E37</f>
        <v>2878083</v>
      </c>
      <c r="M37" s="22">
        <f>IF(Notes!$B$2="June",'Payment Total'!$F37,0)</f>
        <v>0</v>
      </c>
      <c r="N37" s="22">
        <f t="shared" si="0"/>
        <v>0</v>
      </c>
      <c r="P37" s="26" t="s">
        <v>873</v>
      </c>
      <c r="Q37" s="26">
        <v>959361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2763278</v>
      </c>
      <c r="E38" s="160">
        <f>INDEX(Data[],MATCH($A38,Data[Dist],0),MATCH(E$6,Data[#Headers],0))</f>
        <v>2763278</v>
      </c>
      <c r="F38" s="160">
        <f>INDEX(Data[],MATCH($A38,Data[Dist],0),MATCH(F$6,Data[#Headers],0))</f>
        <v>2763276</v>
      </c>
      <c r="G38" s="22">
        <f>INDEX(Data[],MATCH($A38,Data[Dist],0),MATCH(G$6,Data[#Headers],0))</f>
        <v>24929810</v>
      </c>
      <c r="H38" s="22">
        <f>INDEX(Data[],MATCH($A38,Data[Dist],0),MATCH(H$6,Data[#Headers],0))-G38</f>
        <v>2763276</v>
      </c>
      <c r="I38" s="25"/>
      <c r="J38" s="22">
        <f>INDEX(Notes!$I$2:$N$11,MATCH(Notes!$B$2,Notes!$I$2:$I$11,0),4)*$C38</f>
        <v>11113420</v>
      </c>
      <c r="K38" s="22">
        <f>INDEX(Notes!$I$2:$N$11,MATCH(Notes!$B$2,Notes!$I$2:$I$11,0),5)*$D38</f>
        <v>5526556</v>
      </c>
      <c r="L38" s="22">
        <f>INDEX(Notes!$I$2:$N$11,MATCH(Notes!$B$2,Notes!$I$2:$I$11,0),6)*$E38</f>
        <v>8289834</v>
      </c>
      <c r="M38" s="22">
        <f>IF(Notes!$B$2="June",'Payment Total'!$F38,0)</f>
        <v>0</v>
      </c>
      <c r="N38" s="22">
        <f t="shared" si="0"/>
        <v>0</v>
      </c>
      <c r="P38" s="26" t="s">
        <v>874</v>
      </c>
      <c r="Q38" s="26">
        <v>2763278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448437</v>
      </c>
      <c r="E39" s="160">
        <f>INDEX(Data[],MATCH($A39,Data[Dist],0),MATCH(E$6,Data[#Headers],0))</f>
        <v>448437</v>
      </c>
      <c r="F39" s="160">
        <f>INDEX(Data[],MATCH($A39,Data[Dist],0),MATCH(F$6,Data[#Headers],0))</f>
        <v>448437</v>
      </c>
      <c r="G39" s="22">
        <f>INDEX(Data[],MATCH($A39,Data[Dist],0),MATCH(G$6,Data[#Headers],0))</f>
        <v>4048477</v>
      </c>
      <c r="H39" s="22">
        <f>INDEX(Data[],MATCH($A39,Data[Dist],0),MATCH(H$6,Data[#Headers],0))-G39</f>
        <v>448437</v>
      </c>
      <c r="I39" s="25"/>
      <c r="J39" s="22">
        <f>INDEX(Notes!$I$2:$N$11,MATCH(Notes!$B$2,Notes!$I$2:$I$11,0),4)*$C39</f>
        <v>1806292</v>
      </c>
      <c r="K39" s="22">
        <f>INDEX(Notes!$I$2:$N$11,MATCH(Notes!$B$2,Notes!$I$2:$I$11,0),5)*$D39</f>
        <v>896874</v>
      </c>
      <c r="L39" s="22">
        <f>INDEX(Notes!$I$2:$N$11,MATCH(Notes!$B$2,Notes!$I$2:$I$11,0),6)*$E39</f>
        <v>1345311</v>
      </c>
      <c r="M39" s="22">
        <f>IF(Notes!$B$2="June",'Payment Total'!$F39,0)</f>
        <v>0</v>
      </c>
      <c r="N39" s="22">
        <f t="shared" si="0"/>
        <v>0</v>
      </c>
      <c r="P39" s="26" t="s">
        <v>875</v>
      </c>
      <c r="Q39" s="26">
        <v>448437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1849350</v>
      </c>
      <c r="E40" s="160">
        <f>INDEX(Data[],MATCH($A40,Data[Dist],0),MATCH(E$6,Data[#Headers],0))</f>
        <v>1849350</v>
      </c>
      <c r="F40" s="160">
        <f>INDEX(Data[],MATCH($A40,Data[Dist],0),MATCH(F$6,Data[#Headers],0))</f>
        <v>1849348</v>
      </c>
      <c r="G40" s="22">
        <f>INDEX(Data[],MATCH($A40,Data[Dist],0),MATCH(G$6,Data[#Headers],0))</f>
        <v>16681902</v>
      </c>
      <c r="H40" s="22">
        <f>INDEX(Data[],MATCH($A40,Data[Dist],0),MATCH(H$6,Data[#Headers],0))-G40</f>
        <v>1849348</v>
      </c>
      <c r="I40" s="25"/>
      <c r="J40" s="22">
        <f>INDEX(Notes!$I$2:$N$11,MATCH(Notes!$B$2,Notes!$I$2:$I$11,0),4)*$C40</f>
        <v>7435152</v>
      </c>
      <c r="K40" s="22">
        <f>INDEX(Notes!$I$2:$N$11,MATCH(Notes!$B$2,Notes!$I$2:$I$11,0),5)*$D40</f>
        <v>3698700</v>
      </c>
      <c r="L40" s="22">
        <f>INDEX(Notes!$I$2:$N$11,MATCH(Notes!$B$2,Notes!$I$2:$I$11,0),6)*$E40</f>
        <v>5548050</v>
      </c>
      <c r="M40" s="22">
        <f>IF(Notes!$B$2="June",'Payment Total'!$F40,0)</f>
        <v>0</v>
      </c>
      <c r="N40" s="22">
        <f t="shared" si="0"/>
        <v>0</v>
      </c>
      <c r="P40" s="26" t="s">
        <v>876</v>
      </c>
      <c r="Q40" s="26">
        <v>1849350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1617282</v>
      </c>
      <c r="E41" s="160">
        <f>INDEX(Data[],MATCH($A41,Data[Dist],0),MATCH(E$6,Data[#Headers],0))</f>
        <v>1617282</v>
      </c>
      <c r="F41" s="160">
        <f>INDEX(Data[],MATCH($A41,Data[Dist],0),MATCH(F$6,Data[#Headers],0))</f>
        <v>1617282</v>
      </c>
      <c r="G41" s="22">
        <f>INDEX(Data[],MATCH($A41,Data[Dist],0),MATCH(G$6,Data[#Headers],0))</f>
        <v>14586126</v>
      </c>
      <c r="H41" s="22">
        <f>INDEX(Data[],MATCH($A41,Data[Dist],0),MATCH(H$6,Data[#Headers],0))-G41</f>
        <v>1617282</v>
      </c>
      <c r="I41" s="25"/>
      <c r="J41" s="22">
        <f>INDEX(Notes!$I$2:$N$11,MATCH(Notes!$B$2,Notes!$I$2:$I$11,0),4)*$C41</f>
        <v>6499716</v>
      </c>
      <c r="K41" s="22">
        <f>INDEX(Notes!$I$2:$N$11,MATCH(Notes!$B$2,Notes!$I$2:$I$11,0),5)*$D41</f>
        <v>3234564</v>
      </c>
      <c r="L41" s="22">
        <f>INDEX(Notes!$I$2:$N$11,MATCH(Notes!$B$2,Notes!$I$2:$I$11,0),6)*$E41</f>
        <v>4851846</v>
      </c>
      <c r="M41" s="22">
        <f>IF(Notes!$B$2="June",'Payment Total'!$F41,0)</f>
        <v>0</v>
      </c>
      <c r="N41" s="22">
        <f t="shared" si="0"/>
        <v>0</v>
      </c>
      <c r="P41" s="26" t="s">
        <v>877</v>
      </c>
      <c r="Q41" s="26">
        <v>1617282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392911</v>
      </c>
      <c r="E42" s="160">
        <f>INDEX(Data[],MATCH($A42,Data[Dist],0),MATCH(E$6,Data[#Headers],0))</f>
        <v>392911</v>
      </c>
      <c r="F42" s="160">
        <f>INDEX(Data[],MATCH($A42,Data[Dist],0),MATCH(F$6,Data[#Headers],0))</f>
        <v>392910</v>
      </c>
      <c r="G42" s="22">
        <f>INDEX(Data[],MATCH($A42,Data[Dist],0),MATCH(G$6,Data[#Headers],0))</f>
        <v>3544731</v>
      </c>
      <c r="H42" s="22">
        <f>INDEX(Data[],MATCH($A42,Data[Dist],0),MATCH(H$6,Data[#Headers],0))-G42</f>
        <v>392910</v>
      </c>
      <c r="I42" s="25"/>
      <c r="J42" s="22">
        <f>INDEX(Notes!$I$2:$N$11,MATCH(Notes!$B$2,Notes!$I$2:$I$11,0),4)*$C42</f>
        <v>1580176</v>
      </c>
      <c r="K42" s="22">
        <f>INDEX(Notes!$I$2:$N$11,MATCH(Notes!$B$2,Notes!$I$2:$I$11,0),5)*$D42</f>
        <v>785822</v>
      </c>
      <c r="L42" s="22">
        <f>INDEX(Notes!$I$2:$N$11,MATCH(Notes!$B$2,Notes!$I$2:$I$11,0),6)*$E42</f>
        <v>1178733</v>
      </c>
      <c r="M42" s="22">
        <f>IF(Notes!$B$2="June",'Payment Total'!$F42,0)</f>
        <v>0</v>
      </c>
      <c r="N42" s="22">
        <f t="shared" si="0"/>
        <v>0</v>
      </c>
      <c r="P42" s="26" t="s">
        <v>878</v>
      </c>
      <c r="Q42" s="26">
        <v>392911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323034</v>
      </c>
      <c r="E43" s="160">
        <f>INDEX(Data[],MATCH($A43,Data[Dist],0),MATCH(E$6,Data[#Headers],0))</f>
        <v>323034</v>
      </c>
      <c r="F43" s="160">
        <f>INDEX(Data[],MATCH($A43,Data[Dist],0),MATCH(F$6,Data[#Headers],0))</f>
        <v>323035</v>
      </c>
      <c r="G43" s="22">
        <f>INDEX(Data[],MATCH($A43,Data[Dist],0),MATCH(G$6,Data[#Headers],0))</f>
        <v>2915706</v>
      </c>
      <c r="H43" s="22">
        <f>INDEX(Data[],MATCH($A43,Data[Dist],0),MATCH(H$6,Data[#Headers],0))-G43</f>
        <v>323035</v>
      </c>
      <c r="I43" s="25"/>
      <c r="J43" s="22">
        <f>INDEX(Notes!$I$2:$N$11,MATCH(Notes!$B$2,Notes!$I$2:$I$11,0),4)*$C43</f>
        <v>1300536</v>
      </c>
      <c r="K43" s="22">
        <f>INDEX(Notes!$I$2:$N$11,MATCH(Notes!$B$2,Notes!$I$2:$I$11,0),5)*$D43</f>
        <v>646068</v>
      </c>
      <c r="L43" s="22">
        <f>INDEX(Notes!$I$2:$N$11,MATCH(Notes!$B$2,Notes!$I$2:$I$11,0),6)*$E43</f>
        <v>969102</v>
      </c>
      <c r="M43" s="22">
        <f>IF(Notes!$B$2="June",'Payment Total'!$F43,0)</f>
        <v>0</v>
      </c>
      <c r="N43" s="22">
        <f t="shared" si="0"/>
        <v>0</v>
      </c>
      <c r="P43" s="26" t="s">
        <v>879</v>
      </c>
      <c r="Q43" s="26">
        <v>323034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326031</v>
      </c>
      <c r="E44" s="160">
        <f>INDEX(Data[],MATCH($A44,Data[Dist],0),MATCH(E$6,Data[#Headers],0))</f>
        <v>326030</v>
      </c>
      <c r="F44" s="160">
        <f>INDEX(Data[],MATCH($A44,Data[Dist],0),MATCH(F$6,Data[#Headers],0))</f>
        <v>326031</v>
      </c>
      <c r="G44" s="22">
        <f>INDEX(Data[],MATCH($A44,Data[Dist],0),MATCH(G$6,Data[#Headers],0))</f>
        <v>2942000</v>
      </c>
      <c r="H44" s="22">
        <f>INDEX(Data[],MATCH($A44,Data[Dist],0),MATCH(H$6,Data[#Headers],0))-G44</f>
        <v>326031</v>
      </c>
      <c r="I44" s="25"/>
      <c r="J44" s="22">
        <f>INDEX(Notes!$I$2:$N$11,MATCH(Notes!$B$2,Notes!$I$2:$I$11,0),4)*$C44</f>
        <v>1311848</v>
      </c>
      <c r="K44" s="22">
        <f>INDEX(Notes!$I$2:$N$11,MATCH(Notes!$B$2,Notes!$I$2:$I$11,0),5)*$D44</f>
        <v>652062</v>
      </c>
      <c r="L44" s="22">
        <f>INDEX(Notes!$I$2:$N$11,MATCH(Notes!$B$2,Notes!$I$2:$I$11,0),6)*$E44</f>
        <v>978090</v>
      </c>
      <c r="M44" s="22">
        <f>IF(Notes!$B$2="June",'Payment Total'!$F44,0)</f>
        <v>0</v>
      </c>
      <c r="N44" s="22">
        <f t="shared" si="0"/>
        <v>0</v>
      </c>
      <c r="P44" s="26" t="s">
        <v>880</v>
      </c>
      <c r="Q44" s="26">
        <v>326030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251155</v>
      </c>
      <c r="E45" s="160">
        <f>INDEX(Data[],MATCH($A45,Data[Dist],0),MATCH(E$6,Data[#Headers],0))</f>
        <v>251155</v>
      </c>
      <c r="F45" s="160">
        <f>INDEX(Data[],MATCH($A45,Data[Dist],0),MATCH(F$6,Data[#Headers],0))</f>
        <v>251153</v>
      </c>
      <c r="G45" s="22">
        <f>INDEX(Data[],MATCH($A45,Data[Dist],0),MATCH(G$6,Data[#Headers],0))</f>
        <v>2267651</v>
      </c>
      <c r="H45" s="22">
        <f>INDEX(Data[],MATCH($A45,Data[Dist],0),MATCH(H$6,Data[#Headers],0))-G45</f>
        <v>251153</v>
      </c>
      <c r="I45" s="25"/>
      <c r="J45" s="22">
        <f>INDEX(Notes!$I$2:$N$11,MATCH(Notes!$B$2,Notes!$I$2:$I$11,0),4)*$C45</f>
        <v>1011876</v>
      </c>
      <c r="K45" s="22">
        <f>INDEX(Notes!$I$2:$N$11,MATCH(Notes!$B$2,Notes!$I$2:$I$11,0),5)*$D45</f>
        <v>502310</v>
      </c>
      <c r="L45" s="22">
        <f>INDEX(Notes!$I$2:$N$11,MATCH(Notes!$B$2,Notes!$I$2:$I$11,0),6)*$E45</f>
        <v>753465</v>
      </c>
      <c r="M45" s="22">
        <f>IF(Notes!$B$2="June",'Payment Total'!$F45,0)</f>
        <v>0</v>
      </c>
      <c r="N45" s="22">
        <f t="shared" si="0"/>
        <v>0</v>
      </c>
      <c r="P45" s="26" t="s">
        <v>881</v>
      </c>
      <c r="Q45" s="26">
        <v>251155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3119546</v>
      </c>
      <c r="E46" s="160">
        <f>INDEX(Data[],MATCH($A46,Data[Dist],0),MATCH(E$6,Data[#Headers],0))</f>
        <v>2857123</v>
      </c>
      <c r="F46" s="160">
        <f>INDEX(Data[],MATCH($A46,Data[Dist],0),MATCH(F$6,Data[#Headers],0))</f>
        <v>2857123</v>
      </c>
      <c r="G46" s="22">
        <f>INDEX(Data[],MATCH($A46,Data[Dist],0),MATCH(G$6,Data[#Headers],0))</f>
        <v>27346593</v>
      </c>
      <c r="H46" s="22">
        <f>INDEX(Data[],MATCH($A46,Data[Dist],0),MATCH(H$6,Data[#Headers],0))-G46</f>
        <v>2857123</v>
      </c>
      <c r="I46" s="25"/>
      <c r="J46" s="22">
        <f>INDEX(Notes!$I$2:$N$11,MATCH(Notes!$B$2,Notes!$I$2:$I$11,0),4)*$C46</f>
        <v>12536132</v>
      </c>
      <c r="K46" s="22">
        <f>INDEX(Notes!$I$2:$N$11,MATCH(Notes!$B$2,Notes!$I$2:$I$11,0),5)*$D46</f>
        <v>6239092</v>
      </c>
      <c r="L46" s="22">
        <f>INDEX(Notes!$I$2:$N$11,MATCH(Notes!$B$2,Notes!$I$2:$I$11,0),6)*$E46</f>
        <v>8571369</v>
      </c>
      <c r="M46" s="22">
        <f>IF(Notes!$B$2="June",'Payment Total'!$F46,0)</f>
        <v>0</v>
      </c>
      <c r="N46" s="22">
        <f t="shared" si="0"/>
        <v>0</v>
      </c>
      <c r="P46" s="26" t="s">
        <v>882</v>
      </c>
      <c r="Q46" s="26">
        <v>2857123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180787</v>
      </c>
      <c r="E47" s="160">
        <f>INDEX(Data[],MATCH($A47,Data[Dist],0),MATCH(E$6,Data[#Headers],0))</f>
        <v>163977</v>
      </c>
      <c r="F47" s="160">
        <f>INDEX(Data[],MATCH($A47,Data[Dist],0),MATCH(F$6,Data[#Headers],0))</f>
        <v>163978</v>
      </c>
      <c r="G47" s="22">
        <f>INDEX(Data[],MATCH($A47,Data[Dist],0),MATCH(G$6,Data[#Headers],0))</f>
        <v>1583617</v>
      </c>
      <c r="H47" s="22">
        <f>INDEX(Data[],MATCH($A47,Data[Dist],0),MATCH(H$6,Data[#Headers],0))-G47</f>
        <v>163978</v>
      </c>
      <c r="I47" s="25"/>
      <c r="J47" s="22">
        <f>INDEX(Notes!$I$2:$N$11,MATCH(Notes!$B$2,Notes!$I$2:$I$11,0),4)*$C47</f>
        <v>730112</v>
      </c>
      <c r="K47" s="22">
        <f>INDEX(Notes!$I$2:$N$11,MATCH(Notes!$B$2,Notes!$I$2:$I$11,0),5)*$D47</f>
        <v>361574</v>
      </c>
      <c r="L47" s="22">
        <f>INDEX(Notes!$I$2:$N$11,MATCH(Notes!$B$2,Notes!$I$2:$I$11,0),6)*$E47</f>
        <v>491931</v>
      </c>
      <c r="M47" s="22">
        <f>IF(Notes!$B$2="June",'Payment Total'!$F47,0)</f>
        <v>0</v>
      </c>
      <c r="N47" s="22">
        <f t="shared" si="0"/>
        <v>0</v>
      </c>
      <c r="P47" s="26" t="s">
        <v>883</v>
      </c>
      <c r="Q47" s="26">
        <v>163977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187411</v>
      </c>
      <c r="E48" s="160">
        <f>INDEX(Data[],MATCH($A48,Data[Dist],0),MATCH(E$6,Data[#Headers],0))</f>
        <v>187411</v>
      </c>
      <c r="F48" s="160">
        <f>INDEX(Data[],MATCH($A48,Data[Dist],0),MATCH(F$6,Data[#Headers],0))</f>
        <v>187410</v>
      </c>
      <c r="G48" s="22">
        <f>INDEX(Data[],MATCH($A48,Data[Dist],0),MATCH(G$6,Data[#Headers],0))</f>
        <v>1690915</v>
      </c>
      <c r="H48" s="22">
        <f>INDEX(Data[],MATCH($A48,Data[Dist],0),MATCH(H$6,Data[#Headers],0))-G48</f>
        <v>187410</v>
      </c>
      <c r="I48" s="25"/>
      <c r="J48" s="22">
        <f>INDEX(Notes!$I$2:$N$11,MATCH(Notes!$B$2,Notes!$I$2:$I$11,0),4)*$C48</f>
        <v>753860</v>
      </c>
      <c r="K48" s="22">
        <f>INDEX(Notes!$I$2:$N$11,MATCH(Notes!$B$2,Notes!$I$2:$I$11,0),5)*$D48</f>
        <v>374822</v>
      </c>
      <c r="L48" s="22">
        <f>INDEX(Notes!$I$2:$N$11,MATCH(Notes!$B$2,Notes!$I$2:$I$11,0),6)*$E48</f>
        <v>562233</v>
      </c>
      <c r="M48" s="22">
        <f>IF(Notes!$B$2="June",'Payment Total'!$F48,0)</f>
        <v>0</v>
      </c>
      <c r="N48" s="22">
        <f t="shared" si="0"/>
        <v>0</v>
      </c>
      <c r="P48" s="26" t="s">
        <v>884</v>
      </c>
      <c r="Q48" s="26">
        <v>187411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234219</v>
      </c>
      <c r="E49" s="160">
        <f>INDEX(Data[],MATCH($A49,Data[Dist],0),MATCH(E$6,Data[#Headers],0))</f>
        <v>234219</v>
      </c>
      <c r="F49" s="160">
        <f>INDEX(Data[],MATCH($A49,Data[Dist],0),MATCH(F$6,Data[#Headers],0))</f>
        <v>234217</v>
      </c>
      <c r="G49" s="22">
        <f>INDEX(Data[],MATCH($A49,Data[Dist],0),MATCH(G$6,Data[#Headers],0))</f>
        <v>2113691</v>
      </c>
      <c r="H49" s="22">
        <f>INDEX(Data[],MATCH($A49,Data[Dist],0),MATCH(H$6,Data[#Headers],0))-G49</f>
        <v>234217</v>
      </c>
      <c r="I49" s="25"/>
      <c r="J49" s="22">
        <f>INDEX(Notes!$I$2:$N$11,MATCH(Notes!$B$2,Notes!$I$2:$I$11,0),4)*$C49</f>
        <v>942596</v>
      </c>
      <c r="K49" s="22">
        <f>INDEX(Notes!$I$2:$N$11,MATCH(Notes!$B$2,Notes!$I$2:$I$11,0),5)*$D49</f>
        <v>468438</v>
      </c>
      <c r="L49" s="22">
        <f>INDEX(Notes!$I$2:$N$11,MATCH(Notes!$B$2,Notes!$I$2:$I$11,0),6)*$E49</f>
        <v>702657</v>
      </c>
      <c r="M49" s="22">
        <f>IF(Notes!$B$2="June",'Payment Total'!$F49,0)</f>
        <v>0</v>
      </c>
      <c r="N49" s="22">
        <f t="shared" si="0"/>
        <v>0</v>
      </c>
      <c r="P49" s="26" t="s">
        <v>885</v>
      </c>
      <c r="Q49" s="26">
        <v>234219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568757</v>
      </c>
      <c r="E50" s="160">
        <f>INDEX(Data[],MATCH($A50,Data[Dist],0),MATCH(E$6,Data[#Headers],0))</f>
        <v>568757</v>
      </c>
      <c r="F50" s="160">
        <f>INDEX(Data[],MATCH($A50,Data[Dist],0),MATCH(F$6,Data[#Headers],0))</f>
        <v>568758</v>
      </c>
      <c r="G50" s="22">
        <f>INDEX(Data[],MATCH($A50,Data[Dist],0),MATCH(G$6,Data[#Headers],0))</f>
        <v>5131637</v>
      </c>
      <c r="H50" s="22">
        <f>INDEX(Data[],MATCH($A50,Data[Dist],0),MATCH(H$6,Data[#Headers],0))-G50</f>
        <v>568758</v>
      </c>
      <c r="I50" s="25"/>
      <c r="J50" s="22">
        <f>INDEX(Notes!$I$2:$N$11,MATCH(Notes!$B$2,Notes!$I$2:$I$11,0),4)*$C50</f>
        <v>2287852</v>
      </c>
      <c r="K50" s="22">
        <f>INDEX(Notes!$I$2:$N$11,MATCH(Notes!$B$2,Notes!$I$2:$I$11,0),5)*$D50</f>
        <v>1137514</v>
      </c>
      <c r="L50" s="22">
        <f>INDEX(Notes!$I$2:$N$11,MATCH(Notes!$B$2,Notes!$I$2:$I$11,0),6)*$E50</f>
        <v>1706271</v>
      </c>
      <c r="M50" s="22">
        <f>IF(Notes!$B$2="June",'Payment Total'!$F50,0)</f>
        <v>0</v>
      </c>
      <c r="N50" s="22">
        <f t="shared" si="0"/>
        <v>0</v>
      </c>
      <c r="P50" s="26" t="s">
        <v>886</v>
      </c>
      <c r="Q50" s="26">
        <v>568757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461900</v>
      </c>
      <c r="E51" s="160">
        <f>INDEX(Data[],MATCH($A51,Data[Dist],0),MATCH(E$6,Data[#Headers],0))</f>
        <v>461901</v>
      </c>
      <c r="F51" s="160">
        <f>INDEX(Data[],MATCH($A51,Data[Dist],0),MATCH(F$6,Data[#Headers],0))</f>
        <v>461899</v>
      </c>
      <c r="G51" s="22">
        <f>INDEX(Data[],MATCH($A51,Data[Dist],0),MATCH(G$6,Data[#Headers],0))</f>
        <v>4165715</v>
      </c>
      <c r="H51" s="22">
        <f>INDEX(Data[],MATCH($A51,Data[Dist],0),MATCH(H$6,Data[#Headers],0))-G51</f>
        <v>461899</v>
      </c>
      <c r="I51" s="25"/>
      <c r="J51" s="22">
        <f>INDEX(Notes!$I$2:$N$11,MATCH(Notes!$B$2,Notes!$I$2:$I$11,0),4)*$C51</f>
        <v>1856212</v>
      </c>
      <c r="K51" s="22">
        <f>INDEX(Notes!$I$2:$N$11,MATCH(Notes!$B$2,Notes!$I$2:$I$11,0),5)*$D51</f>
        <v>923800</v>
      </c>
      <c r="L51" s="22">
        <f>INDEX(Notes!$I$2:$N$11,MATCH(Notes!$B$2,Notes!$I$2:$I$11,0),6)*$E51</f>
        <v>1385703</v>
      </c>
      <c r="M51" s="22">
        <f>IF(Notes!$B$2="June",'Payment Total'!$F51,0)</f>
        <v>0</v>
      </c>
      <c r="N51" s="22">
        <f t="shared" si="0"/>
        <v>0</v>
      </c>
      <c r="P51" s="26" t="s">
        <v>887</v>
      </c>
      <c r="Q51" s="26">
        <v>461901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1628346</v>
      </c>
      <c r="E52" s="160">
        <f>INDEX(Data[],MATCH($A52,Data[Dist],0),MATCH(E$6,Data[#Headers],0))</f>
        <v>1628346</v>
      </c>
      <c r="F52" s="160">
        <f>INDEX(Data[],MATCH($A52,Data[Dist],0),MATCH(F$6,Data[#Headers],0))</f>
        <v>1628345</v>
      </c>
      <c r="G52" s="22">
        <f>INDEX(Data[],MATCH($A52,Data[Dist],0),MATCH(G$6,Data[#Headers],0))</f>
        <v>14685302</v>
      </c>
      <c r="H52" s="22">
        <f>INDEX(Data[],MATCH($A52,Data[Dist],0),MATCH(H$6,Data[#Headers],0))-G52</f>
        <v>1628345</v>
      </c>
      <c r="I52" s="25"/>
      <c r="J52" s="22">
        <f>INDEX(Notes!$I$2:$N$11,MATCH(Notes!$B$2,Notes!$I$2:$I$11,0),4)*$C52</f>
        <v>6543572</v>
      </c>
      <c r="K52" s="22">
        <f>INDEX(Notes!$I$2:$N$11,MATCH(Notes!$B$2,Notes!$I$2:$I$11,0),5)*$D52</f>
        <v>3256692</v>
      </c>
      <c r="L52" s="22">
        <f>INDEX(Notes!$I$2:$N$11,MATCH(Notes!$B$2,Notes!$I$2:$I$11,0),6)*$E52</f>
        <v>4885038</v>
      </c>
      <c r="M52" s="22">
        <f>IF(Notes!$B$2="June",'Payment Total'!$F52,0)</f>
        <v>0</v>
      </c>
      <c r="N52" s="22">
        <f t="shared" si="0"/>
        <v>0</v>
      </c>
      <c r="P52" s="26" t="s">
        <v>888</v>
      </c>
      <c r="Q52" s="26">
        <v>1628346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957784</v>
      </c>
      <c r="E53" s="160">
        <f>INDEX(Data[],MATCH($A53,Data[Dist],0),MATCH(E$6,Data[#Headers],0))</f>
        <v>957784</v>
      </c>
      <c r="F53" s="160">
        <f>INDEX(Data[],MATCH($A53,Data[Dist],0),MATCH(F$6,Data[#Headers],0))</f>
        <v>957785</v>
      </c>
      <c r="G53" s="22">
        <f>INDEX(Data[],MATCH($A53,Data[Dist],0),MATCH(G$6,Data[#Headers],0))</f>
        <v>8644748</v>
      </c>
      <c r="H53" s="22">
        <f>INDEX(Data[],MATCH($A53,Data[Dist],0),MATCH(H$6,Data[#Headers],0))-G53</f>
        <v>957785</v>
      </c>
      <c r="I53" s="25"/>
      <c r="J53" s="22">
        <f>INDEX(Notes!$I$2:$N$11,MATCH(Notes!$B$2,Notes!$I$2:$I$11,0),4)*$C53</f>
        <v>3855828</v>
      </c>
      <c r="K53" s="22">
        <f>INDEX(Notes!$I$2:$N$11,MATCH(Notes!$B$2,Notes!$I$2:$I$11,0),5)*$D53</f>
        <v>1915568</v>
      </c>
      <c r="L53" s="22">
        <f>INDEX(Notes!$I$2:$N$11,MATCH(Notes!$B$2,Notes!$I$2:$I$11,0),6)*$E53</f>
        <v>2873352</v>
      </c>
      <c r="M53" s="22">
        <f>IF(Notes!$B$2="June",'Payment Total'!$F53,0)</f>
        <v>0</v>
      </c>
      <c r="N53" s="22">
        <f t="shared" si="0"/>
        <v>0</v>
      </c>
      <c r="P53" s="26" t="s">
        <v>889</v>
      </c>
      <c r="Q53" s="26">
        <v>957784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3805170</v>
      </c>
      <c r="E54" s="160">
        <f>INDEX(Data[],MATCH($A54,Data[Dist],0),MATCH(E$6,Data[#Headers],0))</f>
        <v>3805170</v>
      </c>
      <c r="F54" s="160">
        <f>INDEX(Data[],MATCH($A54,Data[Dist],0),MATCH(F$6,Data[#Headers],0))</f>
        <v>3805171</v>
      </c>
      <c r="G54" s="22">
        <f>INDEX(Data[],MATCH($A54,Data[Dist],0),MATCH(G$6,Data[#Headers],0))</f>
        <v>34329402</v>
      </c>
      <c r="H54" s="22">
        <f>INDEX(Data[],MATCH($A54,Data[Dist],0),MATCH(H$6,Data[#Headers],0))-G54</f>
        <v>3805171</v>
      </c>
      <c r="I54" s="25"/>
      <c r="J54" s="22">
        <f>INDEX(Notes!$I$2:$N$11,MATCH(Notes!$B$2,Notes!$I$2:$I$11,0),4)*$C54</f>
        <v>15303552</v>
      </c>
      <c r="K54" s="22">
        <f>INDEX(Notes!$I$2:$N$11,MATCH(Notes!$B$2,Notes!$I$2:$I$11,0),5)*$D54</f>
        <v>7610340</v>
      </c>
      <c r="L54" s="22">
        <f>INDEX(Notes!$I$2:$N$11,MATCH(Notes!$B$2,Notes!$I$2:$I$11,0),6)*$E54</f>
        <v>11415510</v>
      </c>
      <c r="M54" s="22">
        <f>IF(Notes!$B$2="June",'Payment Total'!$F54,0)</f>
        <v>0</v>
      </c>
      <c r="N54" s="22">
        <f t="shared" si="0"/>
        <v>0</v>
      </c>
      <c r="P54" s="26" t="s">
        <v>890</v>
      </c>
      <c r="Q54" s="26">
        <v>3805170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11540303</v>
      </c>
      <c r="E55" s="160">
        <f>INDEX(Data[],MATCH($A55,Data[Dist],0),MATCH(E$6,Data[#Headers],0))</f>
        <v>11540303</v>
      </c>
      <c r="F55" s="160">
        <f>INDEX(Data[],MATCH($A55,Data[Dist],0),MATCH(F$6,Data[#Headers],0))</f>
        <v>11540304</v>
      </c>
      <c r="G55" s="22">
        <f>INDEX(Data[],MATCH($A55,Data[Dist],0),MATCH(G$6,Data[#Headers],0))</f>
        <v>104102311</v>
      </c>
      <c r="H55" s="22">
        <f>INDEX(Data[],MATCH($A55,Data[Dist],0),MATCH(H$6,Data[#Headers],0))-G55</f>
        <v>11540304</v>
      </c>
      <c r="I55" s="25"/>
      <c r="J55" s="22">
        <f>INDEX(Notes!$I$2:$N$11,MATCH(Notes!$B$2,Notes!$I$2:$I$11,0),4)*$C55</f>
        <v>46400796</v>
      </c>
      <c r="K55" s="22">
        <f>INDEX(Notes!$I$2:$N$11,MATCH(Notes!$B$2,Notes!$I$2:$I$11,0),5)*$D55</f>
        <v>23080606</v>
      </c>
      <c r="L55" s="22">
        <f>INDEX(Notes!$I$2:$N$11,MATCH(Notes!$B$2,Notes!$I$2:$I$11,0),6)*$E55</f>
        <v>34620909</v>
      </c>
      <c r="M55" s="22">
        <f>IF(Notes!$B$2="June",'Payment Total'!$F55,0)</f>
        <v>0</v>
      </c>
      <c r="N55" s="22">
        <f t="shared" si="0"/>
        <v>0</v>
      </c>
      <c r="P55" s="26" t="s">
        <v>891</v>
      </c>
      <c r="Q55" s="26">
        <v>11540303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885989</v>
      </c>
      <c r="E56" s="160">
        <f>INDEX(Data[],MATCH($A56,Data[Dist],0),MATCH(E$6,Data[#Headers],0))</f>
        <v>885989</v>
      </c>
      <c r="F56" s="160">
        <f>INDEX(Data[],MATCH($A56,Data[Dist],0),MATCH(F$6,Data[#Headers],0))</f>
        <v>885990</v>
      </c>
      <c r="G56" s="22">
        <f>INDEX(Data[],MATCH($A56,Data[Dist],0),MATCH(G$6,Data[#Headers],0))</f>
        <v>7991945</v>
      </c>
      <c r="H56" s="22">
        <f>INDEX(Data[],MATCH($A56,Data[Dist],0),MATCH(H$6,Data[#Headers],0))-G56</f>
        <v>885990</v>
      </c>
      <c r="I56" s="25"/>
      <c r="J56" s="22">
        <f>INDEX(Notes!$I$2:$N$11,MATCH(Notes!$B$2,Notes!$I$2:$I$11,0),4)*$C56</f>
        <v>3562000</v>
      </c>
      <c r="K56" s="22">
        <f>INDEX(Notes!$I$2:$N$11,MATCH(Notes!$B$2,Notes!$I$2:$I$11,0),5)*$D56</f>
        <v>1771978</v>
      </c>
      <c r="L56" s="22">
        <f>INDEX(Notes!$I$2:$N$11,MATCH(Notes!$B$2,Notes!$I$2:$I$11,0),6)*$E56</f>
        <v>2657967</v>
      </c>
      <c r="M56" s="22">
        <f>IF(Notes!$B$2="June",'Payment Total'!$F56,0)</f>
        <v>0</v>
      </c>
      <c r="N56" s="22">
        <f t="shared" si="0"/>
        <v>0</v>
      </c>
      <c r="P56" s="26" t="s">
        <v>892</v>
      </c>
      <c r="Q56" s="26">
        <v>885989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1086053</v>
      </c>
      <c r="E57" s="160">
        <f>INDEX(Data[],MATCH($A57,Data[Dist],0),MATCH(E$6,Data[#Headers],0))</f>
        <v>1086053</v>
      </c>
      <c r="F57" s="160">
        <f>INDEX(Data[],MATCH($A57,Data[Dist],0),MATCH(F$6,Data[#Headers],0))</f>
        <v>1086052</v>
      </c>
      <c r="G57" s="22">
        <f>INDEX(Data[],MATCH($A57,Data[Dist],0),MATCH(G$6,Data[#Headers],0))</f>
        <v>9794469</v>
      </c>
      <c r="H57" s="22">
        <f>INDEX(Data[],MATCH($A57,Data[Dist],0),MATCH(H$6,Data[#Headers],0))-G57</f>
        <v>1086052</v>
      </c>
      <c r="I57" s="25"/>
      <c r="J57" s="22">
        <f>INDEX(Notes!$I$2:$N$11,MATCH(Notes!$B$2,Notes!$I$2:$I$11,0),4)*$C57</f>
        <v>4364204</v>
      </c>
      <c r="K57" s="22">
        <f>INDEX(Notes!$I$2:$N$11,MATCH(Notes!$B$2,Notes!$I$2:$I$11,0),5)*$D57</f>
        <v>2172106</v>
      </c>
      <c r="L57" s="22">
        <f>INDEX(Notes!$I$2:$N$11,MATCH(Notes!$B$2,Notes!$I$2:$I$11,0),6)*$E57</f>
        <v>3258159</v>
      </c>
      <c r="M57" s="22">
        <f>IF(Notes!$B$2="June",'Payment Total'!$F57,0)</f>
        <v>0</v>
      </c>
      <c r="N57" s="22">
        <f t="shared" si="0"/>
        <v>0</v>
      </c>
      <c r="P57" s="26" t="s">
        <v>893</v>
      </c>
      <c r="Q57" s="26">
        <v>1086053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515366</v>
      </c>
      <c r="E58" s="160">
        <f>INDEX(Data[],MATCH($A58,Data[Dist],0),MATCH(E$6,Data[#Headers],0))</f>
        <v>515367</v>
      </c>
      <c r="F58" s="160">
        <f>INDEX(Data[],MATCH($A58,Data[Dist],0),MATCH(F$6,Data[#Headers],0))</f>
        <v>515365</v>
      </c>
      <c r="G58" s="22">
        <f>INDEX(Data[],MATCH($A58,Data[Dist],0),MATCH(G$6,Data[#Headers],0))</f>
        <v>4650357</v>
      </c>
      <c r="H58" s="22">
        <f>INDEX(Data[],MATCH($A58,Data[Dist],0),MATCH(H$6,Data[#Headers],0))-G58</f>
        <v>515365</v>
      </c>
      <c r="I58" s="25"/>
      <c r="J58" s="22">
        <f>INDEX(Notes!$I$2:$N$11,MATCH(Notes!$B$2,Notes!$I$2:$I$11,0),4)*$C58</f>
        <v>2073524</v>
      </c>
      <c r="K58" s="22">
        <f>INDEX(Notes!$I$2:$N$11,MATCH(Notes!$B$2,Notes!$I$2:$I$11,0),5)*$D58</f>
        <v>1030732</v>
      </c>
      <c r="L58" s="22">
        <f>INDEX(Notes!$I$2:$N$11,MATCH(Notes!$B$2,Notes!$I$2:$I$11,0),6)*$E58</f>
        <v>1546101</v>
      </c>
      <c r="M58" s="22">
        <f>IF(Notes!$B$2="June",'Payment Total'!$F58,0)</f>
        <v>0</v>
      </c>
      <c r="N58" s="22">
        <f t="shared" si="0"/>
        <v>0</v>
      </c>
      <c r="P58" s="26" t="s">
        <v>894</v>
      </c>
      <c r="Q58" s="26">
        <v>515367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309985</v>
      </c>
      <c r="E59" s="160">
        <f>INDEX(Data[],MATCH($A59,Data[Dist],0),MATCH(E$6,Data[#Headers],0))</f>
        <v>309985</v>
      </c>
      <c r="F59" s="160">
        <f>INDEX(Data[],MATCH($A59,Data[Dist],0),MATCH(F$6,Data[#Headers],0))</f>
        <v>309983</v>
      </c>
      <c r="G59" s="22">
        <f>INDEX(Data[],MATCH($A59,Data[Dist],0),MATCH(G$6,Data[#Headers],0))</f>
        <v>2796645</v>
      </c>
      <c r="H59" s="22">
        <f>INDEX(Data[],MATCH($A59,Data[Dist],0),MATCH(H$6,Data[#Headers],0))-G59</f>
        <v>309983</v>
      </c>
      <c r="I59" s="25"/>
      <c r="J59" s="22">
        <f>INDEX(Notes!$I$2:$N$11,MATCH(Notes!$B$2,Notes!$I$2:$I$11,0),4)*$C59</f>
        <v>1246720</v>
      </c>
      <c r="K59" s="22">
        <f>INDEX(Notes!$I$2:$N$11,MATCH(Notes!$B$2,Notes!$I$2:$I$11,0),5)*$D59</f>
        <v>619970</v>
      </c>
      <c r="L59" s="22">
        <f>INDEX(Notes!$I$2:$N$11,MATCH(Notes!$B$2,Notes!$I$2:$I$11,0),6)*$E59</f>
        <v>929955</v>
      </c>
      <c r="M59" s="22">
        <f>IF(Notes!$B$2="June",'Payment Total'!$F59,0)</f>
        <v>0</v>
      </c>
      <c r="N59" s="22">
        <f t="shared" si="0"/>
        <v>0</v>
      </c>
      <c r="P59" s="26" t="s">
        <v>895</v>
      </c>
      <c r="Q59" s="26">
        <v>309985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978932</v>
      </c>
      <c r="E60" s="160">
        <f>INDEX(Data[],MATCH($A60,Data[Dist],0),MATCH(E$6,Data[#Headers],0))</f>
        <v>978933</v>
      </c>
      <c r="F60" s="160">
        <f>INDEX(Data[],MATCH($A60,Data[Dist],0),MATCH(F$6,Data[#Headers],0))</f>
        <v>978931</v>
      </c>
      <c r="G60" s="22">
        <f>INDEX(Data[],MATCH($A60,Data[Dist],0),MATCH(G$6,Data[#Headers],0))</f>
        <v>8832203</v>
      </c>
      <c r="H60" s="22">
        <f>INDEX(Data[],MATCH($A60,Data[Dist],0),MATCH(H$6,Data[#Headers],0))-G60</f>
        <v>978931</v>
      </c>
      <c r="I60" s="25"/>
      <c r="J60" s="22">
        <f>INDEX(Notes!$I$2:$N$11,MATCH(Notes!$B$2,Notes!$I$2:$I$11,0),4)*$C60</f>
        <v>3937540</v>
      </c>
      <c r="K60" s="22">
        <f>INDEX(Notes!$I$2:$N$11,MATCH(Notes!$B$2,Notes!$I$2:$I$11,0),5)*$D60</f>
        <v>1957864</v>
      </c>
      <c r="L60" s="22">
        <f>INDEX(Notes!$I$2:$N$11,MATCH(Notes!$B$2,Notes!$I$2:$I$11,0),6)*$E60</f>
        <v>2936799</v>
      </c>
      <c r="M60" s="22">
        <f>IF(Notes!$B$2="June",'Payment Total'!$F60,0)</f>
        <v>0</v>
      </c>
      <c r="N60" s="22">
        <f t="shared" si="0"/>
        <v>0</v>
      </c>
      <c r="P60" s="26" t="s">
        <v>896</v>
      </c>
      <c r="Q60" s="26">
        <v>978933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302718</v>
      </c>
      <c r="E61" s="160">
        <f>INDEX(Data[],MATCH($A61,Data[Dist],0),MATCH(E$6,Data[#Headers],0))</f>
        <v>302718</v>
      </c>
      <c r="F61" s="160">
        <f>INDEX(Data[],MATCH($A61,Data[Dist],0),MATCH(F$6,Data[#Headers],0))</f>
        <v>302719</v>
      </c>
      <c r="G61" s="22">
        <f>INDEX(Data[],MATCH($A61,Data[Dist],0),MATCH(G$6,Data[#Headers],0))</f>
        <v>2730982</v>
      </c>
      <c r="H61" s="22">
        <f>INDEX(Data[],MATCH($A61,Data[Dist],0),MATCH(H$6,Data[#Headers],0))-G61</f>
        <v>302719</v>
      </c>
      <c r="I61" s="25"/>
      <c r="J61" s="22">
        <f>INDEX(Notes!$I$2:$N$11,MATCH(Notes!$B$2,Notes!$I$2:$I$11,0),4)*$C61</f>
        <v>1217392</v>
      </c>
      <c r="K61" s="22">
        <f>INDEX(Notes!$I$2:$N$11,MATCH(Notes!$B$2,Notes!$I$2:$I$11,0),5)*$D61</f>
        <v>605436</v>
      </c>
      <c r="L61" s="22">
        <f>INDEX(Notes!$I$2:$N$11,MATCH(Notes!$B$2,Notes!$I$2:$I$11,0),6)*$E61</f>
        <v>908154</v>
      </c>
      <c r="M61" s="22">
        <f>IF(Notes!$B$2="June",'Payment Total'!$F61,0)</f>
        <v>0</v>
      </c>
      <c r="N61" s="22">
        <f t="shared" si="0"/>
        <v>0</v>
      </c>
      <c r="P61" s="26" t="s">
        <v>897</v>
      </c>
      <c r="Q61" s="26">
        <v>302718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546901</v>
      </c>
      <c r="E62" s="160">
        <f>INDEX(Data[],MATCH($A62,Data[Dist],0),MATCH(E$6,Data[#Headers],0))</f>
        <v>546901</v>
      </c>
      <c r="F62" s="160">
        <f>INDEX(Data[],MATCH($A62,Data[Dist],0),MATCH(F$6,Data[#Headers],0))</f>
        <v>546899</v>
      </c>
      <c r="G62" s="22">
        <f>INDEX(Data[],MATCH($A62,Data[Dist],0),MATCH(G$6,Data[#Headers],0))</f>
        <v>4931757</v>
      </c>
      <c r="H62" s="22">
        <f>INDEX(Data[],MATCH($A62,Data[Dist],0),MATCH(H$6,Data[#Headers],0))-G62</f>
        <v>546899</v>
      </c>
      <c r="I62" s="25"/>
      <c r="J62" s="22">
        <f>INDEX(Notes!$I$2:$N$11,MATCH(Notes!$B$2,Notes!$I$2:$I$11,0),4)*$C62</f>
        <v>2197252</v>
      </c>
      <c r="K62" s="22">
        <f>INDEX(Notes!$I$2:$N$11,MATCH(Notes!$B$2,Notes!$I$2:$I$11,0),5)*$D62</f>
        <v>1093802</v>
      </c>
      <c r="L62" s="22">
        <f>INDEX(Notes!$I$2:$N$11,MATCH(Notes!$B$2,Notes!$I$2:$I$11,0),6)*$E62</f>
        <v>1640703</v>
      </c>
      <c r="M62" s="22">
        <f>IF(Notes!$B$2="June",'Payment Total'!$F62,0)</f>
        <v>0</v>
      </c>
      <c r="N62" s="22">
        <f t="shared" si="0"/>
        <v>0</v>
      </c>
      <c r="P62" s="26" t="s">
        <v>898</v>
      </c>
      <c r="Q62" s="26">
        <v>546901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509063</v>
      </c>
      <c r="E63" s="160">
        <f>INDEX(Data[],MATCH($A63,Data[Dist],0),MATCH(E$6,Data[#Headers],0))</f>
        <v>509063</v>
      </c>
      <c r="F63" s="160">
        <f>INDEX(Data[],MATCH($A63,Data[Dist],0),MATCH(F$6,Data[#Headers],0))</f>
        <v>509064</v>
      </c>
      <c r="G63" s="22">
        <f>INDEX(Data[],MATCH($A63,Data[Dist],0),MATCH(G$6,Data[#Headers],0))</f>
        <v>4593055</v>
      </c>
      <c r="H63" s="22">
        <f>INDEX(Data[],MATCH($A63,Data[Dist],0),MATCH(H$6,Data[#Headers],0))-G63</f>
        <v>509064</v>
      </c>
      <c r="I63" s="25"/>
      <c r="J63" s="22">
        <f>INDEX(Notes!$I$2:$N$11,MATCH(Notes!$B$2,Notes!$I$2:$I$11,0),4)*$C63</f>
        <v>2047740</v>
      </c>
      <c r="K63" s="22">
        <f>INDEX(Notes!$I$2:$N$11,MATCH(Notes!$B$2,Notes!$I$2:$I$11,0),5)*$D63</f>
        <v>1018126</v>
      </c>
      <c r="L63" s="22">
        <f>INDEX(Notes!$I$2:$N$11,MATCH(Notes!$B$2,Notes!$I$2:$I$11,0),6)*$E63</f>
        <v>1527189</v>
      </c>
      <c r="M63" s="22">
        <f>IF(Notes!$B$2="June",'Payment Total'!$F63,0)</f>
        <v>0</v>
      </c>
      <c r="N63" s="22">
        <f t="shared" si="0"/>
        <v>0</v>
      </c>
      <c r="P63" s="26" t="s">
        <v>899</v>
      </c>
      <c r="Q63" s="26">
        <v>509063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969494</v>
      </c>
      <c r="E64" s="160">
        <f>INDEX(Data[],MATCH($A64,Data[Dist],0),MATCH(E$6,Data[#Headers],0))</f>
        <v>969494</v>
      </c>
      <c r="F64" s="160">
        <f>INDEX(Data[],MATCH($A64,Data[Dist],0),MATCH(F$6,Data[#Headers],0))</f>
        <v>969494</v>
      </c>
      <c r="G64" s="22">
        <f>INDEX(Data[],MATCH($A64,Data[Dist],0),MATCH(G$6,Data[#Headers],0))</f>
        <v>8744530</v>
      </c>
      <c r="H64" s="22">
        <f>INDEX(Data[],MATCH($A64,Data[Dist],0),MATCH(H$6,Data[#Headers],0))-G64</f>
        <v>969494</v>
      </c>
      <c r="I64" s="25"/>
      <c r="J64" s="22">
        <f>INDEX(Notes!$I$2:$N$11,MATCH(Notes!$B$2,Notes!$I$2:$I$11,0),4)*$C64</f>
        <v>3897060</v>
      </c>
      <c r="K64" s="22">
        <f>INDEX(Notes!$I$2:$N$11,MATCH(Notes!$B$2,Notes!$I$2:$I$11,0),5)*$D64</f>
        <v>1938988</v>
      </c>
      <c r="L64" s="22">
        <f>INDEX(Notes!$I$2:$N$11,MATCH(Notes!$B$2,Notes!$I$2:$I$11,0),6)*$E64</f>
        <v>2908482</v>
      </c>
      <c r="M64" s="22">
        <f>IF(Notes!$B$2="June",'Payment Total'!$F64,0)</f>
        <v>0</v>
      </c>
      <c r="N64" s="22">
        <f t="shared" si="0"/>
        <v>0</v>
      </c>
      <c r="P64" s="26" t="s">
        <v>900</v>
      </c>
      <c r="Q64" s="26">
        <v>969494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1100268</v>
      </c>
      <c r="E65" s="160">
        <f>INDEX(Data[],MATCH($A65,Data[Dist],0),MATCH(E$6,Data[#Headers],0))</f>
        <v>1100268</v>
      </c>
      <c r="F65" s="160">
        <f>INDEX(Data[],MATCH($A65,Data[Dist],0),MATCH(F$6,Data[#Headers],0))</f>
        <v>1100267</v>
      </c>
      <c r="G65" s="22">
        <f>INDEX(Data[],MATCH($A65,Data[Dist],0),MATCH(G$6,Data[#Headers],0))</f>
        <v>9924780</v>
      </c>
      <c r="H65" s="22">
        <f>INDEX(Data[],MATCH($A65,Data[Dist],0),MATCH(H$6,Data[#Headers],0))-G65</f>
        <v>1100267</v>
      </c>
      <c r="I65" s="25"/>
      <c r="J65" s="22">
        <f>INDEX(Notes!$I$2:$N$11,MATCH(Notes!$B$2,Notes!$I$2:$I$11,0),4)*$C65</f>
        <v>4423440</v>
      </c>
      <c r="K65" s="22">
        <f>INDEX(Notes!$I$2:$N$11,MATCH(Notes!$B$2,Notes!$I$2:$I$11,0),5)*$D65</f>
        <v>2200536</v>
      </c>
      <c r="L65" s="22">
        <f>INDEX(Notes!$I$2:$N$11,MATCH(Notes!$B$2,Notes!$I$2:$I$11,0),6)*$E65</f>
        <v>3300804</v>
      </c>
      <c r="M65" s="22">
        <f>IF(Notes!$B$2="June",'Payment Total'!$F65,0)</f>
        <v>0</v>
      </c>
      <c r="N65" s="22">
        <f t="shared" si="0"/>
        <v>0</v>
      </c>
      <c r="P65" s="26" t="s">
        <v>901</v>
      </c>
      <c r="Q65" s="26">
        <v>1100268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172182</v>
      </c>
      <c r="E66" s="160">
        <f>INDEX(Data[],MATCH($A66,Data[Dist],0),MATCH(E$6,Data[#Headers],0))</f>
        <v>172181</v>
      </c>
      <c r="F66" s="160">
        <f>INDEX(Data[],MATCH($A66,Data[Dist],0),MATCH(F$6,Data[#Headers],0))</f>
        <v>172182</v>
      </c>
      <c r="G66" s="22">
        <f>INDEX(Data[],MATCH($A66,Data[Dist],0),MATCH(G$6,Data[#Headers],0))</f>
        <v>1553947</v>
      </c>
      <c r="H66" s="22">
        <f>INDEX(Data[],MATCH($A66,Data[Dist],0),MATCH(H$6,Data[#Headers],0))-G66</f>
        <v>172182</v>
      </c>
      <c r="I66" s="25"/>
      <c r="J66" s="22">
        <f>INDEX(Notes!$I$2:$N$11,MATCH(Notes!$B$2,Notes!$I$2:$I$11,0),4)*$C66</f>
        <v>693040</v>
      </c>
      <c r="K66" s="22">
        <f>INDEX(Notes!$I$2:$N$11,MATCH(Notes!$B$2,Notes!$I$2:$I$11,0),5)*$D66</f>
        <v>344364</v>
      </c>
      <c r="L66" s="22">
        <f>INDEX(Notes!$I$2:$N$11,MATCH(Notes!$B$2,Notes!$I$2:$I$11,0),6)*$E66</f>
        <v>516543</v>
      </c>
      <c r="M66" s="22">
        <f>IF(Notes!$B$2="June",'Payment Total'!$F66,0)</f>
        <v>0</v>
      </c>
      <c r="N66" s="22">
        <f t="shared" si="0"/>
        <v>0</v>
      </c>
      <c r="P66" s="26" t="s">
        <v>902</v>
      </c>
      <c r="Q66" s="26">
        <v>172181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780850</v>
      </c>
      <c r="E67" s="160">
        <f>INDEX(Data[],MATCH($A67,Data[Dist],0),MATCH(E$6,Data[#Headers],0))</f>
        <v>780849</v>
      </c>
      <c r="F67" s="160">
        <f>INDEX(Data[],MATCH($A67,Data[Dist],0),MATCH(F$6,Data[#Headers],0))</f>
        <v>780850</v>
      </c>
      <c r="G67" s="22">
        <f>INDEX(Data[],MATCH($A67,Data[Dist],0),MATCH(G$6,Data[#Headers],0))</f>
        <v>7043187</v>
      </c>
      <c r="H67" s="22">
        <f>INDEX(Data[],MATCH($A67,Data[Dist],0),MATCH(H$6,Data[#Headers],0))-G67</f>
        <v>780850</v>
      </c>
      <c r="I67" s="25"/>
      <c r="J67" s="22">
        <f>INDEX(Notes!$I$2:$N$11,MATCH(Notes!$B$2,Notes!$I$2:$I$11,0),4)*$C67</f>
        <v>3138940</v>
      </c>
      <c r="K67" s="22">
        <f>INDEX(Notes!$I$2:$N$11,MATCH(Notes!$B$2,Notes!$I$2:$I$11,0),5)*$D67</f>
        <v>1561700</v>
      </c>
      <c r="L67" s="22">
        <f>INDEX(Notes!$I$2:$N$11,MATCH(Notes!$B$2,Notes!$I$2:$I$11,0),6)*$E67</f>
        <v>2342547</v>
      </c>
      <c r="M67" s="22">
        <f>IF(Notes!$B$2="June",'Payment Total'!$F67,0)</f>
        <v>0</v>
      </c>
      <c r="N67" s="22">
        <f t="shared" si="0"/>
        <v>0</v>
      </c>
      <c r="P67" s="26" t="s">
        <v>903</v>
      </c>
      <c r="Q67" s="26">
        <v>780849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696097</v>
      </c>
      <c r="E68" s="160">
        <f>INDEX(Data[],MATCH($A68,Data[Dist],0),MATCH(E$6,Data[#Headers],0))</f>
        <v>696096</v>
      </c>
      <c r="F68" s="160">
        <f>INDEX(Data[],MATCH($A68,Data[Dist],0),MATCH(F$6,Data[#Headers],0))</f>
        <v>696097</v>
      </c>
      <c r="G68" s="22">
        <f>INDEX(Data[],MATCH($A68,Data[Dist],0),MATCH(G$6,Data[#Headers],0))</f>
        <v>6279714</v>
      </c>
      <c r="H68" s="22">
        <f>INDEX(Data[],MATCH($A68,Data[Dist],0),MATCH(H$6,Data[#Headers],0))-G68</f>
        <v>696097</v>
      </c>
      <c r="I68" s="25"/>
      <c r="J68" s="22">
        <f>INDEX(Notes!$I$2:$N$11,MATCH(Notes!$B$2,Notes!$I$2:$I$11,0),4)*$C68</f>
        <v>2799232</v>
      </c>
      <c r="K68" s="22">
        <f>INDEX(Notes!$I$2:$N$11,MATCH(Notes!$B$2,Notes!$I$2:$I$11,0),5)*$D68</f>
        <v>1392194</v>
      </c>
      <c r="L68" s="22">
        <f>INDEX(Notes!$I$2:$N$11,MATCH(Notes!$B$2,Notes!$I$2:$I$11,0),6)*$E68</f>
        <v>2088288</v>
      </c>
      <c r="M68" s="22">
        <f>IF(Notes!$B$2="June",'Payment Total'!$F68,0)</f>
        <v>0</v>
      </c>
      <c r="N68" s="22">
        <f t="shared" si="0"/>
        <v>0</v>
      </c>
      <c r="P68" s="26" t="s">
        <v>904</v>
      </c>
      <c r="Q68" s="26">
        <v>696096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639967</v>
      </c>
      <c r="E69" s="160">
        <f>INDEX(Data[],MATCH($A69,Data[Dist],0),MATCH(E$6,Data[#Headers],0))</f>
        <v>639967</v>
      </c>
      <c r="F69" s="160">
        <f>INDEX(Data[],MATCH($A69,Data[Dist],0),MATCH(F$6,Data[#Headers],0))</f>
        <v>639966</v>
      </c>
      <c r="G69" s="22">
        <f>INDEX(Data[],MATCH($A69,Data[Dist],0),MATCH(G$6,Data[#Headers],0))</f>
        <v>5774883</v>
      </c>
      <c r="H69" s="22">
        <f>INDEX(Data[],MATCH($A69,Data[Dist],0),MATCH(H$6,Data[#Headers],0))-G69</f>
        <v>639966</v>
      </c>
      <c r="I69" s="25"/>
      <c r="J69" s="22">
        <f>INDEX(Notes!$I$2:$N$11,MATCH(Notes!$B$2,Notes!$I$2:$I$11,0),4)*$C69</f>
        <v>2575048</v>
      </c>
      <c r="K69" s="22">
        <f>INDEX(Notes!$I$2:$N$11,MATCH(Notes!$B$2,Notes!$I$2:$I$11,0),5)*$D69</f>
        <v>1279934</v>
      </c>
      <c r="L69" s="22">
        <f>INDEX(Notes!$I$2:$N$11,MATCH(Notes!$B$2,Notes!$I$2:$I$11,0),6)*$E69</f>
        <v>1919901</v>
      </c>
      <c r="M69" s="22">
        <f>IF(Notes!$B$2="June",'Payment Total'!$F69,0)</f>
        <v>0</v>
      </c>
      <c r="N69" s="22">
        <f t="shared" si="0"/>
        <v>0</v>
      </c>
      <c r="P69" s="26" t="s">
        <v>905</v>
      </c>
      <c r="Q69" s="26">
        <v>639967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1129505</v>
      </c>
      <c r="E70" s="160">
        <f>INDEX(Data[],MATCH($A70,Data[Dist],0),MATCH(E$6,Data[#Headers],0))</f>
        <v>1129504</v>
      </c>
      <c r="F70" s="160">
        <f>INDEX(Data[],MATCH($A70,Data[Dist],0),MATCH(F$6,Data[#Headers],0))</f>
        <v>1129505</v>
      </c>
      <c r="G70" s="22">
        <f>INDEX(Data[],MATCH($A70,Data[Dist],0),MATCH(G$6,Data[#Headers],0))</f>
        <v>10187194</v>
      </c>
      <c r="H70" s="22">
        <f>INDEX(Data[],MATCH($A70,Data[Dist],0),MATCH(H$6,Data[#Headers],0))-G70</f>
        <v>1129505</v>
      </c>
      <c r="I70" s="25"/>
      <c r="J70" s="22">
        <f>INDEX(Notes!$I$2:$N$11,MATCH(Notes!$B$2,Notes!$I$2:$I$11,0),4)*$C70</f>
        <v>4539672</v>
      </c>
      <c r="K70" s="22">
        <f>INDEX(Notes!$I$2:$N$11,MATCH(Notes!$B$2,Notes!$I$2:$I$11,0),5)*$D70</f>
        <v>2259010</v>
      </c>
      <c r="L70" s="22">
        <f>INDEX(Notes!$I$2:$N$11,MATCH(Notes!$B$2,Notes!$I$2:$I$11,0),6)*$E70</f>
        <v>3388512</v>
      </c>
      <c r="M70" s="22">
        <f>IF(Notes!$B$2="June",'Payment Total'!$F70,0)</f>
        <v>0</v>
      </c>
      <c r="N70" s="22">
        <f t="shared" si="0"/>
        <v>0</v>
      </c>
      <c r="P70" s="26" t="s">
        <v>906</v>
      </c>
      <c r="Q70" s="26">
        <v>1129504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221317</v>
      </c>
      <c r="E71" s="160">
        <f>INDEX(Data[],MATCH($A71,Data[Dist],0),MATCH(E$6,Data[#Headers],0))</f>
        <v>221317</v>
      </c>
      <c r="F71" s="160">
        <f>INDEX(Data[],MATCH($A71,Data[Dist],0),MATCH(F$6,Data[#Headers],0))</f>
        <v>221316</v>
      </c>
      <c r="G71" s="22">
        <f>INDEX(Data[],MATCH($A71,Data[Dist],0),MATCH(G$6,Data[#Headers],0))</f>
        <v>1996197</v>
      </c>
      <c r="H71" s="22">
        <f>INDEX(Data[],MATCH($A71,Data[Dist],0),MATCH(H$6,Data[#Headers],0))-G71</f>
        <v>221316</v>
      </c>
      <c r="I71" s="25"/>
      <c r="J71" s="22">
        <f>INDEX(Notes!$I$2:$N$11,MATCH(Notes!$B$2,Notes!$I$2:$I$11,0),4)*$C71</f>
        <v>889612</v>
      </c>
      <c r="K71" s="22">
        <f>INDEX(Notes!$I$2:$N$11,MATCH(Notes!$B$2,Notes!$I$2:$I$11,0),5)*$D71</f>
        <v>442634</v>
      </c>
      <c r="L71" s="22">
        <f>INDEX(Notes!$I$2:$N$11,MATCH(Notes!$B$2,Notes!$I$2:$I$11,0),6)*$E71</f>
        <v>663951</v>
      </c>
      <c r="M71" s="22">
        <f>IF(Notes!$B$2="June",'Payment Total'!$F71,0)</f>
        <v>0</v>
      </c>
      <c r="N71" s="22">
        <f t="shared" si="0"/>
        <v>0</v>
      </c>
      <c r="P71" s="26" t="s">
        <v>907</v>
      </c>
      <c r="Q71" s="26">
        <v>221317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110072</v>
      </c>
      <c r="E72" s="160">
        <f>INDEX(Data[],MATCH($A72,Data[Dist],0),MATCH(E$6,Data[#Headers],0))</f>
        <v>110072</v>
      </c>
      <c r="F72" s="160">
        <f>INDEX(Data[],MATCH($A72,Data[Dist],0),MATCH(F$6,Data[#Headers],0))</f>
        <v>110070</v>
      </c>
      <c r="G72" s="22">
        <f>INDEX(Data[],MATCH($A72,Data[Dist],0),MATCH(G$6,Data[#Headers],0))</f>
        <v>995000</v>
      </c>
      <c r="H72" s="22">
        <f>INDEX(Data[],MATCH($A72,Data[Dist],0),MATCH(H$6,Data[#Headers],0))-G72</f>
        <v>110070</v>
      </c>
      <c r="I72" s="25"/>
      <c r="J72" s="22">
        <f>INDEX(Notes!$I$2:$N$11,MATCH(Notes!$B$2,Notes!$I$2:$I$11,0),4)*$C72</f>
        <v>444640</v>
      </c>
      <c r="K72" s="22">
        <f>INDEX(Notes!$I$2:$N$11,MATCH(Notes!$B$2,Notes!$I$2:$I$11,0),5)*$D72</f>
        <v>220144</v>
      </c>
      <c r="L72" s="22">
        <f>INDEX(Notes!$I$2:$N$11,MATCH(Notes!$B$2,Notes!$I$2:$I$11,0),6)*$E72</f>
        <v>330216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908</v>
      </c>
      <c r="Q72" s="26">
        <v>110072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INDEX($A$7:$H$331,MATCH($S72,$A$7:$A$331,0),5)-Q72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1944386</v>
      </c>
      <c r="E73" s="160">
        <f>INDEX(Data[],MATCH($A73,Data[Dist],0),MATCH(E$6,Data[#Headers],0))</f>
        <v>1944386</v>
      </c>
      <c r="F73" s="160">
        <f>INDEX(Data[],MATCH($A73,Data[Dist],0),MATCH(F$6,Data[#Headers],0))</f>
        <v>1944384</v>
      </c>
      <c r="G73" s="22">
        <f>INDEX(Data[],MATCH($A73,Data[Dist],0),MATCH(G$6,Data[#Headers],0))</f>
        <v>17543578</v>
      </c>
      <c r="H73" s="22">
        <f>INDEX(Data[],MATCH($A73,Data[Dist],0),MATCH(H$6,Data[#Headers],0))-G73</f>
        <v>1944384</v>
      </c>
      <c r="I73" s="25"/>
      <c r="J73" s="22">
        <f>INDEX(Notes!$I$2:$N$11,MATCH(Notes!$B$2,Notes!$I$2:$I$11,0),4)*$C73</f>
        <v>7821648</v>
      </c>
      <c r="K73" s="22">
        <f>INDEX(Notes!$I$2:$N$11,MATCH(Notes!$B$2,Notes!$I$2:$I$11,0),5)*$D73</f>
        <v>3888772</v>
      </c>
      <c r="L73" s="22">
        <f>INDEX(Notes!$I$2:$N$11,MATCH(Notes!$B$2,Notes!$I$2:$I$11,0),6)*$E73</f>
        <v>5833158</v>
      </c>
      <c r="M73" s="22">
        <f>IF(Notes!$B$2="June",'Payment Total'!$F73,0)</f>
        <v>0</v>
      </c>
      <c r="N73" s="22">
        <f t="shared" si="4"/>
        <v>0</v>
      </c>
      <c r="P73" s="26" t="s">
        <v>909</v>
      </c>
      <c r="Q73" s="26">
        <v>1944386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501433</v>
      </c>
      <c r="E74" s="160">
        <f>INDEX(Data[],MATCH($A74,Data[Dist],0),MATCH(E$6,Data[#Headers],0))</f>
        <v>501433</v>
      </c>
      <c r="F74" s="160">
        <f>INDEX(Data[],MATCH($A74,Data[Dist],0),MATCH(F$6,Data[#Headers],0))</f>
        <v>501432</v>
      </c>
      <c r="G74" s="22">
        <f>INDEX(Data[],MATCH($A74,Data[Dist],0),MATCH(G$6,Data[#Headers],0))</f>
        <v>4530505</v>
      </c>
      <c r="H74" s="22">
        <f>INDEX(Data[],MATCH($A74,Data[Dist],0),MATCH(H$6,Data[#Headers],0))-G74</f>
        <v>501432</v>
      </c>
      <c r="I74" s="25"/>
      <c r="J74" s="22">
        <f>INDEX(Notes!$I$2:$N$11,MATCH(Notes!$B$2,Notes!$I$2:$I$11,0),4)*$C74</f>
        <v>2023340</v>
      </c>
      <c r="K74" s="22">
        <f>INDEX(Notes!$I$2:$N$11,MATCH(Notes!$B$2,Notes!$I$2:$I$11,0),5)*$D74</f>
        <v>1002866</v>
      </c>
      <c r="L74" s="22">
        <f>INDEX(Notes!$I$2:$N$11,MATCH(Notes!$B$2,Notes!$I$2:$I$11,0),6)*$E74</f>
        <v>1504299</v>
      </c>
      <c r="M74" s="22">
        <f>IF(Notes!$B$2="June",'Payment Total'!$F74,0)</f>
        <v>0</v>
      </c>
      <c r="N74" s="22">
        <f t="shared" si="4"/>
        <v>0</v>
      </c>
      <c r="P74" s="26" t="s">
        <v>910</v>
      </c>
      <c r="Q74" s="26">
        <v>501433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3123042</v>
      </c>
      <c r="E75" s="160">
        <f>INDEX(Data[],MATCH($A75,Data[Dist],0),MATCH(E$6,Data[#Headers],0))</f>
        <v>3123042</v>
      </c>
      <c r="F75" s="160">
        <f>INDEX(Data[],MATCH($A75,Data[Dist],0),MATCH(F$6,Data[#Headers],0))</f>
        <v>3123040</v>
      </c>
      <c r="G75" s="22">
        <f>INDEX(Data[],MATCH($A75,Data[Dist],0),MATCH(G$6,Data[#Headers],0))</f>
        <v>28161486</v>
      </c>
      <c r="H75" s="22">
        <f>INDEX(Data[],MATCH($A75,Data[Dist],0),MATCH(H$6,Data[#Headers],0))-G75</f>
        <v>3123040</v>
      </c>
      <c r="I75" s="25"/>
      <c r="J75" s="22">
        <f>INDEX(Notes!$I$2:$N$11,MATCH(Notes!$B$2,Notes!$I$2:$I$11,0),4)*$C75</f>
        <v>12546276</v>
      </c>
      <c r="K75" s="22">
        <f>INDEX(Notes!$I$2:$N$11,MATCH(Notes!$B$2,Notes!$I$2:$I$11,0),5)*$D75</f>
        <v>6246084</v>
      </c>
      <c r="L75" s="22">
        <f>INDEX(Notes!$I$2:$N$11,MATCH(Notes!$B$2,Notes!$I$2:$I$11,0),6)*$E75</f>
        <v>9369126</v>
      </c>
      <c r="M75" s="22">
        <f>IF(Notes!$B$2="June",'Payment Total'!$F75,0)</f>
        <v>0</v>
      </c>
      <c r="N75" s="22">
        <f t="shared" si="4"/>
        <v>0</v>
      </c>
      <c r="P75" s="26" t="s">
        <v>911</v>
      </c>
      <c r="Q75" s="26">
        <v>3123042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501148</v>
      </c>
      <c r="E76" s="160">
        <f>INDEX(Data[],MATCH($A76,Data[Dist],0),MATCH(E$6,Data[#Headers],0))</f>
        <v>501149</v>
      </c>
      <c r="F76" s="160">
        <f>INDEX(Data[],MATCH($A76,Data[Dist],0),MATCH(F$6,Data[#Headers],0))</f>
        <v>501147</v>
      </c>
      <c r="G76" s="22">
        <f>INDEX(Data[],MATCH($A76,Data[Dist],0),MATCH(G$6,Data[#Headers],0))</f>
        <v>4520951</v>
      </c>
      <c r="H76" s="22">
        <f>INDEX(Data[],MATCH($A76,Data[Dist],0),MATCH(H$6,Data[#Headers],0))-G76</f>
        <v>501147</v>
      </c>
      <c r="I76" s="25"/>
      <c r="J76" s="22">
        <f>INDEX(Notes!$I$2:$N$11,MATCH(Notes!$B$2,Notes!$I$2:$I$11,0),4)*$C76</f>
        <v>2015208</v>
      </c>
      <c r="K76" s="22">
        <f>INDEX(Notes!$I$2:$N$11,MATCH(Notes!$B$2,Notes!$I$2:$I$11,0),5)*$D76</f>
        <v>1002296</v>
      </c>
      <c r="L76" s="22">
        <f>INDEX(Notes!$I$2:$N$11,MATCH(Notes!$B$2,Notes!$I$2:$I$11,0),6)*$E76</f>
        <v>1503447</v>
      </c>
      <c r="M76" s="22">
        <f>IF(Notes!$B$2="June",'Payment Total'!$F76,0)</f>
        <v>0</v>
      </c>
      <c r="N76" s="22">
        <f t="shared" si="4"/>
        <v>0</v>
      </c>
      <c r="P76" s="26" t="s">
        <v>912</v>
      </c>
      <c r="Q76" s="26">
        <v>501149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3334909</v>
      </c>
      <c r="E77" s="160">
        <f>INDEX(Data[],MATCH($A77,Data[Dist],0),MATCH(E$6,Data[#Headers],0))</f>
        <v>3334910</v>
      </c>
      <c r="F77" s="160">
        <f>INDEX(Data[],MATCH($A77,Data[Dist],0),MATCH(F$6,Data[#Headers],0))</f>
        <v>3334908</v>
      </c>
      <c r="G77" s="22">
        <f>INDEX(Data[],MATCH($A77,Data[Dist],0),MATCH(G$6,Data[#Headers],0))</f>
        <v>30091468</v>
      </c>
      <c r="H77" s="22">
        <f>INDEX(Data[],MATCH($A77,Data[Dist],0),MATCH(H$6,Data[#Headers],0))-G77</f>
        <v>3334908</v>
      </c>
      <c r="I77" s="25"/>
      <c r="J77" s="22">
        <f>INDEX(Notes!$I$2:$N$11,MATCH(Notes!$B$2,Notes!$I$2:$I$11,0),4)*$C77</f>
        <v>13416920</v>
      </c>
      <c r="K77" s="22">
        <f>INDEX(Notes!$I$2:$N$11,MATCH(Notes!$B$2,Notes!$I$2:$I$11,0),5)*$D77</f>
        <v>6669818</v>
      </c>
      <c r="L77" s="22">
        <f>INDEX(Notes!$I$2:$N$11,MATCH(Notes!$B$2,Notes!$I$2:$I$11,0),6)*$E77</f>
        <v>10004730</v>
      </c>
      <c r="M77" s="22">
        <f>IF(Notes!$B$2="June",'Payment Total'!$F77,0)</f>
        <v>0</v>
      </c>
      <c r="N77" s="22">
        <f t="shared" si="4"/>
        <v>0</v>
      </c>
      <c r="P77" s="26" t="s">
        <v>913</v>
      </c>
      <c r="Q77" s="26">
        <v>3334910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315368</v>
      </c>
      <c r="E78" s="160">
        <f>INDEX(Data[],MATCH($A78,Data[Dist],0),MATCH(E$6,Data[#Headers],0))</f>
        <v>315367</v>
      </c>
      <c r="F78" s="160">
        <f>INDEX(Data[],MATCH($A78,Data[Dist],0),MATCH(F$6,Data[#Headers],0))</f>
        <v>315368</v>
      </c>
      <c r="G78" s="22">
        <f>INDEX(Data[],MATCH($A78,Data[Dist],0),MATCH(G$6,Data[#Headers],0))</f>
        <v>2845273</v>
      </c>
      <c r="H78" s="22">
        <f>INDEX(Data[],MATCH($A78,Data[Dist],0),MATCH(H$6,Data[#Headers],0))-G78</f>
        <v>315368</v>
      </c>
      <c r="I78" s="25"/>
      <c r="J78" s="22">
        <f>INDEX(Notes!$I$2:$N$11,MATCH(Notes!$B$2,Notes!$I$2:$I$11,0),4)*$C78</f>
        <v>1268436</v>
      </c>
      <c r="K78" s="22">
        <f>INDEX(Notes!$I$2:$N$11,MATCH(Notes!$B$2,Notes!$I$2:$I$11,0),5)*$D78</f>
        <v>630736</v>
      </c>
      <c r="L78" s="22">
        <f>INDEX(Notes!$I$2:$N$11,MATCH(Notes!$B$2,Notes!$I$2:$I$11,0),6)*$E78</f>
        <v>946101</v>
      </c>
      <c r="M78" s="22">
        <f>IF(Notes!$B$2="June",'Payment Total'!$F78,0)</f>
        <v>0</v>
      </c>
      <c r="N78" s="22">
        <f t="shared" si="4"/>
        <v>0</v>
      </c>
      <c r="P78" s="26" t="s">
        <v>914</v>
      </c>
      <c r="Q78" s="26">
        <v>315367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242414</v>
      </c>
      <c r="E79" s="160">
        <f>INDEX(Data[],MATCH($A79,Data[Dist],0),MATCH(E$6,Data[#Headers],0))</f>
        <v>242414</v>
      </c>
      <c r="F79" s="160">
        <f>INDEX(Data[],MATCH($A79,Data[Dist],0),MATCH(F$6,Data[#Headers],0))</f>
        <v>242413</v>
      </c>
      <c r="G79" s="22">
        <f>INDEX(Data[],MATCH($A79,Data[Dist],0),MATCH(G$6,Data[#Headers],0))</f>
        <v>2188526</v>
      </c>
      <c r="H79" s="22">
        <f>INDEX(Data[],MATCH($A79,Data[Dist],0),MATCH(H$6,Data[#Headers],0))-G79</f>
        <v>242413</v>
      </c>
      <c r="I79" s="25"/>
      <c r="J79" s="22">
        <f>INDEX(Notes!$I$2:$N$11,MATCH(Notes!$B$2,Notes!$I$2:$I$11,0),4)*$C79</f>
        <v>976456</v>
      </c>
      <c r="K79" s="22">
        <f>INDEX(Notes!$I$2:$N$11,MATCH(Notes!$B$2,Notes!$I$2:$I$11,0),5)*$D79</f>
        <v>484828</v>
      </c>
      <c r="L79" s="22">
        <f>INDEX(Notes!$I$2:$N$11,MATCH(Notes!$B$2,Notes!$I$2:$I$11,0),6)*$E79</f>
        <v>727242</v>
      </c>
      <c r="M79" s="22">
        <f>IF(Notes!$B$2="June",'Payment Total'!$F79,0)</f>
        <v>0</v>
      </c>
      <c r="N79" s="22">
        <f t="shared" si="4"/>
        <v>0</v>
      </c>
      <c r="P79" s="26" t="s">
        <v>915</v>
      </c>
      <c r="Q79" s="26">
        <v>242414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560306</v>
      </c>
      <c r="E80" s="160">
        <f>INDEX(Data[],MATCH($A80,Data[Dist],0),MATCH(E$6,Data[#Headers],0))</f>
        <v>560306</v>
      </c>
      <c r="F80" s="160">
        <f>INDEX(Data[],MATCH($A80,Data[Dist],0),MATCH(F$6,Data[#Headers],0))</f>
        <v>560304</v>
      </c>
      <c r="G80" s="22">
        <f>INDEX(Data[],MATCH($A80,Data[Dist],0),MATCH(G$6,Data[#Headers],0))</f>
        <v>5053890</v>
      </c>
      <c r="H80" s="22">
        <f>INDEX(Data[],MATCH($A80,Data[Dist],0),MATCH(H$6,Data[#Headers],0))-G80</f>
        <v>560304</v>
      </c>
      <c r="I80" s="25"/>
      <c r="J80" s="22">
        <f>INDEX(Notes!$I$2:$N$11,MATCH(Notes!$B$2,Notes!$I$2:$I$11,0),4)*$C80</f>
        <v>2252360</v>
      </c>
      <c r="K80" s="22">
        <f>INDEX(Notes!$I$2:$N$11,MATCH(Notes!$B$2,Notes!$I$2:$I$11,0),5)*$D80</f>
        <v>1120612</v>
      </c>
      <c r="L80" s="22">
        <f>INDEX(Notes!$I$2:$N$11,MATCH(Notes!$B$2,Notes!$I$2:$I$11,0),6)*$E80</f>
        <v>1680918</v>
      </c>
      <c r="M80" s="22">
        <f>IF(Notes!$B$2="June",'Payment Total'!$F80,0)</f>
        <v>0</v>
      </c>
      <c r="N80" s="22">
        <f t="shared" si="4"/>
        <v>0</v>
      </c>
      <c r="P80" s="26" t="s">
        <v>916</v>
      </c>
      <c r="Q80" s="26">
        <v>560306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290768</v>
      </c>
      <c r="E81" s="160">
        <f>INDEX(Data[],MATCH($A81,Data[Dist],0),MATCH(E$6,Data[#Headers],0))</f>
        <v>290768</v>
      </c>
      <c r="F81" s="160">
        <f>INDEX(Data[],MATCH($A81,Data[Dist],0),MATCH(F$6,Data[#Headers],0))</f>
        <v>290766</v>
      </c>
      <c r="G81" s="22">
        <f>INDEX(Data[],MATCH($A81,Data[Dist],0),MATCH(G$6,Data[#Headers],0))</f>
        <v>2623292</v>
      </c>
      <c r="H81" s="22">
        <f>INDEX(Data[],MATCH($A81,Data[Dist],0),MATCH(H$6,Data[#Headers],0))-G81</f>
        <v>290766</v>
      </c>
      <c r="I81" s="25"/>
      <c r="J81" s="22">
        <f>INDEX(Notes!$I$2:$N$11,MATCH(Notes!$B$2,Notes!$I$2:$I$11,0),4)*$C81</f>
        <v>1169452</v>
      </c>
      <c r="K81" s="22">
        <f>INDEX(Notes!$I$2:$N$11,MATCH(Notes!$B$2,Notes!$I$2:$I$11,0),5)*$D81</f>
        <v>581536</v>
      </c>
      <c r="L81" s="22">
        <f>INDEX(Notes!$I$2:$N$11,MATCH(Notes!$B$2,Notes!$I$2:$I$11,0),6)*$E81</f>
        <v>872304</v>
      </c>
      <c r="M81" s="22">
        <f>IF(Notes!$B$2="June",'Payment Total'!$F81,0)</f>
        <v>0</v>
      </c>
      <c r="N81" s="22">
        <f t="shared" si="4"/>
        <v>0</v>
      </c>
      <c r="P81" s="26" t="s">
        <v>917</v>
      </c>
      <c r="Q81" s="26">
        <v>290768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179601</v>
      </c>
      <c r="E82" s="160">
        <f>INDEX(Data[],MATCH($A82,Data[Dist],0),MATCH(E$6,Data[#Headers],0))</f>
        <v>179601</v>
      </c>
      <c r="F82" s="160">
        <f>INDEX(Data[],MATCH($A82,Data[Dist],0),MATCH(F$6,Data[#Headers],0))</f>
        <v>179601</v>
      </c>
      <c r="G82" s="22">
        <f>INDEX(Data[],MATCH($A82,Data[Dist],0),MATCH(G$6,Data[#Headers],0))</f>
        <v>1622145</v>
      </c>
      <c r="H82" s="22">
        <f>INDEX(Data[],MATCH($A82,Data[Dist],0),MATCH(H$6,Data[#Headers],0))-G82</f>
        <v>179601</v>
      </c>
      <c r="I82" s="25"/>
      <c r="J82" s="22">
        <f>INDEX(Notes!$I$2:$N$11,MATCH(Notes!$B$2,Notes!$I$2:$I$11,0),4)*$C82</f>
        <v>724140</v>
      </c>
      <c r="K82" s="22">
        <f>INDEX(Notes!$I$2:$N$11,MATCH(Notes!$B$2,Notes!$I$2:$I$11,0),5)*$D82</f>
        <v>359202</v>
      </c>
      <c r="L82" s="22">
        <f>INDEX(Notes!$I$2:$N$11,MATCH(Notes!$B$2,Notes!$I$2:$I$11,0),6)*$E82</f>
        <v>538803</v>
      </c>
      <c r="M82" s="22">
        <f>IF(Notes!$B$2="June",'Payment Total'!$F82,0)</f>
        <v>0</v>
      </c>
      <c r="N82" s="22">
        <f t="shared" si="4"/>
        <v>0</v>
      </c>
      <c r="P82" s="26" t="s">
        <v>918</v>
      </c>
      <c r="Q82" s="26">
        <v>179601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7599784</v>
      </c>
      <c r="E83" s="160">
        <f>INDEX(Data[],MATCH($A83,Data[Dist],0),MATCH(E$6,Data[#Headers],0))</f>
        <v>7599784</v>
      </c>
      <c r="F83" s="160">
        <f>INDEX(Data[],MATCH($A83,Data[Dist],0),MATCH(F$6,Data[#Headers],0))</f>
        <v>7599783</v>
      </c>
      <c r="G83" s="22">
        <f>INDEX(Data[],MATCH($A83,Data[Dist],0),MATCH(G$6,Data[#Headers],0))</f>
        <v>68528776</v>
      </c>
      <c r="H83" s="22">
        <f>INDEX(Data[],MATCH($A83,Data[Dist],0),MATCH(H$6,Data[#Headers],0))-G83</f>
        <v>7599783</v>
      </c>
      <c r="I83" s="25"/>
      <c r="J83" s="22">
        <f>INDEX(Notes!$I$2:$N$11,MATCH(Notes!$B$2,Notes!$I$2:$I$11,0),4)*$C83</f>
        <v>30529856</v>
      </c>
      <c r="K83" s="22">
        <f>INDEX(Notes!$I$2:$N$11,MATCH(Notes!$B$2,Notes!$I$2:$I$11,0),5)*$D83</f>
        <v>15199568</v>
      </c>
      <c r="L83" s="22">
        <f>INDEX(Notes!$I$2:$N$11,MATCH(Notes!$B$2,Notes!$I$2:$I$11,0),6)*$E83</f>
        <v>22799352</v>
      </c>
      <c r="M83" s="22">
        <f>IF(Notes!$B$2="June",'Payment Total'!$F83,0)</f>
        <v>0</v>
      </c>
      <c r="N83" s="22">
        <f t="shared" si="4"/>
        <v>0</v>
      </c>
      <c r="P83" s="26" t="s">
        <v>919</v>
      </c>
      <c r="Q83" s="26">
        <v>7599784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1026333</v>
      </c>
      <c r="E84" s="160">
        <f>INDEX(Data[],MATCH($A84,Data[Dist],0),MATCH(E$6,Data[#Headers],0))</f>
        <v>1026333</v>
      </c>
      <c r="F84" s="160">
        <f>INDEX(Data[],MATCH($A84,Data[Dist],0),MATCH(F$6,Data[#Headers],0))</f>
        <v>1026331</v>
      </c>
      <c r="G84" s="22">
        <f>INDEX(Data[],MATCH($A84,Data[Dist],0),MATCH(G$6,Data[#Headers],0))</f>
        <v>9257965</v>
      </c>
      <c r="H84" s="22">
        <f>INDEX(Data[],MATCH($A84,Data[Dist],0),MATCH(H$6,Data[#Headers],0))-G84</f>
        <v>1026331</v>
      </c>
      <c r="I84" s="25"/>
      <c r="J84" s="22">
        <f>INDEX(Notes!$I$2:$N$11,MATCH(Notes!$B$2,Notes!$I$2:$I$11,0),4)*$C84</f>
        <v>4126300</v>
      </c>
      <c r="K84" s="22">
        <f>INDEX(Notes!$I$2:$N$11,MATCH(Notes!$B$2,Notes!$I$2:$I$11,0),5)*$D84</f>
        <v>2052666</v>
      </c>
      <c r="L84" s="22">
        <f>INDEX(Notes!$I$2:$N$11,MATCH(Notes!$B$2,Notes!$I$2:$I$11,0),6)*$E84</f>
        <v>3078999</v>
      </c>
      <c r="M84" s="22">
        <f>IF(Notes!$B$2="June",'Payment Total'!$F84,0)</f>
        <v>0</v>
      </c>
      <c r="N84" s="22">
        <f t="shared" si="4"/>
        <v>0</v>
      </c>
      <c r="P84" s="26" t="s">
        <v>920</v>
      </c>
      <c r="Q84" s="26">
        <v>1026333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2359227</v>
      </c>
      <c r="E85" s="160">
        <f>INDEX(Data[],MATCH($A85,Data[Dist],0),MATCH(E$6,Data[#Headers],0))</f>
        <v>2359227</v>
      </c>
      <c r="F85" s="160">
        <f>INDEX(Data[],MATCH($A85,Data[Dist],0),MATCH(F$6,Data[#Headers],0))</f>
        <v>2359226</v>
      </c>
      <c r="G85" s="22">
        <f>INDEX(Data[],MATCH($A85,Data[Dist],0),MATCH(G$6,Data[#Headers],0))</f>
        <v>21285255</v>
      </c>
      <c r="H85" s="22">
        <f>INDEX(Data[],MATCH($A85,Data[Dist],0),MATCH(H$6,Data[#Headers],0))-G85</f>
        <v>2359226</v>
      </c>
      <c r="I85" s="25"/>
      <c r="J85" s="22">
        <f>INDEX(Notes!$I$2:$N$11,MATCH(Notes!$B$2,Notes!$I$2:$I$11,0),4)*$C85</f>
        <v>9489120</v>
      </c>
      <c r="K85" s="22">
        <f>INDEX(Notes!$I$2:$N$11,MATCH(Notes!$B$2,Notes!$I$2:$I$11,0),5)*$D85</f>
        <v>4718454</v>
      </c>
      <c r="L85" s="22">
        <f>INDEX(Notes!$I$2:$N$11,MATCH(Notes!$B$2,Notes!$I$2:$I$11,0),6)*$E85</f>
        <v>7077681</v>
      </c>
      <c r="M85" s="22">
        <f>IF(Notes!$B$2="June",'Payment Total'!$F85,0)</f>
        <v>0</v>
      </c>
      <c r="N85" s="22">
        <f t="shared" si="4"/>
        <v>0</v>
      </c>
      <c r="P85" s="26" t="s">
        <v>921</v>
      </c>
      <c r="Q85" s="26">
        <v>2359227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302719</v>
      </c>
      <c r="E86" s="160">
        <f>INDEX(Data[],MATCH($A86,Data[Dist],0),MATCH(E$6,Data[#Headers],0))</f>
        <v>302719</v>
      </c>
      <c r="F86" s="160">
        <f>INDEX(Data[],MATCH($A86,Data[Dist],0),MATCH(F$6,Data[#Headers],0))</f>
        <v>302719</v>
      </c>
      <c r="G86" s="22">
        <f>INDEX(Data[],MATCH($A86,Data[Dist],0),MATCH(G$6,Data[#Headers],0))</f>
        <v>2730963</v>
      </c>
      <c r="H86" s="22">
        <f>INDEX(Data[],MATCH($A86,Data[Dist],0),MATCH(H$6,Data[#Headers],0))-G86</f>
        <v>302719</v>
      </c>
      <c r="I86" s="25"/>
      <c r="J86" s="22">
        <f>INDEX(Notes!$I$2:$N$11,MATCH(Notes!$B$2,Notes!$I$2:$I$11,0),4)*$C86</f>
        <v>1217368</v>
      </c>
      <c r="K86" s="22">
        <f>INDEX(Notes!$I$2:$N$11,MATCH(Notes!$B$2,Notes!$I$2:$I$11,0),5)*$D86</f>
        <v>605438</v>
      </c>
      <c r="L86" s="22">
        <f>INDEX(Notes!$I$2:$N$11,MATCH(Notes!$B$2,Notes!$I$2:$I$11,0),6)*$E86</f>
        <v>908157</v>
      </c>
      <c r="M86" s="22">
        <f>IF(Notes!$B$2="June",'Payment Total'!$F86,0)</f>
        <v>0</v>
      </c>
      <c r="N86" s="22">
        <f t="shared" si="4"/>
        <v>0</v>
      </c>
      <c r="P86" s="26" t="s">
        <v>922</v>
      </c>
      <c r="Q86" s="26">
        <v>302719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10679133</v>
      </c>
      <c r="E87" s="160">
        <f>INDEX(Data[],MATCH($A87,Data[Dist],0),MATCH(E$6,Data[#Headers],0))</f>
        <v>10679134</v>
      </c>
      <c r="F87" s="160">
        <f>INDEX(Data[],MATCH($A87,Data[Dist],0),MATCH(F$6,Data[#Headers],0))</f>
        <v>10679132</v>
      </c>
      <c r="G87" s="22">
        <f>INDEX(Data[],MATCH($A87,Data[Dist],0),MATCH(G$6,Data[#Headers],0))</f>
        <v>96324844</v>
      </c>
      <c r="H87" s="22">
        <f>INDEX(Data[],MATCH($A87,Data[Dist],0),MATCH(H$6,Data[#Headers],0))-G87</f>
        <v>10679132</v>
      </c>
      <c r="I87" s="25"/>
      <c r="J87" s="22">
        <f>INDEX(Notes!$I$2:$N$11,MATCH(Notes!$B$2,Notes!$I$2:$I$11,0),4)*$C87</f>
        <v>42929176</v>
      </c>
      <c r="K87" s="22">
        <f>INDEX(Notes!$I$2:$N$11,MATCH(Notes!$B$2,Notes!$I$2:$I$11,0),5)*$D87</f>
        <v>21358266</v>
      </c>
      <c r="L87" s="22">
        <f>INDEX(Notes!$I$2:$N$11,MATCH(Notes!$B$2,Notes!$I$2:$I$11,0),6)*$E87</f>
        <v>32037402</v>
      </c>
      <c r="M87" s="22">
        <f>IF(Notes!$B$2="June",'Payment Total'!$F87,0)</f>
        <v>0</v>
      </c>
      <c r="N87" s="22">
        <f t="shared" si="4"/>
        <v>0</v>
      </c>
      <c r="P87" s="26" t="s">
        <v>923</v>
      </c>
      <c r="Q87" s="26">
        <v>10679134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800809</v>
      </c>
      <c r="E88" s="160">
        <f>INDEX(Data[],MATCH($A88,Data[Dist],0),MATCH(E$6,Data[#Headers],0))</f>
        <v>800809</v>
      </c>
      <c r="F88" s="160">
        <f>INDEX(Data[],MATCH($A88,Data[Dist],0),MATCH(F$6,Data[#Headers],0))</f>
        <v>800808</v>
      </c>
      <c r="G88" s="22">
        <f>INDEX(Data[],MATCH($A88,Data[Dist],0),MATCH(G$6,Data[#Headers],0))</f>
        <v>7224525</v>
      </c>
      <c r="H88" s="22">
        <f>INDEX(Data[],MATCH($A88,Data[Dist],0),MATCH(H$6,Data[#Headers],0))-G88</f>
        <v>800808</v>
      </c>
      <c r="I88" s="25"/>
      <c r="J88" s="22">
        <f>INDEX(Notes!$I$2:$N$11,MATCH(Notes!$B$2,Notes!$I$2:$I$11,0),4)*$C88</f>
        <v>3220480</v>
      </c>
      <c r="K88" s="22">
        <f>INDEX(Notes!$I$2:$N$11,MATCH(Notes!$B$2,Notes!$I$2:$I$11,0),5)*$D88</f>
        <v>1601618</v>
      </c>
      <c r="L88" s="22">
        <f>INDEX(Notes!$I$2:$N$11,MATCH(Notes!$B$2,Notes!$I$2:$I$11,0),6)*$E88</f>
        <v>2402427</v>
      </c>
      <c r="M88" s="22">
        <f>IF(Notes!$B$2="June",'Payment Total'!$F88,0)</f>
        <v>0</v>
      </c>
      <c r="N88" s="22">
        <f t="shared" si="4"/>
        <v>0</v>
      </c>
      <c r="P88" s="26" t="s">
        <v>924</v>
      </c>
      <c r="Q88" s="26">
        <v>800809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899746</v>
      </c>
      <c r="E89" s="160">
        <f>INDEX(Data[],MATCH($A89,Data[Dist],0),MATCH(E$6,Data[#Headers],0))</f>
        <v>899746</v>
      </c>
      <c r="F89" s="160">
        <f>INDEX(Data[],MATCH($A89,Data[Dist],0),MATCH(F$6,Data[#Headers],0))</f>
        <v>899744</v>
      </c>
      <c r="G89" s="22">
        <f>INDEX(Data[],MATCH($A89,Data[Dist],0),MATCH(G$6,Data[#Headers],0))</f>
        <v>8120570</v>
      </c>
      <c r="H89" s="22">
        <f>INDEX(Data[],MATCH($A89,Data[Dist],0),MATCH(H$6,Data[#Headers],0))-G89</f>
        <v>899744</v>
      </c>
      <c r="I89" s="25"/>
      <c r="J89" s="22">
        <f>INDEX(Notes!$I$2:$N$11,MATCH(Notes!$B$2,Notes!$I$2:$I$11,0),4)*$C89</f>
        <v>3621840</v>
      </c>
      <c r="K89" s="22">
        <f>INDEX(Notes!$I$2:$N$11,MATCH(Notes!$B$2,Notes!$I$2:$I$11,0),5)*$D89</f>
        <v>1799492</v>
      </c>
      <c r="L89" s="22">
        <f>INDEX(Notes!$I$2:$N$11,MATCH(Notes!$B$2,Notes!$I$2:$I$11,0),6)*$E89</f>
        <v>2699238</v>
      </c>
      <c r="M89" s="22">
        <f>IF(Notes!$B$2="June",'Payment Total'!$F89,0)</f>
        <v>0</v>
      </c>
      <c r="N89" s="22">
        <f t="shared" si="4"/>
        <v>0</v>
      </c>
      <c r="P89" s="26" t="s">
        <v>925</v>
      </c>
      <c r="Q89" s="26">
        <v>899746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137422</v>
      </c>
      <c r="E90" s="160">
        <f>INDEX(Data[],MATCH($A90,Data[Dist],0),MATCH(E$6,Data[#Headers],0))</f>
        <v>137422</v>
      </c>
      <c r="F90" s="160">
        <f>INDEX(Data[],MATCH($A90,Data[Dist],0),MATCH(F$6,Data[#Headers],0))</f>
        <v>137422</v>
      </c>
      <c r="G90" s="22">
        <f>INDEX(Data[],MATCH($A90,Data[Dist],0),MATCH(G$6,Data[#Headers],0))</f>
        <v>1239798</v>
      </c>
      <c r="H90" s="22">
        <f>INDEX(Data[],MATCH($A90,Data[Dist],0),MATCH(H$6,Data[#Headers],0))-G90</f>
        <v>137422</v>
      </c>
      <c r="I90" s="25"/>
      <c r="J90" s="22">
        <f>INDEX(Notes!$I$2:$N$11,MATCH(Notes!$B$2,Notes!$I$2:$I$11,0),4)*$C90</f>
        <v>552688</v>
      </c>
      <c r="K90" s="22">
        <f>INDEX(Notes!$I$2:$N$11,MATCH(Notes!$B$2,Notes!$I$2:$I$11,0),5)*$D90</f>
        <v>274844</v>
      </c>
      <c r="L90" s="22">
        <f>INDEX(Notes!$I$2:$N$11,MATCH(Notes!$B$2,Notes!$I$2:$I$11,0),6)*$E90</f>
        <v>412266</v>
      </c>
      <c r="M90" s="22">
        <f>IF(Notes!$B$2="June",'Payment Total'!$F90,0)</f>
        <v>0</v>
      </c>
      <c r="N90" s="22">
        <f t="shared" si="4"/>
        <v>0</v>
      </c>
      <c r="P90" s="26" t="s">
        <v>926</v>
      </c>
      <c r="Q90" s="26">
        <v>137422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1740704</v>
      </c>
      <c r="E91" s="160">
        <f>INDEX(Data[],MATCH($A91,Data[Dist],0),MATCH(E$6,Data[#Headers],0))</f>
        <v>1740704</v>
      </c>
      <c r="F91" s="160">
        <f>INDEX(Data[],MATCH($A91,Data[Dist],0),MATCH(F$6,Data[#Headers],0))</f>
        <v>1740703</v>
      </c>
      <c r="G91" s="22">
        <f>INDEX(Data[],MATCH($A91,Data[Dist],0),MATCH(G$6,Data[#Headers],0))</f>
        <v>15696756</v>
      </c>
      <c r="H91" s="22">
        <f>INDEX(Data[],MATCH($A91,Data[Dist],0),MATCH(H$6,Data[#Headers],0))-G91</f>
        <v>1740703</v>
      </c>
      <c r="I91" s="25"/>
      <c r="J91" s="22">
        <f>INDEX(Notes!$I$2:$N$11,MATCH(Notes!$B$2,Notes!$I$2:$I$11,0),4)*$C91</f>
        <v>6993236</v>
      </c>
      <c r="K91" s="22">
        <f>INDEX(Notes!$I$2:$N$11,MATCH(Notes!$B$2,Notes!$I$2:$I$11,0),5)*$D91</f>
        <v>3481408</v>
      </c>
      <c r="L91" s="22">
        <f>INDEX(Notes!$I$2:$N$11,MATCH(Notes!$B$2,Notes!$I$2:$I$11,0),6)*$E91</f>
        <v>5222112</v>
      </c>
      <c r="M91" s="22">
        <f>IF(Notes!$B$2="June",'Payment Total'!$F91,0)</f>
        <v>0</v>
      </c>
      <c r="N91" s="22">
        <f t="shared" si="4"/>
        <v>0</v>
      </c>
      <c r="P91" s="26" t="s">
        <v>927</v>
      </c>
      <c r="Q91" s="26">
        <v>1740704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641432</v>
      </c>
      <c r="E92" s="160">
        <f>INDEX(Data[],MATCH($A92,Data[Dist],0),MATCH(E$6,Data[#Headers],0))</f>
        <v>641432</v>
      </c>
      <c r="F92" s="160">
        <f>INDEX(Data[],MATCH($A92,Data[Dist],0),MATCH(F$6,Data[#Headers],0))</f>
        <v>641432</v>
      </c>
      <c r="G92" s="22">
        <f>INDEX(Data[],MATCH($A92,Data[Dist],0),MATCH(G$6,Data[#Headers],0))</f>
        <v>5785840</v>
      </c>
      <c r="H92" s="22">
        <f>INDEX(Data[],MATCH($A92,Data[Dist],0),MATCH(H$6,Data[#Headers],0))-G92</f>
        <v>641432</v>
      </c>
      <c r="I92" s="25"/>
      <c r="J92" s="22">
        <f>INDEX(Notes!$I$2:$N$11,MATCH(Notes!$B$2,Notes!$I$2:$I$11,0),4)*$C92</f>
        <v>2578680</v>
      </c>
      <c r="K92" s="22">
        <f>INDEX(Notes!$I$2:$N$11,MATCH(Notes!$B$2,Notes!$I$2:$I$11,0),5)*$D92</f>
        <v>1282864</v>
      </c>
      <c r="L92" s="22">
        <f>INDEX(Notes!$I$2:$N$11,MATCH(Notes!$B$2,Notes!$I$2:$I$11,0),6)*$E92</f>
        <v>1924296</v>
      </c>
      <c r="M92" s="22">
        <f>IF(Notes!$B$2="June",'Payment Total'!$F92,0)</f>
        <v>0</v>
      </c>
      <c r="N92" s="22">
        <f t="shared" si="4"/>
        <v>0</v>
      </c>
      <c r="P92" s="26" t="s">
        <v>928</v>
      </c>
      <c r="Q92" s="26">
        <v>641432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26147664</v>
      </c>
      <c r="E93" s="160">
        <f>INDEX(Data[],MATCH($A93,Data[Dist],0),MATCH(E$6,Data[#Headers],0))</f>
        <v>26147665</v>
      </c>
      <c r="F93" s="160">
        <f>INDEX(Data[],MATCH($A93,Data[Dist],0),MATCH(F$6,Data[#Headers],0))</f>
        <v>26147663</v>
      </c>
      <c r="G93" s="22">
        <f>INDEX(Data[],MATCH($A93,Data[Dist],0),MATCH(G$6,Data[#Headers],0))</f>
        <v>235790963</v>
      </c>
      <c r="H93" s="22">
        <f>INDEX(Data[],MATCH($A93,Data[Dist],0),MATCH(H$6,Data[#Headers],0))-G93</f>
        <v>26147663</v>
      </c>
      <c r="I93" s="25"/>
      <c r="J93" s="22">
        <f>INDEX(Notes!$I$2:$N$11,MATCH(Notes!$B$2,Notes!$I$2:$I$11,0),4)*$C93</f>
        <v>105052640</v>
      </c>
      <c r="K93" s="22">
        <f>INDEX(Notes!$I$2:$N$11,MATCH(Notes!$B$2,Notes!$I$2:$I$11,0),5)*$D93</f>
        <v>52295328</v>
      </c>
      <c r="L93" s="22">
        <f>INDEX(Notes!$I$2:$N$11,MATCH(Notes!$B$2,Notes!$I$2:$I$11,0),6)*$E93</f>
        <v>78442995</v>
      </c>
      <c r="M93" s="22">
        <f>IF(Notes!$B$2="June",'Payment Total'!$F93,0)</f>
        <v>0</v>
      </c>
      <c r="N93" s="22">
        <f t="shared" si="4"/>
        <v>0</v>
      </c>
      <c r="P93" s="26" t="s">
        <v>929</v>
      </c>
      <c r="Q93" s="26">
        <v>26147665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89012</v>
      </c>
      <c r="E94" s="160">
        <f>INDEX(Data[],MATCH($A94,Data[Dist],0),MATCH(E$6,Data[#Headers],0))</f>
        <v>89013</v>
      </c>
      <c r="F94" s="160">
        <f>INDEX(Data[],MATCH($A94,Data[Dist],0),MATCH(F$6,Data[#Headers],0))</f>
        <v>89011</v>
      </c>
      <c r="G94" s="22">
        <f>INDEX(Data[],MATCH($A94,Data[Dist],0),MATCH(G$6,Data[#Headers],0))</f>
        <v>802791</v>
      </c>
      <c r="H94" s="22">
        <f>INDEX(Data[],MATCH($A94,Data[Dist],0),MATCH(H$6,Data[#Headers],0))-G94</f>
        <v>89011</v>
      </c>
      <c r="I94" s="25"/>
      <c r="J94" s="22">
        <f>INDEX(Notes!$I$2:$N$11,MATCH(Notes!$B$2,Notes!$I$2:$I$11,0),4)*$C94</f>
        <v>357728</v>
      </c>
      <c r="K94" s="22">
        <f>INDEX(Notes!$I$2:$N$11,MATCH(Notes!$B$2,Notes!$I$2:$I$11,0),5)*$D94</f>
        <v>178024</v>
      </c>
      <c r="L94" s="22">
        <f>INDEX(Notes!$I$2:$N$11,MATCH(Notes!$B$2,Notes!$I$2:$I$11,0),6)*$E94</f>
        <v>267039</v>
      </c>
      <c r="M94" s="22">
        <f>IF(Notes!$B$2="June",'Payment Total'!$F94,0)</f>
        <v>0</v>
      </c>
      <c r="N94" s="22">
        <f t="shared" si="4"/>
        <v>0</v>
      </c>
      <c r="P94" s="26" t="s">
        <v>930</v>
      </c>
      <c r="Q94" s="26">
        <v>89013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622964</v>
      </c>
      <c r="E95" s="160">
        <f>INDEX(Data[],MATCH($A95,Data[Dist],0),MATCH(E$6,Data[#Headers],0))</f>
        <v>622964</v>
      </c>
      <c r="F95" s="160">
        <f>INDEX(Data[],MATCH($A95,Data[Dist],0),MATCH(F$6,Data[#Headers],0))</f>
        <v>622965</v>
      </c>
      <c r="G95" s="22">
        <f>INDEX(Data[],MATCH($A95,Data[Dist],0),MATCH(G$6,Data[#Headers],0))</f>
        <v>5619832</v>
      </c>
      <c r="H95" s="22">
        <f>INDEX(Data[],MATCH($A95,Data[Dist],0),MATCH(H$6,Data[#Headers],0))-G95</f>
        <v>622965</v>
      </c>
      <c r="I95" s="25"/>
      <c r="J95" s="22">
        <f>INDEX(Notes!$I$2:$N$11,MATCH(Notes!$B$2,Notes!$I$2:$I$11,0),4)*$C95</f>
        <v>2505012</v>
      </c>
      <c r="K95" s="22">
        <f>INDEX(Notes!$I$2:$N$11,MATCH(Notes!$B$2,Notes!$I$2:$I$11,0),5)*$D95</f>
        <v>1245928</v>
      </c>
      <c r="L95" s="22">
        <f>INDEX(Notes!$I$2:$N$11,MATCH(Notes!$B$2,Notes!$I$2:$I$11,0),6)*$E95</f>
        <v>1868892</v>
      </c>
      <c r="M95" s="22">
        <f>IF(Notes!$B$2="June",'Payment Total'!$F95,0)</f>
        <v>0</v>
      </c>
      <c r="N95" s="22">
        <f t="shared" si="4"/>
        <v>0</v>
      </c>
      <c r="P95" s="26" t="s">
        <v>931</v>
      </c>
      <c r="Q95" s="26">
        <v>622964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7500430</v>
      </c>
      <c r="E96" s="160">
        <f>INDEX(Data[],MATCH($A96,Data[Dist],0),MATCH(E$6,Data[#Headers],0))</f>
        <v>7500431</v>
      </c>
      <c r="F96" s="160">
        <f>INDEX(Data[],MATCH($A96,Data[Dist],0),MATCH(F$6,Data[#Headers],0))</f>
        <v>7500429</v>
      </c>
      <c r="G96" s="22">
        <f>INDEX(Data[],MATCH($A96,Data[Dist],0),MATCH(G$6,Data[#Headers],0))</f>
        <v>67654957</v>
      </c>
      <c r="H96" s="22">
        <f>INDEX(Data[],MATCH($A96,Data[Dist],0),MATCH(H$6,Data[#Headers],0))-G96</f>
        <v>7500429</v>
      </c>
      <c r="I96" s="25"/>
      <c r="J96" s="22">
        <f>INDEX(Notes!$I$2:$N$11,MATCH(Notes!$B$2,Notes!$I$2:$I$11,0),4)*$C96</f>
        <v>30152804</v>
      </c>
      <c r="K96" s="22">
        <f>INDEX(Notes!$I$2:$N$11,MATCH(Notes!$B$2,Notes!$I$2:$I$11,0),5)*$D96</f>
        <v>15000860</v>
      </c>
      <c r="L96" s="22">
        <f>INDEX(Notes!$I$2:$N$11,MATCH(Notes!$B$2,Notes!$I$2:$I$11,0),6)*$E96</f>
        <v>22501293</v>
      </c>
      <c r="M96" s="22">
        <f>IF(Notes!$B$2="June",'Payment Total'!$F96,0)</f>
        <v>0</v>
      </c>
      <c r="N96" s="22">
        <f t="shared" si="4"/>
        <v>0</v>
      </c>
      <c r="P96" s="26" t="s">
        <v>932</v>
      </c>
      <c r="Q96" s="26">
        <v>7500431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253292</v>
      </c>
      <c r="E97" s="160">
        <f>INDEX(Data[],MATCH($A97,Data[Dist],0),MATCH(E$6,Data[#Headers],0))</f>
        <v>253292</v>
      </c>
      <c r="F97" s="160">
        <f>INDEX(Data[],MATCH($A97,Data[Dist],0),MATCH(F$6,Data[#Headers],0))</f>
        <v>253293</v>
      </c>
      <c r="G97" s="22">
        <f>INDEX(Data[],MATCH($A97,Data[Dist],0),MATCH(G$6,Data[#Headers],0))</f>
        <v>2285128</v>
      </c>
      <c r="H97" s="22">
        <f>INDEX(Data[],MATCH($A97,Data[Dist],0),MATCH(H$6,Data[#Headers],0))-G97</f>
        <v>253293</v>
      </c>
      <c r="I97" s="25"/>
      <c r="J97" s="22">
        <f>INDEX(Notes!$I$2:$N$11,MATCH(Notes!$B$2,Notes!$I$2:$I$11,0),4)*$C97</f>
        <v>1018668</v>
      </c>
      <c r="K97" s="22">
        <f>INDEX(Notes!$I$2:$N$11,MATCH(Notes!$B$2,Notes!$I$2:$I$11,0),5)*$D97</f>
        <v>506584</v>
      </c>
      <c r="L97" s="22">
        <f>INDEX(Notes!$I$2:$N$11,MATCH(Notes!$B$2,Notes!$I$2:$I$11,0),6)*$E97</f>
        <v>759876</v>
      </c>
      <c r="M97" s="22">
        <f>IF(Notes!$B$2="June",'Payment Total'!$F97,0)</f>
        <v>0</v>
      </c>
      <c r="N97" s="22">
        <f t="shared" si="4"/>
        <v>0</v>
      </c>
      <c r="P97" s="26" t="s">
        <v>933</v>
      </c>
      <c r="Q97" s="26">
        <v>253292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208769</v>
      </c>
      <c r="E98" s="160">
        <f>INDEX(Data[],MATCH($A98,Data[Dist],0),MATCH(E$6,Data[#Headers],0))</f>
        <v>208769</v>
      </c>
      <c r="F98" s="160">
        <f>INDEX(Data[],MATCH($A98,Data[Dist],0),MATCH(F$6,Data[#Headers],0))</f>
        <v>208768</v>
      </c>
      <c r="G98" s="22">
        <f>INDEX(Data[],MATCH($A98,Data[Dist],0),MATCH(G$6,Data[#Headers],0))</f>
        <v>1884613</v>
      </c>
      <c r="H98" s="22">
        <f>INDEX(Data[],MATCH($A98,Data[Dist],0),MATCH(H$6,Data[#Headers],0))-G98</f>
        <v>208768</v>
      </c>
      <c r="I98" s="25"/>
      <c r="J98" s="22">
        <f>INDEX(Notes!$I$2:$N$11,MATCH(Notes!$B$2,Notes!$I$2:$I$11,0),4)*$C98</f>
        <v>840768</v>
      </c>
      <c r="K98" s="22">
        <f>INDEX(Notes!$I$2:$N$11,MATCH(Notes!$B$2,Notes!$I$2:$I$11,0),5)*$D98</f>
        <v>417538</v>
      </c>
      <c r="L98" s="22">
        <f>INDEX(Notes!$I$2:$N$11,MATCH(Notes!$B$2,Notes!$I$2:$I$11,0),6)*$E98</f>
        <v>626307</v>
      </c>
      <c r="M98" s="22">
        <f>IF(Notes!$B$2="June",'Payment Total'!$F98,0)</f>
        <v>0</v>
      </c>
      <c r="N98" s="22">
        <f t="shared" si="4"/>
        <v>0</v>
      </c>
      <c r="P98" s="26" t="s">
        <v>934</v>
      </c>
      <c r="Q98" s="26">
        <v>208769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325582</v>
      </c>
      <c r="E99" s="160">
        <f>INDEX(Data[],MATCH($A99,Data[Dist],0),MATCH(E$6,Data[#Headers],0))</f>
        <v>325582</v>
      </c>
      <c r="F99" s="160">
        <f>INDEX(Data[],MATCH($A99,Data[Dist],0),MATCH(F$6,Data[#Headers],0))</f>
        <v>325582</v>
      </c>
      <c r="G99" s="22">
        <f>INDEX(Data[],MATCH($A99,Data[Dist],0),MATCH(G$6,Data[#Headers],0))</f>
        <v>2937798</v>
      </c>
      <c r="H99" s="22">
        <f>INDEX(Data[],MATCH($A99,Data[Dist],0),MATCH(H$6,Data[#Headers],0))-G99</f>
        <v>325582</v>
      </c>
      <c r="I99" s="25"/>
      <c r="J99" s="22">
        <f>INDEX(Notes!$I$2:$N$11,MATCH(Notes!$B$2,Notes!$I$2:$I$11,0),4)*$C99</f>
        <v>1309888</v>
      </c>
      <c r="K99" s="22">
        <f>INDEX(Notes!$I$2:$N$11,MATCH(Notes!$B$2,Notes!$I$2:$I$11,0),5)*$D99</f>
        <v>651164</v>
      </c>
      <c r="L99" s="22">
        <f>INDEX(Notes!$I$2:$N$11,MATCH(Notes!$B$2,Notes!$I$2:$I$11,0),6)*$E99</f>
        <v>976746</v>
      </c>
      <c r="M99" s="22">
        <f>IF(Notes!$B$2="June",'Payment Total'!$F99,0)</f>
        <v>0</v>
      </c>
      <c r="N99" s="22">
        <f t="shared" si="4"/>
        <v>0</v>
      </c>
      <c r="P99" s="26" t="s">
        <v>935</v>
      </c>
      <c r="Q99" s="26">
        <v>325582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643416</v>
      </c>
      <c r="E100" s="160">
        <f>INDEX(Data[],MATCH($A100,Data[Dist],0),MATCH(E$6,Data[#Headers],0))</f>
        <v>643415</v>
      </c>
      <c r="F100" s="160">
        <f>INDEX(Data[],MATCH($A100,Data[Dist],0),MATCH(F$6,Data[#Headers],0))</f>
        <v>643416</v>
      </c>
      <c r="G100" s="22">
        <f>INDEX(Data[],MATCH($A100,Data[Dist],0),MATCH(G$6,Data[#Headers],0))</f>
        <v>5805233</v>
      </c>
      <c r="H100" s="22">
        <f>INDEX(Data[],MATCH($A100,Data[Dist],0),MATCH(H$6,Data[#Headers],0))-G100</f>
        <v>643416</v>
      </c>
      <c r="I100" s="25"/>
      <c r="J100" s="22">
        <f>INDEX(Notes!$I$2:$N$11,MATCH(Notes!$B$2,Notes!$I$2:$I$11,0),4)*$C100</f>
        <v>2588156</v>
      </c>
      <c r="K100" s="22">
        <f>INDEX(Notes!$I$2:$N$11,MATCH(Notes!$B$2,Notes!$I$2:$I$11,0),5)*$D100</f>
        <v>1286832</v>
      </c>
      <c r="L100" s="22">
        <f>INDEX(Notes!$I$2:$N$11,MATCH(Notes!$B$2,Notes!$I$2:$I$11,0),6)*$E100</f>
        <v>1930245</v>
      </c>
      <c r="M100" s="22">
        <f>IF(Notes!$B$2="June",'Payment Total'!$F100,0)</f>
        <v>0</v>
      </c>
      <c r="N100" s="22">
        <f t="shared" si="4"/>
        <v>0</v>
      </c>
      <c r="P100" s="26" t="s">
        <v>936</v>
      </c>
      <c r="Q100" s="26">
        <v>643415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744551</v>
      </c>
      <c r="E101" s="160">
        <f>INDEX(Data[],MATCH($A101,Data[Dist],0),MATCH(E$6,Data[#Headers],0))</f>
        <v>744551</v>
      </c>
      <c r="F101" s="160">
        <f>INDEX(Data[],MATCH($A101,Data[Dist],0),MATCH(F$6,Data[#Headers],0))</f>
        <v>744549</v>
      </c>
      <c r="G101" s="22">
        <f>INDEX(Data[],MATCH($A101,Data[Dist],0),MATCH(G$6,Data[#Headers],0))</f>
        <v>6715251</v>
      </c>
      <c r="H101" s="22">
        <f>INDEX(Data[],MATCH($A101,Data[Dist],0),MATCH(H$6,Data[#Headers],0))-G101</f>
        <v>744549</v>
      </c>
      <c r="I101" s="25"/>
      <c r="J101" s="22">
        <f>INDEX(Notes!$I$2:$N$11,MATCH(Notes!$B$2,Notes!$I$2:$I$11,0),4)*$C101</f>
        <v>2992496</v>
      </c>
      <c r="K101" s="22">
        <f>INDEX(Notes!$I$2:$N$11,MATCH(Notes!$B$2,Notes!$I$2:$I$11,0),5)*$D101</f>
        <v>1489102</v>
      </c>
      <c r="L101" s="22">
        <f>INDEX(Notes!$I$2:$N$11,MATCH(Notes!$B$2,Notes!$I$2:$I$11,0),6)*$E101</f>
        <v>2233653</v>
      </c>
      <c r="M101" s="22">
        <f>IF(Notes!$B$2="June",'Payment Total'!$F101,0)</f>
        <v>0</v>
      </c>
      <c r="N101" s="22">
        <f t="shared" si="4"/>
        <v>0</v>
      </c>
      <c r="P101" s="26" t="s">
        <v>937</v>
      </c>
      <c r="Q101" s="26">
        <v>744551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372489</v>
      </c>
      <c r="E102" s="160">
        <f>INDEX(Data[],MATCH($A102,Data[Dist],0),MATCH(E$6,Data[#Headers],0))</f>
        <v>372489</v>
      </c>
      <c r="F102" s="160">
        <f>INDEX(Data[],MATCH($A102,Data[Dist],0),MATCH(F$6,Data[#Headers],0))</f>
        <v>372489</v>
      </c>
      <c r="G102" s="22">
        <f>INDEX(Data[],MATCH($A102,Data[Dist],0),MATCH(G$6,Data[#Headers],0))</f>
        <v>3360841</v>
      </c>
      <c r="H102" s="22">
        <f>INDEX(Data[],MATCH($A102,Data[Dist],0),MATCH(H$6,Data[#Headers],0))-G102</f>
        <v>372489</v>
      </c>
      <c r="I102" s="25"/>
      <c r="J102" s="22">
        <f>INDEX(Notes!$I$2:$N$11,MATCH(Notes!$B$2,Notes!$I$2:$I$11,0),4)*$C102</f>
        <v>1498396</v>
      </c>
      <c r="K102" s="22">
        <f>INDEX(Notes!$I$2:$N$11,MATCH(Notes!$B$2,Notes!$I$2:$I$11,0),5)*$D102</f>
        <v>744978</v>
      </c>
      <c r="L102" s="22">
        <f>INDEX(Notes!$I$2:$N$11,MATCH(Notes!$B$2,Notes!$I$2:$I$11,0),6)*$E102</f>
        <v>1117467</v>
      </c>
      <c r="M102" s="22">
        <f>IF(Notes!$B$2="June",'Payment Total'!$F102,0)</f>
        <v>0</v>
      </c>
      <c r="N102" s="22">
        <f t="shared" si="4"/>
        <v>0</v>
      </c>
      <c r="P102" s="26" t="s">
        <v>938</v>
      </c>
      <c r="Q102" s="26">
        <v>372489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385243</v>
      </c>
      <c r="E103" s="160">
        <f>INDEX(Data[],MATCH($A103,Data[Dist],0),MATCH(E$6,Data[#Headers],0))</f>
        <v>385243</v>
      </c>
      <c r="F103" s="160">
        <f>INDEX(Data[],MATCH($A103,Data[Dist],0),MATCH(F$6,Data[#Headers],0))</f>
        <v>385244</v>
      </c>
      <c r="G103" s="22">
        <f>INDEX(Data[],MATCH($A103,Data[Dist],0),MATCH(G$6,Data[#Headers],0))</f>
        <v>3475323</v>
      </c>
      <c r="H103" s="22">
        <f>INDEX(Data[],MATCH($A103,Data[Dist],0),MATCH(H$6,Data[#Headers],0))-G103</f>
        <v>385244</v>
      </c>
      <c r="I103" s="25"/>
      <c r="J103" s="22">
        <f>INDEX(Notes!$I$2:$N$11,MATCH(Notes!$B$2,Notes!$I$2:$I$11,0),4)*$C103</f>
        <v>1549108</v>
      </c>
      <c r="K103" s="22">
        <f>INDEX(Notes!$I$2:$N$11,MATCH(Notes!$B$2,Notes!$I$2:$I$11,0),5)*$D103</f>
        <v>770486</v>
      </c>
      <c r="L103" s="22">
        <f>INDEX(Notes!$I$2:$N$11,MATCH(Notes!$B$2,Notes!$I$2:$I$11,0),6)*$E103</f>
        <v>1155729</v>
      </c>
      <c r="M103" s="22">
        <f>IF(Notes!$B$2="June",'Payment Total'!$F103,0)</f>
        <v>0</v>
      </c>
      <c r="N103" s="22">
        <f t="shared" si="4"/>
        <v>0</v>
      </c>
      <c r="P103" s="26" t="s">
        <v>939</v>
      </c>
      <c r="Q103" s="26">
        <v>385243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393502</v>
      </c>
      <c r="E104" s="160">
        <f>INDEX(Data[],MATCH($A104,Data[Dist],0),MATCH(E$6,Data[#Headers],0))</f>
        <v>393502</v>
      </c>
      <c r="F104" s="160">
        <f>INDEX(Data[],MATCH($A104,Data[Dist],0),MATCH(F$6,Data[#Headers],0))</f>
        <v>393500</v>
      </c>
      <c r="G104" s="22">
        <f>INDEX(Data[],MATCH($A104,Data[Dist],0),MATCH(G$6,Data[#Headers],0))</f>
        <v>3549766</v>
      </c>
      <c r="H104" s="22">
        <f>INDEX(Data[],MATCH($A104,Data[Dist],0),MATCH(H$6,Data[#Headers],0))-G104</f>
        <v>393500</v>
      </c>
      <c r="I104" s="25"/>
      <c r="J104" s="22">
        <f>INDEX(Notes!$I$2:$N$11,MATCH(Notes!$B$2,Notes!$I$2:$I$11,0),4)*$C104</f>
        <v>1582256</v>
      </c>
      <c r="K104" s="22">
        <f>INDEX(Notes!$I$2:$N$11,MATCH(Notes!$B$2,Notes!$I$2:$I$11,0),5)*$D104</f>
        <v>787004</v>
      </c>
      <c r="L104" s="22">
        <f>INDEX(Notes!$I$2:$N$11,MATCH(Notes!$B$2,Notes!$I$2:$I$11,0),6)*$E104</f>
        <v>1180506</v>
      </c>
      <c r="M104" s="22">
        <f>IF(Notes!$B$2="June",'Payment Total'!$F104,0)</f>
        <v>0</v>
      </c>
      <c r="N104" s="22">
        <f t="shared" si="4"/>
        <v>0</v>
      </c>
      <c r="P104" s="26" t="s">
        <v>940</v>
      </c>
      <c r="Q104" s="26">
        <v>393502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365929</v>
      </c>
      <c r="E105" s="160">
        <f>INDEX(Data[],MATCH($A105,Data[Dist],0),MATCH(E$6,Data[#Headers],0))</f>
        <v>365929</v>
      </c>
      <c r="F105" s="160">
        <f>INDEX(Data[],MATCH($A105,Data[Dist],0),MATCH(F$6,Data[#Headers],0))</f>
        <v>365930</v>
      </c>
      <c r="G105" s="22">
        <f>INDEX(Data[],MATCH($A105,Data[Dist],0),MATCH(G$6,Data[#Headers],0))</f>
        <v>3300457</v>
      </c>
      <c r="H105" s="22">
        <f>INDEX(Data[],MATCH($A105,Data[Dist],0),MATCH(H$6,Data[#Headers],0))-G105</f>
        <v>365930</v>
      </c>
      <c r="I105" s="25"/>
      <c r="J105" s="22">
        <f>INDEX(Notes!$I$2:$N$11,MATCH(Notes!$B$2,Notes!$I$2:$I$11,0),4)*$C105</f>
        <v>1470812</v>
      </c>
      <c r="K105" s="22">
        <f>INDEX(Notes!$I$2:$N$11,MATCH(Notes!$B$2,Notes!$I$2:$I$11,0),5)*$D105</f>
        <v>731858</v>
      </c>
      <c r="L105" s="22">
        <f>INDEX(Notes!$I$2:$N$11,MATCH(Notes!$B$2,Notes!$I$2:$I$11,0),6)*$E105</f>
        <v>1097787</v>
      </c>
      <c r="M105" s="22">
        <f>IF(Notes!$B$2="June",'Payment Total'!$F105,0)</f>
        <v>0</v>
      </c>
      <c r="N105" s="22">
        <f t="shared" si="4"/>
        <v>0</v>
      </c>
      <c r="P105" s="26" t="s">
        <v>941</v>
      </c>
      <c r="Q105" s="26">
        <v>365929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193944</v>
      </c>
      <c r="E106" s="160">
        <f>INDEX(Data[],MATCH($A106,Data[Dist],0),MATCH(E$6,Data[#Headers],0))</f>
        <v>193944</v>
      </c>
      <c r="F106" s="160">
        <f>INDEX(Data[],MATCH($A106,Data[Dist],0),MATCH(F$6,Data[#Headers],0))</f>
        <v>193945</v>
      </c>
      <c r="G106" s="22">
        <f>INDEX(Data[],MATCH($A106,Data[Dist],0),MATCH(G$6,Data[#Headers],0))</f>
        <v>1750468</v>
      </c>
      <c r="H106" s="22">
        <f>INDEX(Data[],MATCH($A106,Data[Dist],0),MATCH(H$6,Data[#Headers],0))-G106</f>
        <v>193945</v>
      </c>
      <c r="I106" s="25"/>
      <c r="J106" s="22">
        <f>INDEX(Notes!$I$2:$N$11,MATCH(Notes!$B$2,Notes!$I$2:$I$11,0),4)*$C106</f>
        <v>780748</v>
      </c>
      <c r="K106" s="22">
        <f>INDEX(Notes!$I$2:$N$11,MATCH(Notes!$B$2,Notes!$I$2:$I$11,0),5)*$D106</f>
        <v>387888</v>
      </c>
      <c r="L106" s="22">
        <f>INDEX(Notes!$I$2:$N$11,MATCH(Notes!$B$2,Notes!$I$2:$I$11,0),6)*$E106</f>
        <v>581832</v>
      </c>
      <c r="M106" s="22">
        <f>IF(Notes!$B$2="June",'Payment Total'!$F106,0)</f>
        <v>0</v>
      </c>
      <c r="N106" s="22">
        <f t="shared" si="4"/>
        <v>0</v>
      </c>
      <c r="P106" s="26" t="s">
        <v>942</v>
      </c>
      <c r="Q106" s="26">
        <v>193944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220844</v>
      </c>
      <c r="E107" s="160">
        <f>INDEX(Data[],MATCH($A107,Data[Dist],0),MATCH(E$6,Data[#Headers],0))</f>
        <v>220844</v>
      </c>
      <c r="F107" s="160">
        <f>INDEX(Data[],MATCH($A107,Data[Dist],0),MATCH(F$6,Data[#Headers],0))</f>
        <v>220842</v>
      </c>
      <c r="G107" s="22">
        <f>INDEX(Data[],MATCH($A107,Data[Dist],0),MATCH(G$6,Data[#Headers],0))</f>
        <v>1993188</v>
      </c>
      <c r="H107" s="22">
        <f>INDEX(Data[],MATCH($A107,Data[Dist],0),MATCH(H$6,Data[#Headers],0))-G107</f>
        <v>220842</v>
      </c>
      <c r="I107" s="25"/>
      <c r="J107" s="22">
        <f>INDEX(Notes!$I$2:$N$11,MATCH(Notes!$B$2,Notes!$I$2:$I$11,0),4)*$C107</f>
        <v>888968</v>
      </c>
      <c r="K107" s="22">
        <f>INDEX(Notes!$I$2:$N$11,MATCH(Notes!$B$2,Notes!$I$2:$I$11,0),5)*$D107</f>
        <v>441688</v>
      </c>
      <c r="L107" s="22">
        <f>INDEX(Notes!$I$2:$N$11,MATCH(Notes!$B$2,Notes!$I$2:$I$11,0),6)*$E107</f>
        <v>662532</v>
      </c>
      <c r="M107" s="22">
        <f>IF(Notes!$B$2="June",'Payment Total'!$F107,0)</f>
        <v>0</v>
      </c>
      <c r="N107" s="22">
        <f t="shared" si="4"/>
        <v>0</v>
      </c>
      <c r="P107" s="26" t="s">
        <v>943</v>
      </c>
      <c r="Q107" s="26">
        <v>220844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259646</v>
      </c>
      <c r="E108" s="160">
        <f>INDEX(Data[],MATCH($A108,Data[Dist],0),MATCH(E$6,Data[#Headers],0))</f>
        <v>259647</v>
      </c>
      <c r="F108" s="160">
        <f>INDEX(Data[],MATCH($A108,Data[Dist],0),MATCH(F$6,Data[#Headers],0))</f>
        <v>259645</v>
      </c>
      <c r="G108" s="22">
        <f>INDEX(Data[],MATCH($A108,Data[Dist],0),MATCH(G$6,Data[#Headers],0))</f>
        <v>2342841</v>
      </c>
      <c r="H108" s="22">
        <f>INDEX(Data[],MATCH($A108,Data[Dist],0),MATCH(H$6,Data[#Headers],0))-G108</f>
        <v>259645</v>
      </c>
      <c r="I108" s="25"/>
      <c r="J108" s="22">
        <f>INDEX(Notes!$I$2:$N$11,MATCH(Notes!$B$2,Notes!$I$2:$I$11,0),4)*$C108</f>
        <v>1044608</v>
      </c>
      <c r="K108" s="22">
        <f>INDEX(Notes!$I$2:$N$11,MATCH(Notes!$B$2,Notes!$I$2:$I$11,0),5)*$D108</f>
        <v>519292</v>
      </c>
      <c r="L108" s="22">
        <f>INDEX(Notes!$I$2:$N$11,MATCH(Notes!$B$2,Notes!$I$2:$I$11,0),6)*$E108</f>
        <v>778941</v>
      </c>
      <c r="M108" s="22">
        <f>IF(Notes!$B$2="June",'Payment Total'!$F108,0)</f>
        <v>0</v>
      </c>
      <c r="N108" s="22">
        <f t="shared" si="4"/>
        <v>0</v>
      </c>
      <c r="P108" s="26" t="s">
        <v>944</v>
      </c>
      <c r="Q108" s="26">
        <v>259647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426771</v>
      </c>
      <c r="E109" s="160">
        <f>INDEX(Data[],MATCH($A109,Data[Dist],0),MATCH(E$6,Data[#Headers],0))</f>
        <v>426771</v>
      </c>
      <c r="F109" s="160">
        <f>INDEX(Data[],MATCH($A109,Data[Dist],0),MATCH(F$6,Data[#Headers],0))</f>
        <v>426772</v>
      </c>
      <c r="G109" s="22">
        <f>INDEX(Data[],MATCH($A109,Data[Dist],0),MATCH(G$6,Data[#Headers],0))</f>
        <v>3849355</v>
      </c>
      <c r="H109" s="22">
        <f>INDEX(Data[],MATCH($A109,Data[Dist],0),MATCH(H$6,Data[#Headers],0))-G109</f>
        <v>426772</v>
      </c>
      <c r="I109" s="25"/>
      <c r="J109" s="22">
        <f>INDEX(Notes!$I$2:$N$11,MATCH(Notes!$B$2,Notes!$I$2:$I$11,0),4)*$C109</f>
        <v>1715500</v>
      </c>
      <c r="K109" s="22">
        <f>INDEX(Notes!$I$2:$N$11,MATCH(Notes!$B$2,Notes!$I$2:$I$11,0),5)*$D109</f>
        <v>853542</v>
      </c>
      <c r="L109" s="22">
        <f>INDEX(Notes!$I$2:$N$11,MATCH(Notes!$B$2,Notes!$I$2:$I$11,0),6)*$E109</f>
        <v>1280313</v>
      </c>
      <c r="M109" s="22">
        <f>IF(Notes!$B$2="June",'Payment Total'!$F109,0)</f>
        <v>0</v>
      </c>
      <c r="N109" s="22">
        <f t="shared" si="4"/>
        <v>0</v>
      </c>
      <c r="P109" s="26" t="s">
        <v>945</v>
      </c>
      <c r="Q109" s="26">
        <v>426771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410613</v>
      </c>
      <c r="E110" s="160">
        <f>INDEX(Data[],MATCH($A110,Data[Dist],0),MATCH(E$6,Data[#Headers],0))</f>
        <v>410613</v>
      </c>
      <c r="F110" s="160">
        <f>INDEX(Data[],MATCH($A110,Data[Dist],0),MATCH(F$6,Data[#Headers],0))</f>
        <v>410611</v>
      </c>
      <c r="G110" s="22">
        <f>INDEX(Data[],MATCH($A110,Data[Dist],0),MATCH(G$6,Data[#Headers],0))</f>
        <v>3705505</v>
      </c>
      <c r="H110" s="22">
        <f>INDEX(Data[],MATCH($A110,Data[Dist],0),MATCH(H$6,Data[#Headers],0))-G110</f>
        <v>410611</v>
      </c>
      <c r="I110" s="25"/>
      <c r="J110" s="22">
        <f>INDEX(Notes!$I$2:$N$11,MATCH(Notes!$B$2,Notes!$I$2:$I$11,0),4)*$C110</f>
        <v>1652440</v>
      </c>
      <c r="K110" s="22">
        <f>INDEX(Notes!$I$2:$N$11,MATCH(Notes!$B$2,Notes!$I$2:$I$11,0),5)*$D110</f>
        <v>821226</v>
      </c>
      <c r="L110" s="22">
        <f>INDEX(Notes!$I$2:$N$11,MATCH(Notes!$B$2,Notes!$I$2:$I$11,0),6)*$E110</f>
        <v>1231839</v>
      </c>
      <c r="M110" s="22">
        <f>IF(Notes!$B$2="June",'Payment Total'!$F110,0)</f>
        <v>0</v>
      </c>
      <c r="N110" s="22">
        <f t="shared" si="4"/>
        <v>0</v>
      </c>
      <c r="P110" s="26" t="s">
        <v>946</v>
      </c>
      <c r="Q110" s="26">
        <v>410613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304440</v>
      </c>
      <c r="E111" s="160">
        <f>INDEX(Data[],MATCH($A111,Data[Dist],0),MATCH(E$6,Data[#Headers],0))</f>
        <v>304440</v>
      </c>
      <c r="F111" s="160">
        <f>INDEX(Data[],MATCH($A111,Data[Dist],0),MATCH(F$6,Data[#Headers],0))</f>
        <v>304438</v>
      </c>
      <c r="G111" s="22">
        <f>INDEX(Data[],MATCH($A111,Data[Dist],0),MATCH(G$6,Data[#Headers],0))</f>
        <v>2746892</v>
      </c>
      <c r="H111" s="22">
        <f>INDEX(Data[],MATCH($A111,Data[Dist],0),MATCH(H$6,Data[#Headers],0))-G111</f>
        <v>304438</v>
      </c>
      <c r="I111" s="25"/>
      <c r="J111" s="22">
        <f>INDEX(Notes!$I$2:$N$11,MATCH(Notes!$B$2,Notes!$I$2:$I$11,0),4)*$C111</f>
        <v>1224692</v>
      </c>
      <c r="K111" s="22">
        <f>INDEX(Notes!$I$2:$N$11,MATCH(Notes!$B$2,Notes!$I$2:$I$11,0),5)*$D111</f>
        <v>608880</v>
      </c>
      <c r="L111" s="22">
        <f>INDEX(Notes!$I$2:$N$11,MATCH(Notes!$B$2,Notes!$I$2:$I$11,0),6)*$E111</f>
        <v>913320</v>
      </c>
      <c r="M111" s="22">
        <f>IF(Notes!$B$2="June",'Payment Total'!$F111,0)</f>
        <v>0</v>
      </c>
      <c r="N111" s="22">
        <f t="shared" si="4"/>
        <v>0</v>
      </c>
      <c r="P111" s="26" t="s">
        <v>947</v>
      </c>
      <c r="Q111" s="26">
        <v>304440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128842</v>
      </c>
      <c r="E112" s="160">
        <f>INDEX(Data[],MATCH($A112,Data[Dist],0),MATCH(E$6,Data[#Headers],0))</f>
        <v>128841</v>
      </c>
      <c r="F112" s="160">
        <f>INDEX(Data[],MATCH($A112,Data[Dist],0),MATCH(F$6,Data[#Headers],0))</f>
        <v>128842</v>
      </c>
      <c r="G112" s="22">
        <f>INDEX(Data[],MATCH($A112,Data[Dist],0),MATCH(G$6,Data[#Headers],0))</f>
        <v>1162355</v>
      </c>
      <c r="H112" s="22">
        <f>INDEX(Data[],MATCH($A112,Data[Dist],0),MATCH(H$6,Data[#Headers],0))-G112</f>
        <v>128842</v>
      </c>
      <c r="I112" s="25"/>
      <c r="J112" s="22">
        <f>INDEX(Notes!$I$2:$N$11,MATCH(Notes!$B$2,Notes!$I$2:$I$11,0),4)*$C112</f>
        <v>518148</v>
      </c>
      <c r="K112" s="22">
        <f>INDEX(Notes!$I$2:$N$11,MATCH(Notes!$B$2,Notes!$I$2:$I$11,0),5)*$D112</f>
        <v>257684</v>
      </c>
      <c r="L112" s="22">
        <f>INDEX(Notes!$I$2:$N$11,MATCH(Notes!$B$2,Notes!$I$2:$I$11,0),6)*$E112</f>
        <v>386523</v>
      </c>
      <c r="M112" s="22">
        <f>IF(Notes!$B$2="June",'Payment Total'!$F112,0)</f>
        <v>0</v>
      </c>
      <c r="N112" s="22">
        <f t="shared" si="4"/>
        <v>0</v>
      </c>
      <c r="P112" s="26" t="s">
        <v>948</v>
      </c>
      <c r="Q112" s="26">
        <v>128841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891328</v>
      </c>
      <c r="E113" s="160">
        <f>INDEX(Data[],MATCH($A113,Data[Dist],0),MATCH(E$6,Data[#Headers],0))</f>
        <v>891328</v>
      </c>
      <c r="F113" s="160">
        <f>INDEX(Data[],MATCH($A113,Data[Dist],0),MATCH(F$6,Data[#Headers],0))</f>
        <v>891329</v>
      </c>
      <c r="G113" s="22">
        <f>INDEX(Data[],MATCH($A113,Data[Dist],0),MATCH(G$6,Data[#Headers],0))</f>
        <v>8040000</v>
      </c>
      <c r="H113" s="22">
        <f>INDEX(Data[],MATCH($A113,Data[Dist],0),MATCH(H$6,Data[#Headers],0))-G113</f>
        <v>891329</v>
      </c>
      <c r="I113" s="25"/>
      <c r="J113" s="22">
        <f>INDEX(Notes!$I$2:$N$11,MATCH(Notes!$B$2,Notes!$I$2:$I$11,0),4)*$C113</f>
        <v>3583360</v>
      </c>
      <c r="K113" s="22">
        <f>INDEX(Notes!$I$2:$N$11,MATCH(Notes!$B$2,Notes!$I$2:$I$11,0),5)*$D113</f>
        <v>1782656</v>
      </c>
      <c r="L113" s="22">
        <f>INDEX(Notes!$I$2:$N$11,MATCH(Notes!$B$2,Notes!$I$2:$I$11,0),6)*$E113</f>
        <v>2673984</v>
      </c>
      <c r="M113" s="22">
        <f>IF(Notes!$B$2="June",'Payment Total'!$F113,0)</f>
        <v>0</v>
      </c>
      <c r="N113" s="22">
        <f t="shared" si="4"/>
        <v>0</v>
      </c>
      <c r="P113" s="26" t="s">
        <v>949</v>
      </c>
      <c r="Q113" s="26">
        <v>891328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262034</v>
      </c>
      <c r="E114" s="160">
        <f>INDEX(Data[],MATCH($A114,Data[Dist],0),MATCH(E$6,Data[#Headers],0))</f>
        <v>262034</v>
      </c>
      <c r="F114" s="160">
        <f>INDEX(Data[],MATCH($A114,Data[Dist],0),MATCH(F$6,Data[#Headers],0))</f>
        <v>262034</v>
      </c>
      <c r="G114" s="22">
        <f>INDEX(Data[],MATCH($A114,Data[Dist],0),MATCH(G$6,Data[#Headers],0))</f>
        <v>2364710</v>
      </c>
      <c r="H114" s="22">
        <f>INDEX(Data[],MATCH($A114,Data[Dist],0),MATCH(H$6,Data[#Headers],0))-G114</f>
        <v>262034</v>
      </c>
      <c r="I114" s="25"/>
      <c r="J114" s="22">
        <f>INDEX(Notes!$I$2:$N$11,MATCH(Notes!$B$2,Notes!$I$2:$I$11,0),4)*$C114</f>
        <v>1054540</v>
      </c>
      <c r="K114" s="22">
        <f>INDEX(Notes!$I$2:$N$11,MATCH(Notes!$B$2,Notes!$I$2:$I$11,0),5)*$D114</f>
        <v>524068</v>
      </c>
      <c r="L114" s="22">
        <f>INDEX(Notes!$I$2:$N$11,MATCH(Notes!$B$2,Notes!$I$2:$I$11,0),6)*$E114</f>
        <v>786102</v>
      </c>
      <c r="M114" s="22">
        <f>IF(Notes!$B$2="June",'Payment Total'!$F114,0)</f>
        <v>0</v>
      </c>
      <c r="N114" s="22">
        <f t="shared" si="4"/>
        <v>0</v>
      </c>
      <c r="P114" s="26" t="s">
        <v>950</v>
      </c>
      <c r="Q114" s="26">
        <v>262034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972312</v>
      </c>
      <c r="E115" s="160">
        <f>INDEX(Data[],MATCH($A115,Data[Dist],0),MATCH(E$6,Data[#Headers],0))</f>
        <v>972313</v>
      </c>
      <c r="F115" s="160">
        <f>INDEX(Data[],MATCH($A115,Data[Dist],0),MATCH(F$6,Data[#Headers],0))</f>
        <v>972311</v>
      </c>
      <c r="G115" s="22">
        <f>INDEX(Data[],MATCH($A115,Data[Dist],0),MATCH(G$6,Data[#Headers],0))</f>
        <v>8774359</v>
      </c>
      <c r="H115" s="22">
        <f>INDEX(Data[],MATCH($A115,Data[Dist],0),MATCH(H$6,Data[#Headers],0))-G115</f>
        <v>972311</v>
      </c>
      <c r="I115" s="25"/>
      <c r="J115" s="22">
        <f>INDEX(Notes!$I$2:$N$11,MATCH(Notes!$B$2,Notes!$I$2:$I$11,0),4)*$C115</f>
        <v>3912796</v>
      </c>
      <c r="K115" s="22">
        <f>INDEX(Notes!$I$2:$N$11,MATCH(Notes!$B$2,Notes!$I$2:$I$11,0),5)*$D115</f>
        <v>1944624</v>
      </c>
      <c r="L115" s="22">
        <f>INDEX(Notes!$I$2:$N$11,MATCH(Notes!$B$2,Notes!$I$2:$I$11,0),6)*$E115</f>
        <v>2916939</v>
      </c>
      <c r="M115" s="22">
        <f>IF(Notes!$B$2="June",'Payment Total'!$F115,0)</f>
        <v>0</v>
      </c>
      <c r="N115" s="22">
        <f t="shared" si="4"/>
        <v>0</v>
      </c>
      <c r="P115" s="26" t="s">
        <v>951</v>
      </c>
      <c r="Q115" s="26">
        <v>972313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728793</v>
      </c>
      <c r="E116" s="160">
        <f>INDEX(Data[],MATCH($A116,Data[Dist],0),MATCH(E$6,Data[#Headers],0))</f>
        <v>728794</v>
      </c>
      <c r="F116" s="160">
        <f>INDEX(Data[],MATCH($A116,Data[Dist],0),MATCH(F$6,Data[#Headers],0))</f>
        <v>728792</v>
      </c>
      <c r="G116" s="22">
        <f>INDEX(Data[],MATCH($A116,Data[Dist],0),MATCH(G$6,Data[#Headers],0))</f>
        <v>6574984</v>
      </c>
      <c r="H116" s="22">
        <f>INDEX(Data[],MATCH($A116,Data[Dist],0),MATCH(H$6,Data[#Headers],0))-G116</f>
        <v>728792</v>
      </c>
      <c r="I116" s="25"/>
      <c r="J116" s="22">
        <f>INDEX(Notes!$I$2:$N$11,MATCH(Notes!$B$2,Notes!$I$2:$I$11,0),4)*$C116</f>
        <v>2931016</v>
      </c>
      <c r="K116" s="22">
        <f>INDEX(Notes!$I$2:$N$11,MATCH(Notes!$B$2,Notes!$I$2:$I$11,0),5)*$D116</f>
        <v>1457586</v>
      </c>
      <c r="L116" s="22">
        <f>INDEX(Notes!$I$2:$N$11,MATCH(Notes!$B$2,Notes!$I$2:$I$11,0),6)*$E116</f>
        <v>2186382</v>
      </c>
      <c r="M116" s="22">
        <f>IF(Notes!$B$2="June",'Payment Total'!$F116,0)</f>
        <v>0</v>
      </c>
      <c r="N116" s="22">
        <f t="shared" si="4"/>
        <v>0</v>
      </c>
      <c r="P116" s="26" t="s">
        <v>952</v>
      </c>
      <c r="Q116" s="26">
        <v>728794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2793315</v>
      </c>
      <c r="E117" s="160">
        <f>INDEX(Data[],MATCH($A117,Data[Dist],0),MATCH(E$6,Data[#Headers],0))</f>
        <v>2760867</v>
      </c>
      <c r="F117" s="160">
        <f>INDEX(Data[],MATCH($A117,Data[Dist],0),MATCH(F$6,Data[#Headers],0))</f>
        <v>2760865</v>
      </c>
      <c r="G117" s="22">
        <f>INDEX(Data[],MATCH($A117,Data[Dist],0),MATCH(G$6,Data[#Headers],0))</f>
        <v>25095951</v>
      </c>
      <c r="H117" s="22">
        <f>INDEX(Data[],MATCH($A117,Data[Dist],0),MATCH(H$6,Data[#Headers],0))-G117</f>
        <v>2760865</v>
      </c>
      <c r="I117" s="25"/>
      <c r="J117" s="22">
        <f>INDEX(Notes!$I$2:$N$11,MATCH(Notes!$B$2,Notes!$I$2:$I$11,0),4)*$C117</f>
        <v>11226720</v>
      </c>
      <c r="K117" s="22">
        <f>INDEX(Notes!$I$2:$N$11,MATCH(Notes!$B$2,Notes!$I$2:$I$11,0),5)*$D117</f>
        <v>5586630</v>
      </c>
      <c r="L117" s="22">
        <f>INDEX(Notes!$I$2:$N$11,MATCH(Notes!$B$2,Notes!$I$2:$I$11,0),6)*$E117</f>
        <v>8282601</v>
      </c>
      <c r="M117" s="22">
        <f>IF(Notes!$B$2="June",'Payment Total'!$F117,0)</f>
        <v>0</v>
      </c>
      <c r="N117" s="22">
        <f t="shared" si="4"/>
        <v>0</v>
      </c>
      <c r="P117" s="26" t="s">
        <v>953</v>
      </c>
      <c r="Q117" s="26">
        <v>2760867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1507369</v>
      </c>
      <c r="E118" s="160">
        <f>INDEX(Data[],MATCH($A118,Data[Dist],0),MATCH(E$6,Data[#Headers],0))</f>
        <v>1495590</v>
      </c>
      <c r="F118" s="160">
        <f>INDEX(Data[],MATCH($A118,Data[Dist],0),MATCH(F$6,Data[#Headers],0))</f>
        <v>1495588</v>
      </c>
      <c r="G118" s="22">
        <f>INDEX(Data[],MATCH($A118,Data[Dist],0),MATCH(G$6,Data[#Headers],0))</f>
        <v>13562544</v>
      </c>
      <c r="H118" s="22">
        <f>INDEX(Data[],MATCH($A118,Data[Dist],0),MATCH(H$6,Data[#Headers],0))-G118</f>
        <v>1495588</v>
      </c>
      <c r="I118" s="25"/>
      <c r="J118" s="22">
        <f>INDEX(Notes!$I$2:$N$11,MATCH(Notes!$B$2,Notes!$I$2:$I$11,0),4)*$C118</f>
        <v>6061036</v>
      </c>
      <c r="K118" s="22">
        <f>INDEX(Notes!$I$2:$N$11,MATCH(Notes!$B$2,Notes!$I$2:$I$11,0),5)*$D118</f>
        <v>3014738</v>
      </c>
      <c r="L118" s="22">
        <f>INDEX(Notes!$I$2:$N$11,MATCH(Notes!$B$2,Notes!$I$2:$I$11,0),6)*$E118</f>
        <v>4486770</v>
      </c>
      <c r="M118" s="22">
        <f>IF(Notes!$B$2="June",'Payment Total'!$F118,0)</f>
        <v>0</v>
      </c>
      <c r="N118" s="22">
        <f t="shared" si="4"/>
        <v>0</v>
      </c>
      <c r="P118" s="26" t="s">
        <v>954</v>
      </c>
      <c r="Q118" s="26">
        <v>1495590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301294</v>
      </c>
      <c r="E119" s="160">
        <f>INDEX(Data[],MATCH($A119,Data[Dist],0),MATCH(E$6,Data[#Headers],0))</f>
        <v>301294</v>
      </c>
      <c r="F119" s="160">
        <f>INDEX(Data[],MATCH($A119,Data[Dist],0),MATCH(F$6,Data[#Headers],0))</f>
        <v>301294</v>
      </c>
      <c r="G119" s="22">
        <f>INDEX(Data[],MATCH($A119,Data[Dist],0),MATCH(G$6,Data[#Headers],0))</f>
        <v>2718162</v>
      </c>
      <c r="H119" s="22">
        <f>INDEX(Data[],MATCH($A119,Data[Dist],0),MATCH(H$6,Data[#Headers],0))-G119</f>
        <v>301294</v>
      </c>
      <c r="I119" s="25"/>
      <c r="J119" s="22">
        <f>INDEX(Notes!$I$2:$N$11,MATCH(Notes!$B$2,Notes!$I$2:$I$11,0),4)*$C119</f>
        <v>1211692</v>
      </c>
      <c r="K119" s="22">
        <f>INDEX(Notes!$I$2:$N$11,MATCH(Notes!$B$2,Notes!$I$2:$I$11,0),5)*$D119</f>
        <v>602588</v>
      </c>
      <c r="L119" s="22">
        <f>INDEX(Notes!$I$2:$N$11,MATCH(Notes!$B$2,Notes!$I$2:$I$11,0),6)*$E119</f>
        <v>903882</v>
      </c>
      <c r="M119" s="22">
        <f>IF(Notes!$B$2="June",'Payment Total'!$F119,0)</f>
        <v>0</v>
      </c>
      <c r="N119" s="22">
        <f t="shared" si="4"/>
        <v>0</v>
      </c>
      <c r="P119" s="26" t="s">
        <v>955</v>
      </c>
      <c r="Q119" s="26">
        <v>301294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258425</v>
      </c>
      <c r="E120" s="160">
        <f>INDEX(Data[],MATCH($A120,Data[Dist],0),MATCH(E$6,Data[#Headers],0))</f>
        <v>258425</v>
      </c>
      <c r="F120" s="160">
        <f>INDEX(Data[],MATCH($A120,Data[Dist],0),MATCH(F$6,Data[#Headers],0))</f>
        <v>258426</v>
      </c>
      <c r="G120" s="22">
        <f>INDEX(Data[],MATCH($A120,Data[Dist],0),MATCH(G$6,Data[#Headers],0))</f>
        <v>2332793</v>
      </c>
      <c r="H120" s="22">
        <f>INDEX(Data[],MATCH($A120,Data[Dist],0),MATCH(H$6,Data[#Headers],0))-G120</f>
        <v>258426</v>
      </c>
      <c r="I120" s="25"/>
      <c r="J120" s="22">
        <f>INDEX(Notes!$I$2:$N$11,MATCH(Notes!$B$2,Notes!$I$2:$I$11,0),4)*$C120</f>
        <v>1040668</v>
      </c>
      <c r="K120" s="22">
        <f>INDEX(Notes!$I$2:$N$11,MATCH(Notes!$B$2,Notes!$I$2:$I$11,0),5)*$D120</f>
        <v>516850</v>
      </c>
      <c r="L120" s="22">
        <f>INDEX(Notes!$I$2:$N$11,MATCH(Notes!$B$2,Notes!$I$2:$I$11,0),6)*$E120</f>
        <v>775275</v>
      </c>
      <c r="M120" s="22">
        <f>IF(Notes!$B$2="June",'Payment Total'!$F120,0)</f>
        <v>0</v>
      </c>
      <c r="N120" s="22">
        <f t="shared" si="4"/>
        <v>0</v>
      </c>
      <c r="P120" s="26" t="s">
        <v>956</v>
      </c>
      <c r="Q120" s="26">
        <v>258425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419407</v>
      </c>
      <c r="E121" s="160">
        <f>INDEX(Data[],MATCH($A121,Data[Dist],0),MATCH(E$6,Data[#Headers],0))</f>
        <v>419407</v>
      </c>
      <c r="F121" s="160">
        <f>INDEX(Data[],MATCH($A121,Data[Dist],0),MATCH(F$6,Data[#Headers],0))</f>
        <v>419407</v>
      </c>
      <c r="G121" s="22">
        <f>INDEX(Data[],MATCH($A121,Data[Dist],0),MATCH(G$6,Data[#Headers],0))</f>
        <v>3787427</v>
      </c>
      <c r="H121" s="22">
        <f>INDEX(Data[],MATCH($A121,Data[Dist],0),MATCH(H$6,Data[#Headers],0))-G121</f>
        <v>419407</v>
      </c>
      <c r="I121" s="25"/>
      <c r="J121" s="22">
        <f>INDEX(Notes!$I$2:$N$11,MATCH(Notes!$B$2,Notes!$I$2:$I$11,0),4)*$C121</f>
        <v>1690392</v>
      </c>
      <c r="K121" s="22">
        <f>INDEX(Notes!$I$2:$N$11,MATCH(Notes!$B$2,Notes!$I$2:$I$11,0),5)*$D121</f>
        <v>838814</v>
      </c>
      <c r="L121" s="22">
        <f>INDEX(Notes!$I$2:$N$11,MATCH(Notes!$B$2,Notes!$I$2:$I$11,0),6)*$E121</f>
        <v>1258221</v>
      </c>
      <c r="M121" s="22">
        <f>IF(Notes!$B$2="June",'Payment Total'!$F121,0)</f>
        <v>0</v>
      </c>
      <c r="N121" s="22">
        <f t="shared" si="4"/>
        <v>0</v>
      </c>
      <c r="P121" s="26" t="s">
        <v>957</v>
      </c>
      <c r="Q121" s="26">
        <v>419407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272553</v>
      </c>
      <c r="E122" s="160">
        <f>INDEX(Data[],MATCH($A122,Data[Dist],0),MATCH(E$6,Data[#Headers],0))</f>
        <v>272552</v>
      </c>
      <c r="F122" s="160">
        <f>INDEX(Data[],MATCH($A122,Data[Dist],0),MATCH(F$6,Data[#Headers],0))</f>
        <v>272553</v>
      </c>
      <c r="G122" s="22">
        <f>INDEX(Data[],MATCH($A122,Data[Dist],0),MATCH(G$6,Data[#Headers],0))</f>
        <v>2459798</v>
      </c>
      <c r="H122" s="22">
        <f>INDEX(Data[],MATCH($A122,Data[Dist],0),MATCH(H$6,Data[#Headers],0))-G122</f>
        <v>272553</v>
      </c>
      <c r="I122" s="25"/>
      <c r="J122" s="22">
        <f>INDEX(Notes!$I$2:$N$11,MATCH(Notes!$B$2,Notes!$I$2:$I$11,0),4)*$C122</f>
        <v>1097036</v>
      </c>
      <c r="K122" s="22">
        <f>INDEX(Notes!$I$2:$N$11,MATCH(Notes!$B$2,Notes!$I$2:$I$11,0),5)*$D122</f>
        <v>545106</v>
      </c>
      <c r="L122" s="22">
        <f>INDEX(Notes!$I$2:$N$11,MATCH(Notes!$B$2,Notes!$I$2:$I$11,0),6)*$E122</f>
        <v>817656</v>
      </c>
      <c r="M122" s="22">
        <f>IF(Notes!$B$2="June",'Payment Total'!$F122,0)</f>
        <v>0</v>
      </c>
      <c r="N122" s="22">
        <f t="shared" si="4"/>
        <v>0</v>
      </c>
      <c r="P122" s="26" t="s">
        <v>958</v>
      </c>
      <c r="Q122" s="26">
        <v>272552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995530</v>
      </c>
      <c r="E123" s="160">
        <f>INDEX(Data[],MATCH($A123,Data[Dist],0),MATCH(E$6,Data[#Headers],0))</f>
        <v>995530</v>
      </c>
      <c r="F123" s="160">
        <f>INDEX(Data[],MATCH($A123,Data[Dist],0),MATCH(F$6,Data[#Headers],0))</f>
        <v>995528</v>
      </c>
      <c r="G123" s="22">
        <f>INDEX(Data[],MATCH($A123,Data[Dist],0),MATCH(G$6,Data[#Headers],0))</f>
        <v>8983586</v>
      </c>
      <c r="H123" s="22">
        <f>INDEX(Data[],MATCH($A123,Data[Dist],0),MATCH(H$6,Data[#Headers],0))-G123</f>
        <v>995528</v>
      </c>
      <c r="I123" s="25"/>
      <c r="J123" s="22">
        <f>INDEX(Notes!$I$2:$N$11,MATCH(Notes!$B$2,Notes!$I$2:$I$11,0),4)*$C123</f>
        <v>4005936</v>
      </c>
      <c r="K123" s="22">
        <f>INDEX(Notes!$I$2:$N$11,MATCH(Notes!$B$2,Notes!$I$2:$I$11,0),5)*$D123</f>
        <v>1991060</v>
      </c>
      <c r="L123" s="22">
        <f>INDEX(Notes!$I$2:$N$11,MATCH(Notes!$B$2,Notes!$I$2:$I$11,0),6)*$E123</f>
        <v>2986590</v>
      </c>
      <c r="M123" s="22">
        <f>IF(Notes!$B$2="June",'Payment Total'!$F123,0)</f>
        <v>0</v>
      </c>
      <c r="N123" s="22">
        <f t="shared" si="4"/>
        <v>0</v>
      </c>
      <c r="P123" s="26" t="s">
        <v>959</v>
      </c>
      <c r="Q123" s="26">
        <v>995530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120539</v>
      </c>
      <c r="E124" s="160">
        <f>INDEX(Data[],MATCH($A124,Data[Dist],0),MATCH(E$6,Data[#Headers],0))</f>
        <v>120539</v>
      </c>
      <c r="F124" s="160">
        <f>INDEX(Data[],MATCH($A124,Data[Dist],0),MATCH(F$6,Data[#Headers],0))</f>
        <v>120540</v>
      </c>
      <c r="G124" s="22">
        <f>INDEX(Data[],MATCH($A124,Data[Dist],0),MATCH(G$6,Data[#Headers],0))</f>
        <v>1087463</v>
      </c>
      <c r="H124" s="22">
        <f>INDEX(Data[],MATCH($A124,Data[Dist],0),MATCH(H$6,Data[#Headers],0))-G124</f>
        <v>120540</v>
      </c>
      <c r="I124" s="25"/>
      <c r="J124" s="22">
        <f>INDEX(Notes!$I$2:$N$11,MATCH(Notes!$B$2,Notes!$I$2:$I$11,0),4)*$C124</f>
        <v>484768</v>
      </c>
      <c r="K124" s="22">
        <f>INDEX(Notes!$I$2:$N$11,MATCH(Notes!$B$2,Notes!$I$2:$I$11,0),5)*$D124</f>
        <v>241078</v>
      </c>
      <c r="L124" s="22">
        <f>INDEX(Notes!$I$2:$N$11,MATCH(Notes!$B$2,Notes!$I$2:$I$11,0),6)*$E124</f>
        <v>361617</v>
      </c>
      <c r="M124" s="22">
        <f>IF(Notes!$B$2="June",'Payment Total'!$F124,0)</f>
        <v>0</v>
      </c>
      <c r="N124" s="22">
        <f t="shared" si="4"/>
        <v>0</v>
      </c>
      <c r="P124" s="26" t="s">
        <v>960</v>
      </c>
      <c r="Q124" s="26">
        <v>120539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380112</v>
      </c>
      <c r="E125" s="160">
        <f>INDEX(Data[],MATCH($A125,Data[Dist],0),MATCH(E$6,Data[#Headers],0))</f>
        <v>380112</v>
      </c>
      <c r="F125" s="160">
        <f>INDEX(Data[],MATCH($A125,Data[Dist],0),MATCH(F$6,Data[#Headers],0))</f>
        <v>380112</v>
      </c>
      <c r="G125" s="22">
        <f>INDEX(Data[],MATCH($A125,Data[Dist],0),MATCH(G$6,Data[#Headers],0))</f>
        <v>3430276</v>
      </c>
      <c r="H125" s="22">
        <f>INDEX(Data[],MATCH($A125,Data[Dist],0),MATCH(H$6,Data[#Headers],0))-G125</f>
        <v>380112</v>
      </c>
      <c r="I125" s="25"/>
      <c r="J125" s="22">
        <f>INDEX(Notes!$I$2:$N$11,MATCH(Notes!$B$2,Notes!$I$2:$I$11,0),4)*$C125</f>
        <v>1529716</v>
      </c>
      <c r="K125" s="22">
        <f>INDEX(Notes!$I$2:$N$11,MATCH(Notes!$B$2,Notes!$I$2:$I$11,0),5)*$D125</f>
        <v>760224</v>
      </c>
      <c r="L125" s="22">
        <f>INDEX(Notes!$I$2:$N$11,MATCH(Notes!$B$2,Notes!$I$2:$I$11,0),6)*$E125</f>
        <v>1140336</v>
      </c>
      <c r="M125" s="22">
        <f>IF(Notes!$B$2="June",'Payment Total'!$F125,0)</f>
        <v>0</v>
      </c>
      <c r="N125" s="22">
        <f t="shared" si="4"/>
        <v>0</v>
      </c>
      <c r="P125" s="26" t="s">
        <v>961</v>
      </c>
      <c r="Q125" s="26">
        <v>380112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1341763</v>
      </c>
      <c r="E126" s="160">
        <f>INDEX(Data[],MATCH($A126,Data[Dist],0),MATCH(E$6,Data[#Headers],0))</f>
        <v>1341763</v>
      </c>
      <c r="F126" s="160">
        <f>INDEX(Data[],MATCH($A126,Data[Dist],0),MATCH(F$6,Data[#Headers],0))</f>
        <v>1341761</v>
      </c>
      <c r="G126" s="22">
        <f>INDEX(Data[],MATCH($A126,Data[Dist],0),MATCH(G$6,Data[#Headers],0))</f>
        <v>12104671</v>
      </c>
      <c r="H126" s="22">
        <f>INDEX(Data[],MATCH($A126,Data[Dist],0),MATCH(H$6,Data[#Headers],0))-G126</f>
        <v>1341761</v>
      </c>
      <c r="I126" s="25"/>
      <c r="J126" s="22">
        <f>INDEX(Notes!$I$2:$N$11,MATCH(Notes!$B$2,Notes!$I$2:$I$11,0),4)*$C126</f>
        <v>5395856</v>
      </c>
      <c r="K126" s="22">
        <f>INDEX(Notes!$I$2:$N$11,MATCH(Notes!$B$2,Notes!$I$2:$I$11,0),5)*$D126</f>
        <v>2683526</v>
      </c>
      <c r="L126" s="22">
        <f>INDEX(Notes!$I$2:$N$11,MATCH(Notes!$B$2,Notes!$I$2:$I$11,0),6)*$E126</f>
        <v>4025289</v>
      </c>
      <c r="M126" s="22">
        <f>IF(Notes!$B$2="June",'Payment Total'!$F126,0)</f>
        <v>0</v>
      </c>
      <c r="N126" s="22">
        <f t="shared" si="4"/>
        <v>0</v>
      </c>
      <c r="P126" s="26" t="s">
        <v>962</v>
      </c>
      <c r="Q126" s="26">
        <v>1341763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183563</v>
      </c>
      <c r="E127" s="160">
        <f>INDEX(Data[],MATCH($A127,Data[Dist],0),MATCH(E$6,Data[#Headers],0))</f>
        <v>183562</v>
      </c>
      <c r="F127" s="160">
        <f>INDEX(Data[],MATCH($A127,Data[Dist],0),MATCH(F$6,Data[#Headers],0))</f>
        <v>183563</v>
      </c>
      <c r="G127" s="22">
        <f>INDEX(Data[],MATCH($A127,Data[Dist],0),MATCH(G$6,Data[#Headers],0))</f>
        <v>1656504</v>
      </c>
      <c r="H127" s="22">
        <f>INDEX(Data[],MATCH($A127,Data[Dist],0),MATCH(H$6,Data[#Headers],0))-G127</f>
        <v>183563</v>
      </c>
      <c r="I127" s="25"/>
      <c r="J127" s="22">
        <f>INDEX(Notes!$I$2:$N$11,MATCH(Notes!$B$2,Notes!$I$2:$I$11,0),4)*$C127</f>
        <v>738692</v>
      </c>
      <c r="K127" s="22">
        <f>INDEX(Notes!$I$2:$N$11,MATCH(Notes!$B$2,Notes!$I$2:$I$11,0),5)*$D127</f>
        <v>367126</v>
      </c>
      <c r="L127" s="22">
        <f>INDEX(Notes!$I$2:$N$11,MATCH(Notes!$B$2,Notes!$I$2:$I$11,0),6)*$E127</f>
        <v>550686</v>
      </c>
      <c r="M127" s="22">
        <f>IF(Notes!$B$2="June",'Payment Total'!$F127,0)</f>
        <v>0</v>
      </c>
      <c r="N127" s="22">
        <f t="shared" si="4"/>
        <v>0</v>
      </c>
      <c r="P127" s="26" t="s">
        <v>963</v>
      </c>
      <c r="Q127" s="26">
        <v>183562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198288</v>
      </c>
      <c r="E128" s="160">
        <f>INDEX(Data[],MATCH($A128,Data[Dist],0),MATCH(E$6,Data[#Headers],0))</f>
        <v>198288</v>
      </c>
      <c r="F128" s="160">
        <f>INDEX(Data[],MATCH($A128,Data[Dist],0),MATCH(F$6,Data[#Headers],0))</f>
        <v>198289</v>
      </c>
      <c r="G128" s="22">
        <f>INDEX(Data[],MATCH($A128,Data[Dist],0),MATCH(G$6,Data[#Headers],0))</f>
        <v>1790268</v>
      </c>
      <c r="H128" s="22">
        <f>INDEX(Data[],MATCH($A128,Data[Dist],0),MATCH(H$6,Data[#Headers],0))-G128</f>
        <v>198289</v>
      </c>
      <c r="I128" s="25"/>
      <c r="J128" s="22">
        <f>INDEX(Notes!$I$2:$N$11,MATCH(Notes!$B$2,Notes!$I$2:$I$11,0),4)*$C128</f>
        <v>798828</v>
      </c>
      <c r="K128" s="22">
        <f>INDEX(Notes!$I$2:$N$11,MATCH(Notes!$B$2,Notes!$I$2:$I$11,0),5)*$D128</f>
        <v>396576</v>
      </c>
      <c r="L128" s="22">
        <f>INDEX(Notes!$I$2:$N$11,MATCH(Notes!$B$2,Notes!$I$2:$I$11,0),6)*$E128</f>
        <v>594864</v>
      </c>
      <c r="M128" s="22">
        <f>IF(Notes!$B$2="June",'Payment Total'!$F128,0)</f>
        <v>0</v>
      </c>
      <c r="N128" s="22">
        <f t="shared" si="4"/>
        <v>0</v>
      </c>
      <c r="P128" s="26" t="s">
        <v>964</v>
      </c>
      <c r="Q128" s="26">
        <v>198288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410426</v>
      </c>
      <c r="E129" s="160">
        <f>INDEX(Data[],MATCH($A129,Data[Dist],0),MATCH(E$6,Data[#Headers],0))</f>
        <v>410426</v>
      </c>
      <c r="F129" s="160">
        <f>INDEX(Data[],MATCH($A129,Data[Dist],0),MATCH(F$6,Data[#Headers],0))</f>
        <v>410424</v>
      </c>
      <c r="G129" s="22">
        <f>INDEX(Data[],MATCH($A129,Data[Dist],0),MATCH(G$6,Data[#Headers],0))</f>
        <v>3703238</v>
      </c>
      <c r="H129" s="22">
        <f>INDEX(Data[],MATCH($A129,Data[Dist],0),MATCH(H$6,Data[#Headers],0))-G129</f>
        <v>410424</v>
      </c>
      <c r="I129" s="25"/>
      <c r="J129" s="22">
        <f>INDEX(Notes!$I$2:$N$11,MATCH(Notes!$B$2,Notes!$I$2:$I$11,0),4)*$C129</f>
        <v>1651108</v>
      </c>
      <c r="K129" s="22">
        <f>INDEX(Notes!$I$2:$N$11,MATCH(Notes!$B$2,Notes!$I$2:$I$11,0),5)*$D129</f>
        <v>820852</v>
      </c>
      <c r="L129" s="22">
        <f>INDEX(Notes!$I$2:$N$11,MATCH(Notes!$B$2,Notes!$I$2:$I$11,0),6)*$E129</f>
        <v>1231278</v>
      </c>
      <c r="M129" s="22">
        <f>IF(Notes!$B$2="June",'Payment Total'!$F129,0)</f>
        <v>0</v>
      </c>
      <c r="N129" s="22">
        <f t="shared" si="4"/>
        <v>0</v>
      </c>
      <c r="P129" s="26" t="s">
        <v>965</v>
      </c>
      <c r="Q129" s="26">
        <v>410426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132829</v>
      </c>
      <c r="E130" s="160">
        <f>INDEX(Data[],MATCH($A130,Data[Dist],0),MATCH(E$6,Data[#Headers],0))</f>
        <v>132829</v>
      </c>
      <c r="F130" s="160">
        <f>INDEX(Data[],MATCH($A130,Data[Dist],0),MATCH(F$6,Data[#Headers],0))</f>
        <v>132827</v>
      </c>
      <c r="G130" s="22">
        <f>INDEX(Data[],MATCH($A130,Data[Dist],0),MATCH(G$6,Data[#Headers],0))</f>
        <v>1199281</v>
      </c>
      <c r="H130" s="22">
        <f>INDEX(Data[],MATCH($A130,Data[Dist],0),MATCH(H$6,Data[#Headers],0))-G130</f>
        <v>132827</v>
      </c>
      <c r="I130" s="25"/>
      <c r="J130" s="22">
        <f>INDEX(Notes!$I$2:$N$11,MATCH(Notes!$B$2,Notes!$I$2:$I$11,0),4)*$C130</f>
        <v>535136</v>
      </c>
      <c r="K130" s="22">
        <f>INDEX(Notes!$I$2:$N$11,MATCH(Notes!$B$2,Notes!$I$2:$I$11,0),5)*$D130</f>
        <v>265658</v>
      </c>
      <c r="L130" s="22">
        <f>INDEX(Notes!$I$2:$N$11,MATCH(Notes!$B$2,Notes!$I$2:$I$11,0),6)*$E130</f>
        <v>398487</v>
      </c>
      <c r="M130" s="22">
        <f>IF(Notes!$B$2="June",'Payment Total'!$F130,0)</f>
        <v>0</v>
      </c>
      <c r="N130" s="22">
        <f t="shared" si="4"/>
        <v>0</v>
      </c>
      <c r="P130" s="26" t="s">
        <v>966</v>
      </c>
      <c r="Q130" s="26">
        <v>132829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1001935</v>
      </c>
      <c r="E131" s="160">
        <f>INDEX(Data[],MATCH($A131,Data[Dist],0),MATCH(E$6,Data[#Headers],0))</f>
        <v>1001934</v>
      </c>
      <c r="F131" s="160">
        <f>INDEX(Data[],MATCH($A131,Data[Dist],0),MATCH(F$6,Data[#Headers],0))</f>
        <v>1001935</v>
      </c>
      <c r="G131" s="22">
        <f>INDEX(Data[],MATCH($A131,Data[Dist],0),MATCH(G$6,Data[#Headers],0))</f>
        <v>9039904</v>
      </c>
      <c r="H131" s="22">
        <f>INDEX(Data[],MATCH($A131,Data[Dist],0),MATCH(H$6,Data[#Headers],0))-G131</f>
        <v>1001935</v>
      </c>
      <c r="I131" s="25"/>
      <c r="J131" s="22">
        <f>INDEX(Notes!$I$2:$N$11,MATCH(Notes!$B$2,Notes!$I$2:$I$11,0),4)*$C131</f>
        <v>4030232</v>
      </c>
      <c r="K131" s="22">
        <f>INDEX(Notes!$I$2:$N$11,MATCH(Notes!$B$2,Notes!$I$2:$I$11,0),5)*$D131</f>
        <v>2003870</v>
      </c>
      <c r="L131" s="22">
        <f>INDEX(Notes!$I$2:$N$11,MATCH(Notes!$B$2,Notes!$I$2:$I$11,0),6)*$E131</f>
        <v>3005802</v>
      </c>
      <c r="M131" s="22">
        <f>IF(Notes!$B$2="June",'Payment Total'!$F131,0)</f>
        <v>0</v>
      </c>
      <c r="N131" s="22">
        <f t="shared" si="4"/>
        <v>0</v>
      </c>
      <c r="P131" s="26" t="s">
        <v>967</v>
      </c>
      <c r="Q131" s="26">
        <v>1001934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277399</v>
      </c>
      <c r="E132" s="160">
        <f>INDEX(Data[],MATCH($A132,Data[Dist],0),MATCH(E$6,Data[#Headers],0))</f>
        <v>277399</v>
      </c>
      <c r="F132" s="160">
        <f>INDEX(Data[],MATCH($A132,Data[Dist],0),MATCH(F$6,Data[#Headers],0))</f>
        <v>277399</v>
      </c>
      <c r="G132" s="22">
        <f>INDEX(Data[],MATCH($A132,Data[Dist],0),MATCH(G$6,Data[#Headers],0))</f>
        <v>2503315</v>
      </c>
      <c r="H132" s="22">
        <f>INDEX(Data[],MATCH($A132,Data[Dist],0),MATCH(H$6,Data[#Headers],0))-G132</f>
        <v>277399</v>
      </c>
      <c r="I132" s="25"/>
      <c r="J132" s="22">
        <f>INDEX(Notes!$I$2:$N$11,MATCH(Notes!$B$2,Notes!$I$2:$I$11,0),4)*$C132</f>
        <v>1116320</v>
      </c>
      <c r="K132" s="22">
        <f>INDEX(Notes!$I$2:$N$11,MATCH(Notes!$B$2,Notes!$I$2:$I$11,0),5)*$D132</f>
        <v>554798</v>
      </c>
      <c r="L132" s="22">
        <f>INDEX(Notes!$I$2:$N$11,MATCH(Notes!$B$2,Notes!$I$2:$I$11,0),6)*$E132</f>
        <v>832197</v>
      </c>
      <c r="M132" s="22">
        <f>IF(Notes!$B$2="June",'Payment Total'!$F132,0)</f>
        <v>0</v>
      </c>
      <c r="N132" s="22">
        <f t="shared" si="4"/>
        <v>0</v>
      </c>
      <c r="P132" s="26" t="s">
        <v>968</v>
      </c>
      <c r="Q132" s="26">
        <v>277399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479143</v>
      </c>
      <c r="E133" s="160">
        <f>INDEX(Data[],MATCH($A133,Data[Dist],0),MATCH(E$6,Data[#Headers],0))</f>
        <v>479143</v>
      </c>
      <c r="F133" s="160">
        <f>INDEX(Data[],MATCH($A133,Data[Dist],0),MATCH(F$6,Data[#Headers],0))</f>
        <v>479142</v>
      </c>
      <c r="G133" s="22">
        <f>INDEX(Data[],MATCH($A133,Data[Dist],0),MATCH(G$6,Data[#Headers],0))</f>
        <v>4322487</v>
      </c>
      <c r="H133" s="22">
        <f>INDEX(Data[],MATCH($A133,Data[Dist],0),MATCH(H$6,Data[#Headers],0))-G133</f>
        <v>479142</v>
      </c>
      <c r="I133" s="25"/>
      <c r="J133" s="22">
        <f>INDEX(Notes!$I$2:$N$11,MATCH(Notes!$B$2,Notes!$I$2:$I$11,0),4)*$C133</f>
        <v>1926772</v>
      </c>
      <c r="K133" s="22">
        <f>INDEX(Notes!$I$2:$N$11,MATCH(Notes!$B$2,Notes!$I$2:$I$11,0),5)*$D133</f>
        <v>958286</v>
      </c>
      <c r="L133" s="22">
        <f>INDEX(Notes!$I$2:$N$11,MATCH(Notes!$B$2,Notes!$I$2:$I$11,0),6)*$E133</f>
        <v>1437429</v>
      </c>
      <c r="M133" s="22">
        <f>IF(Notes!$B$2="June",'Payment Total'!$F133,0)</f>
        <v>0</v>
      </c>
      <c r="N133" s="22">
        <f t="shared" si="4"/>
        <v>0</v>
      </c>
      <c r="P133" s="26" t="s">
        <v>969</v>
      </c>
      <c r="Q133" s="26">
        <v>479143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253321</v>
      </c>
      <c r="E134" s="160">
        <f>INDEX(Data[],MATCH($A134,Data[Dist],0),MATCH(E$6,Data[#Headers],0))</f>
        <v>253320</v>
      </c>
      <c r="F134" s="160">
        <f>INDEX(Data[],MATCH($A134,Data[Dist],0),MATCH(F$6,Data[#Headers],0))</f>
        <v>253321</v>
      </c>
      <c r="G134" s="22">
        <f>INDEX(Data[],MATCH($A134,Data[Dist],0),MATCH(G$6,Data[#Headers],0))</f>
        <v>2285894</v>
      </c>
      <c r="H134" s="22">
        <f>INDEX(Data[],MATCH($A134,Data[Dist],0),MATCH(H$6,Data[#Headers],0))-G134</f>
        <v>253321</v>
      </c>
      <c r="I134" s="25"/>
      <c r="J134" s="22">
        <f>INDEX(Notes!$I$2:$N$11,MATCH(Notes!$B$2,Notes!$I$2:$I$11,0),4)*$C134</f>
        <v>1019292</v>
      </c>
      <c r="K134" s="22">
        <f>INDEX(Notes!$I$2:$N$11,MATCH(Notes!$B$2,Notes!$I$2:$I$11,0),5)*$D134</f>
        <v>506642</v>
      </c>
      <c r="L134" s="22">
        <f>INDEX(Notes!$I$2:$N$11,MATCH(Notes!$B$2,Notes!$I$2:$I$11,0),6)*$E134</f>
        <v>759960</v>
      </c>
      <c r="M134" s="22">
        <f>IF(Notes!$B$2="June",'Payment Total'!$F134,0)</f>
        <v>0</v>
      </c>
      <c r="N134" s="22">
        <f t="shared" si="4"/>
        <v>0</v>
      </c>
      <c r="P134" s="26" t="s">
        <v>970</v>
      </c>
      <c r="Q134" s="26">
        <v>253320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356673</v>
      </c>
      <c r="E135" s="160">
        <f>INDEX(Data[],MATCH($A135,Data[Dist],0),MATCH(E$6,Data[#Headers],0))</f>
        <v>356673</v>
      </c>
      <c r="F135" s="160">
        <f>INDEX(Data[],MATCH($A135,Data[Dist],0),MATCH(F$6,Data[#Headers],0))</f>
        <v>356674</v>
      </c>
      <c r="G135" s="22">
        <f>INDEX(Data[],MATCH($A135,Data[Dist],0),MATCH(G$6,Data[#Headers],0))</f>
        <v>3219697</v>
      </c>
      <c r="H135" s="22">
        <f>INDEX(Data[],MATCH($A135,Data[Dist],0),MATCH(H$6,Data[#Headers],0))-G135</f>
        <v>356674</v>
      </c>
      <c r="I135" s="25"/>
      <c r="J135" s="22">
        <f>INDEX(Notes!$I$2:$N$11,MATCH(Notes!$B$2,Notes!$I$2:$I$11,0),4)*$C135</f>
        <v>1436332</v>
      </c>
      <c r="K135" s="22">
        <f>INDEX(Notes!$I$2:$N$11,MATCH(Notes!$B$2,Notes!$I$2:$I$11,0),5)*$D135</f>
        <v>713346</v>
      </c>
      <c r="L135" s="22">
        <f>INDEX(Notes!$I$2:$N$11,MATCH(Notes!$B$2,Notes!$I$2:$I$11,0),6)*$E135</f>
        <v>1070019</v>
      </c>
      <c r="M135" s="22">
        <f>IF(Notes!$B$2="June",'Payment Total'!$F135,0)</f>
        <v>0</v>
      </c>
      <c r="N135" s="22">
        <f t="shared" si="4"/>
        <v>0</v>
      </c>
      <c r="P135" s="26" t="s">
        <v>971</v>
      </c>
      <c r="Q135" s="26">
        <v>356673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193921</v>
      </c>
      <c r="E136" s="160">
        <f>INDEX(Data[],MATCH($A136,Data[Dist],0),MATCH(E$6,Data[#Headers],0))</f>
        <v>193922</v>
      </c>
      <c r="F136" s="160">
        <f>INDEX(Data[],MATCH($A136,Data[Dist],0),MATCH(F$6,Data[#Headers],0))</f>
        <v>193920</v>
      </c>
      <c r="G136" s="22">
        <f>INDEX(Data[],MATCH($A136,Data[Dist],0),MATCH(G$6,Data[#Headers],0))</f>
        <v>1749996</v>
      </c>
      <c r="H136" s="22">
        <f>INDEX(Data[],MATCH($A136,Data[Dist],0),MATCH(H$6,Data[#Headers],0))-G136</f>
        <v>193920</v>
      </c>
      <c r="I136" s="25"/>
      <c r="J136" s="22">
        <f>INDEX(Notes!$I$2:$N$11,MATCH(Notes!$B$2,Notes!$I$2:$I$11,0),4)*$C136</f>
        <v>780388</v>
      </c>
      <c r="K136" s="22">
        <f>INDEX(Notes!$I$2:$N$11,MATCH(Notes!$B$2,Notes!$I$2:$I$11,0),5)*$D136</f>
        <v>387842</v>
      </c>
      <c r="L136" s="22">
        <f>INDEX(Notes!$I$2:$N$11,MATCH(Notes!$B$2,Notes!$I$2:$I$11,0),6)*$E136</f>
        <v>581766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972</v>
      </c>
      <c r="Q136" s="26">
        <v>193922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INDEX($A$7:$H$331,MATCH($S136,$A$7:$A$331,0),5)-Q136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121344</v>
      </c>
      <c r="E137" s="160">
        <f>INDEX(Data[],MATCH($A137,Data[Dist],0),MATCH(E$6,Data[#Headers],0))</f>
        <v>121345</v>
      </c>
      <c r="F137" s="160">
        <f>INDEX(Data[],MATCH($A137,Data[Dist],0),MATCH(F$6,Data[#Headers],0))</f>
        <v>121343</v>
      </c>
      <c r="G137" s="22">
        <f>INDEX(Data[],MATCH($A137,Data[Dist],0),MATCH(G$6,Data[#Headers],0))</f>
        <v>1095491</v>
      </c>
      <c r="H137" s="22">
        <f>INDEX(Data[],MATCH($A137,Data[Dist],0),MATCH(H$6,Data[#Headers],0))-G137</f>
        <v>121343</v>
      </c>
      <c r="I137" s="25"/>
      <c r="J137" s="22">
        <f>INDEX(Notes!$I$2:$N$11,MATCH(Notes!$B$2,Notes!$I$2:$I$11,0),4)*$C137</f>
        <v>488768</v>
      </c>
      <c r="K137" s="22">
        <f>INDEX(Notes!$I$2:$N$11,MATCH(Notes!$B$2,Notes!$I$2:$I$11,0),5)*$D137</f>
        <v>242688</v>
      </c>
      <c r="L137" s="22">
        <f>INDEX(Notes!$I$2:$N$11,MATCH(Notes!$B$2,Notes!$I$2:$I$11,0),6)*$E137</f>
        <v>364035</v>
      </c>
      <c r="M137" s="22">
        <f>IF(Notes!$B$2="June",'Payment Total'!$F137,0)</f>
        <v>0</v>
      </c>
      <c r="N137" s="22">
        <f t="shared" si="8"/>
        <v>0</v>
      </c>
      <c r="P137" s="26" t="s">
        <v>973</v>
      </c>
      <c r="Q137" s="26">
        <v>121345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796532</v>
      </c>
      <c r="E138" s="160">
        <f>INDEX(Data[],MATCH($A138,Data[Dist],0),MATCH(E$6,Data[#Headers],0))</f>
        <v>796532</v>
      </c>
      <c r="F138" s="160">
        <f>INDEX(Data[],MATCH($A138,Data[Dist],0),MATCH(F$6,Data[#Headers],0))</f>
        <v>796530</v>
      </c>
      <c r="G138" s="22">
        <f>INDEX(Data[],MATCH($A138,Data[Dist],0),MATCH(G$6,Data[#Headers],0))</f>
        <v>7185592</v>
      </c>
      <c r="H138" s="22">
        <f>INDEX(Data[],MATCH($A138,Data[Dist],0),MATCH(H$6,Data[#Headers],0))-G138</f>
        <v>796530</v>
      </c>
      <c r="I138" s="25"/>
      <c r="J138" s="22">
        <f>INDEX(Notes!$I$2:$N$11,MATCH(Notes!$B$2,Notes!$I$2:$I$11,0),4)*$C138</f>
        <v>3202932</v>
      </c>
      <c r="K138" s="22">
        <f>INDEX(Notes!$I$2:$N$11,MATCH(Notes!$B$2,Notes!$I$2:$I$11,0),5)*$D138</f>
        <v>1593064</v>
      </c>
      <c r="L138" s="22">
        <f>INDEX(Notes!$I$2:$N$11,MATCH(Notes!$B$2,Notes!$I$2:$I$11,0),6)*$E138</f>
        <v>2389596</v>
      </c>
      <c r="M138" s="22">
        <f>IF(Notes!$B$2="June",'Payment Total'!$F138,0)</f>
        <v>0</v>
      </c>
      <c r="N138" s="22">
        <f t="shared" si="8"/>
        <v>0</v>
      </c>
      <c r="P138" s="26" t="s">
        <v>974</v>
      </c>
      <c r="Q138" s="26">
        <v>796532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947022</v>
      </c>
      <c r="E139" s="160">
        <f>INDEX(Data[],MATCH($A139,Data[Dist],0),MATCH(E$6,Data[#Headers],0))</f>
        <v>947022</v>
      </c>
      <c r="F139" s="160">
        <f>INDEX(Data[],MATCH($A139,Data[Dist],0),MATCH(F$6,Data[#Headers],0))</f>
        <v>947021</v>
      </c>
      <c r="G139" s="22">
        <f>INDEX(Data[],MATCH($A139,Data[Dist],0),MATCH(G$6,Data[#Headers],0))</f>
        <v>8543842</v>
      </c>
      <c r="H139" s="22">
        <f>INDEX(Data[],MATCH($A139,Data[Dist],0),MATCH(H$6,Data[#Headers],0))-G139</f>
        <v>947021</v>
      </c>
      <c r="I139" s="25"/>
      <c r="J139" s="22">
        <f>INDEX(Notes!$I$2:$N$11,MATCH(Notes!$B$2,Notes!$I$2:$I$11,0),4)*$C139</f>
        <v>3808732</v>
      </c>
      <c r="K139" s="22">
        <f>INDEX(Notes!$I$2:$N$11,MATCH(Notes!$B$2,Notes!$I$2:$I$11,0),5)*$D139</f>
        <v>1894044</v>
      </c>
      <c r="L139" s="22">
        <f>INDEX(Notes!$I$2:$N$11,MATCH(Notes!$B$2,Notes!$I$2:$I$11,0),6)*$E139</f>
        <v>2841066</v>
      </c>
      <c r="M139" s="22">
        <f>IF(Notes!$B$2="June",'Payment Total'!$F139,0)</f>
        <v>0</v>
      </c>
      <c r="N139" s="22">
        <f t="shared" si="8"/>
        <v>0</v>
      </c>
      <c r="P139" s="26" t="s">
        <v>975</v>
      </c>
      <c r="Q139" s="26">
        <v>947022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113042</v>
      </c>
      <c r="E140" s="160">
        <f>INDEX(Data[],MATCH($A140,Data[Dist],0),MATCH(E$6,Data[#Headers],0))</f>
        <v>113042</v>
      </c>
      <c r="F140" s="160">
        <f>INDEX(Data[],MATCH($A140,Data[Dist],0),MATCH(F$6,Data[#Headers],0))</f>
        <v>113043</v>
      </c>
      <c r="G140" s="22">
        <f>INDEX(Data[],MATCH($A140,Data[Dist],0),MATCH(G$6,Data[#Headers],0))</f>
        <v>1021794</v>
      </c>
      <c r="H140" s="22">
        <f>INDEX(Data[],MATCH($A140,Data[Dist],0),MATCH(H$6,Data[#Headers],0))-G140</f>
        <v>113043</v>
      </c>
      <c r="I140" s="25"/>
      <c r="J140" s="22">
        <f>INDEX(Notes!$I$2:$N$11,MATCH(Notes!$B$2,Notes!$I$2:$I$11,0),4)*$C140</f>
        <v>456584</v>
      </c>
      <c r="K140" s="22">
        <f>INDEX(Notes!$I$2:$N$11,MATCH(Notes!$B$2,Notes!$I$2:$I$11,0),5)*$D140</f>
        <v>226084</v>
      </c>
      <c r="L140" s="22">
        <f>INDEX(Notes!$I$2:$N$11,MATCH(Notes!$B$2,Notes!$I$2:$I$11,0),6)*$E140</f>
        <v>339126</v>
      </c>
      <c r="M140" s="22">
        <f>IF(Notes!$B$2="June",'Payment Total'!$F140,0)</f>
        <v>0</v>
      </c>
      <c r="N140" s="22">
        <f t="shared" si="8"/>
        <v>0</v>
      </c>
      <c r="P140" s="26" t="s">
        <v>976</v>
      </c>
      <c r="Q140" s="26">
        <v>113042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322988</v>
      </c>
      <c r="E141" s="160">
        <f>INDEX(Data[],MATCH($A141,Data[Dist],0),MATCH(E$6,Data[#Headers],0))</f>
        <v>322988</v>
      </c>
      <c r="F141" s="160">
        <f>INDEX(Data[],MATCH($A141,Data[Dist],0),MATCH(F$6,Data[#Headers],0))</f>
        <v>322989</v>
      </c>
      <c r="G141" s="22">
        <f>INDEX(Data[],MATCH($A141,Data[Dist],0),MATCH(G$6,Data[#Headers],0))</f>
        <v>2916524</v>
      </c>
      <c r="H141" s="22">
        <f>INDEX(Data[],MATCH($A141,Data[Dist],0),MATCH(H$6,Data[#Headers],0))-G141</f>
        <v>322989</v>
      </c>
      <c r="I141" s="25"/>
      <c r="J141" s="22">
        <f>INDEX(Notes!$I$2:$N$11,MATCH(Notes!$B$2,Notes!$I$2:$I$11,0),4)*$C141</f>
        <v>1301584</v>
      </c>
      <c r="K141" s="22">
        <f>INDEX(Notes!$I$2:$N$11,MATCH(Notes!$B$2,Notes!$I$2:$I$11,0),5)*$D141</f>
        <v>645976</v>
      </c>
      <c r="L141" s="22">
        <f>INDEX(Notes!$I$2:$N$11,MATCH(Notes!$B$2,Notes!$I$2:$I$11,0),6)*$E141</f>
        <v>968964</v>
      </c>
      <c r="M141" s="22">
        <f>IF(Notes!$B$2="June",'Payment Total'!$F141,0)</f>
        <v>0</v>
      </c>
      <c r="N141" s="22">
        <f t="shared" si="8"/>
        <v>0</v>
      </c>
      <c r="P141" s="26" t="s">
        <v>977</v>
      </c>
      <c r="Q141" s="26">
        <v>322988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345921</v>
      </c>
      <c r="E142" s="160">
        <f>INDEX(Data[],MATCH($A142,Data[Dist],0),MATCH(E$6,Data[#Headers],0))</f>
        <v>345921</v>
      </c>
      <c r="F142" s="160">
        <f>INDEX(Data[],MATCH($A142,Data[Dist],0),MATCH(F$6,Data[#Headers],0))</f>
        <v>345919</v>
      </c>
      <c r="G142" s="22">
        <f>INDEX(Data[],MATCH($A142,Data[Dist],0),MATCH(G$6,Data[#Headers],0))</f>
        <v>3122041</v>
      </c>
      <c r="H142" s="22">
        <f>INDEX(Data[],MATCH($A142,Data[Dist],0),MATCH(H$6,Data[#Headers],0))-G142</f>
        <v>345919</v>
      </c>
      <c r="I142" s="25"/>
      <c r="J142" s="22">
        <f>INDEX(Notes!$I$2:$N$11,MATCH(Notes!$B$2,Notes!$I$2:$I$11,0),4)*$C142</f>
        <v>1392436</v>
      </c>
      <c r="K142" s="22">
        <f>INDEX(Notes!$I$2:$N$11,MATCH(Notes!$B$2,Notes!$I$2:$I$11,0),5)*$D142</f>
        <v>691842</v>
      </c>
      <c r="L142" s="22">
        <f>INDEX(Notes!$I$2:$N$11,MATCH(Notes!$B$2,Notes!$I$2:$I$11,0),6)*$E142</f>
        <v>1037763</v>
      </c>
      <c r="M142" s="22">
        <f>IF(Notes!$B$2="June",'Payment Total'!$F142,0)</f>
        <v>0</v>
      </c>
      <c r="N142" s="22">
        <f t="shared" si="8"/>
        <v>0</v>
      </c>
      <c r="P142" s="26" t="s">
        <v>978</v>
      </c>
      <c r="Q142" s="26">
        <v>345921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367379</v>
      </c>
      <c r="E143" s="160">
        <f>INDEX(Data[],MATCH($A143,Data[Dist],0),MATCH(E$6,Data[#Headers],0))</f>
        <v>367379</v>
      </c>
      <c r="F143" s="160">
        <f>INDEX(Data[],MATCH($A143,Data[Dist],0),MATCH(F$6,Data[#Headers],0))</f>
        <v>367378</v>
      </c>
      <c r="G143" s="22">
        <f>INDEX(Data[],MATCH($A143,Data[Dist],0),MATCH(G$6,Data[#Headers],0))</f>
        <v>3314775</v>
      </c>
      <c r="H143" s="22">
        <f>INDEX(Data[],MATCH($A143,Data[Dist],0),MATCH(H$6,Data[#Headers],0))-G143</f>
        <v>367378</v>
      </c>
      <c r="I143" s="25"/>
      <c r="J143" s="22">
        <f>INDEX(Notes!$I$2:$N$11,MATCH(Notes!$B$2,Notes!$I$2:$I$11,0),4)*$C143</f>
        <v>1477880</v>
      </c>
      <c r="K143" s="22">
        <f>INDEX(Notes!$I$2:$N$11,MATCH(Notes!$B$2,Notes!$I$2:$I$11,0),5)*$D143</f>
        <v>734758</v>
      </c>
      <c r="L143" s="22">
        <f>INDEX(Notes!$I$2:$N$11,MATCH(Notes!$B$2,Notes!$I$2:$I$11,0),6)*$E143</f>
        <v>1102137</v>
      </c>
      <c r="M143" s="22">
        <f>IF(Notes!$B$2="June",'Payment Total'!$F143,0)</f>
        <v>0</v>
      </c>
      <c r="N143" s="22">
        <f t="shared" si="8"/>
        <v>0</v>
      </c>
      <c r="P143" s="26" t="s">
        <v>979</v>
      </c>
      <c r="Q143" s="26">
        <v>367379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743104</v>
      </c>
      <c r="E144" s="160">
        <f>INDEX(Data[],MATCH($A144,Data[Dist],0),MATCH(E$6,Data[#Headers],0))</f>
        <v>743103</v>
      </c>
      <c r="F144" s="160">
        <f>INDEX(Data[],MATCH($A144,Data[Dist],0),MATCH(F$6,Data[#Headers],0))</f>
        <v>743104</v>
      </c>
      <c r="G144" s="22">
        <f>INDEX(Data[],MATCH($A144,Data[Dist],0),MATCH(G$6,Data[#Headers],0))</f>
        <v>6705221</v>
      </c>
      <c r="H144" s="22">
        <f>INDEX(Data[],MATCH($A144,Data[Dist],0),MATCH(H$6,Data[#Headers],0))-G144</f>
        <v>743104</v>
      </c>
      <c r="I144" s="25"/>
      <c r="J144" s="22">
        <f>INDEX(Notes!$I$2:$N$11,MATCH(Notes!$B$2,Notes!$I$2:$I$11,0),4)*$C144</f>
        <v>2989704</v>
      </c>
      <c r="K144" s="22">
        <f>INDEX(Notes!$I$2:$N$11,MATCH(Notes!$B$2,Notes!$I$2:$I$11,0),5)*$D144</f>
        <v>1486208</v>
      </c>
      <c r="L144" s="22">
        <f>INDEX(Notes!$I$2:$N$11,MATCH(Notes!$B$2,Notes!$I$2:$I$11,0),6)*$E144</f>
        <v>2229309</v>
      </c>
      <c r="M144" s="22">
        <f>IF(Notes!$B$2="June",'Payment Total'!$F144,0)</f>
        <v>0</v>
      </c>
      <c r="N144" s="22">
        <f t="shared" si="8"/>
        <v>0</v>
      </c>
      <c r="P144" s="26" t="s">
        <v>980</v>
      </c>
      <c r="Q144" s="26">
        <v>743103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194715</v>
      </c>
      <c r="E145" s="160">
        <f>INDEX(Data[],MATCH($A145,Data[Dist],0),MATCH(E$6,Data[#Headers],0))</f>
        <v>194715</v>
      </c>
      <c r="F145" s="160">
        <f>INDEX(Data[],MATCH($A145,Data[Dist],0),MATCH(F$6,Data[#Headers],0))</f>
        <v>194714</v>
      </c>
      <c r="G145" s="22">
        <f>INDEX(Data[],MATCH($A145,Data[Dist],0),MATCH(G$6,Data[#Headers],0))</f>
        <v>1758619</v>
      </c>
      <c r="H145" s="22">
        <f>INDEX(Data[],MATCH($A145,Data[Dist],0),MATCH(H$6,Data[#Headers],0))-G145</f>
        <v>194714</v>
      </c>
      <c r="I145" s="25"/>
      <c r="J145" s="22">
        <f>INDEX(Notes!$I$2:$N$11,MATCH(Notes!$B$2,Notes!$I$2:$I$11,0),4)*$C145</f>
        <v>785044</v>
      </c>
      <c r="K145" s="22">
        <f>INDEX(Notes!$I$2:$N$11,MATCH(Notes!$B$2,Notes!$I$2:$I$11,0),5)*$D145</f>
        <v>389430</v>
      </c>
      <c r="L145" s="22">
        <f>INDEX(Notes!$I$2:$N$11,MATCH(Notes!$B$2,Notes!$I$2:$I$11,0),6)*$E145</f>
        <v>584145</v>
      </c>
      <c r="M145" s="22">
        <f>IF(Notes!$B$2="June",'Payment Total'!$F145,0)</f>
        <v>0</v>
      </c>
      <c r="N145" s="22">
        <f t="shared" si="8"/>
        <v>0</v>
      </c>
      <c r="P145" s="26" t="s">
        <v>981</v>
      </c>
      <c r="Q145" s="26">
        <v>194715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556339</v>
      </c>
      <c r="E146" s="160">
        <f>INDEX(Data[],MATCH($A146,Data[Dist],0),MATCH(E$6,Data[#Headers],0))</f>
        <v>556339</v>
      </c>
      <c r="F146" s="160">
        <f>INDEX(Data[],MATCH($A146,Data[Dist],0),MATCH(F$6,Data[#Headers],0))</f>
        <v>556338</v>
      </c>
      <c r="G146" s="22">
        <f>INDEX(Data[],MATCH($A146,Data[Dist],0),MATCH(G$6,Data[#Headers],0))</f>
        <v>5017783</v>
      </c>
      <c r="H146" s="22">
        <f>INDEX(Data[],MATCH($A146,Data[Dist],0),MATCH(H$6,Data[#Headers],0))-G146</f>
        <v>556338</v>
      </c>
      <c r="I146" s="25"/>
      <c r="J146" s="22">
        <f>INDEX(Notes!$I$2:$N$11,MATCH(Notes!$B$2,Notes!$I$2:$I$11,0),4)*$C146</f>
        <v>2236088</v>
      </c>
      <c r="K146" s="22">
        <f>INDEX(Notes!$I$2:$N$11,MATCH(Notes!$B$2,Notes!$I$2:$I$11,0),5)*$D146</f>
        <v>1112678</v>
      </c>
      <c r="L146" s="22">
        <f>INDEX(Notes!$I$2:$N$11,MATCH(Notes!$B$2,Notes!$I$2:$I$11,0),6)*$E146</f>
        <v>1669017</v>
      </c>
      <c r="M146" s="22">
        <f>IF(Notes!$B$2="June",'Payment Total'!$F146,0)</f>
        <v>0</v>
      </c>
      <c r="N146" s="22">
        <f t="shared" si="8"/>
        <v>0</v>
      </c>
      <c r="P146" s="26" t="s">
        <v>982</v>
      </c>
      <c r="Q146" s="26">
        <v>556339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833271</v>
      </c>
      <c r="E147" s="160">
        <f>INDEX(Data[],MATCH($A147,Data[Dist],0),MATCH(E$6,Data[#Headers],0))</f>
        <v>833271</v>
      </c>
      <c r="F147" s="160">
        <f>INDEX(Data[],MATCH($A147,Data[Dist],0),MATCH(F$6,Data[#Headers],0))</f>
        <v>833269</v>
      </c>
      <c r="G147" s="22">
        <f>INDEX(Data[],MATCH($A147,Data[Dist],0),MATCH(G$6,Data[#Headers],0))</f>
        <v>7518155</v>
      </c>
      <c r="H147" s="22">
        <f>INDEX(Data[],MATCH($A147,Data[Dist],0),MATCH(H$6,Data[#Headers],0))-G147</f>
        <v>833269</v>
      </c>
      <c r="I147" s="25"/>
      <c r="J147" s="22">
        <f>INDEX(Notes!$I$2:$N$11,MATCH(Notes!$B$2,Notes!$I$2:$I$11,0),4)*$C147</f>
        <v>3351800</v>
      </c>
      <c r="K147" s="22">
        <f>INDEX(Notes!$I$2:$N$11,MATCH(Notes!$B$2,Notes!$I$2:$I$11,0),5)*$D147</f>
        <v>1666542</v>
      </c>
      <c r="L147" s="22">
        <f>INDEX(Notes!$I$2:$N$11,MATCH(Notes!$B$2,Notes!$I$2:$I$11,0),6)*$E147</f>
        <v>2499813</v>
      </c>
      <c r="M147" s="22">
        <f>IF(Notes!$B$2="June",'Payment Total'!$F147,0)</f>
        <v>0</v>
      </c>
      <c r="N147" s="22">
        <f t="shared" si="8"/>
        <v>0</v>
      </c>
      <c r="P147" s="26" t="s">
        <v>983</v>
      </c>
      <c r="Q147" s="26">
        <v>833271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1017882</v>
      </c>
      <c r="E148" s="160">
        <f>INDEX(Data[],MATCH($A148,Data[Dist],0),MATCH(E$6,Data[#Headers],0))</f>
        <v>1017881</v>
      </c>
      <c r="F148" s="160">
        <f>INDEX(Data[],MATCH($A148,Data[Dist],0),MATCH(F$6,Data[#Headers],0))</f>
        <v>1017882</v>
      </c>
      <c r="G148" s="22">
        <f>INDEX(Data[],MATCH($A148,Data[Dist],0),MATCH(G$6,Data[#Headers],0))</f>
        <v>9181703</v>
      </c>
      <c r="H148" s="22">
        <f>INDEX(Data[],MATCH($A148,Data[Dist],0),MATCH(H$6,Data[#Headers],0))-G148</f>
        <v>1017882</v>
      </c>
      <c r="I148" s="25"/>
      <c r="J148" s="22">
        <f>INDEX(Notes!$I$2:$N$11,MATCH(Notes!$B$2,Notes!$I$2:$I$11,0),4)*$C148</f>
        <v>4092296</v>
      </c>
      <c r="K148" s="22">
        <f>INDEX(Notes!$I$2:$N$11,MATCH(Notes!$B$2,Notes!$I$2:$I$11,0),5)*$D148</f>
        <v>2035764</v>
      </c>
      <c r="L148" s="22">
        <f>INDEX(Notes!$I$2:$N$11,MATCH(Notes!$B$2,Notes!$I$2:$I$11,0),6)*$E148</f>
        <v>3053643</v>
      </c>
      <c r="M148" s="22">
        <f>IF(Notes!$B$2="June",'Payment Total'!$F148,0)</f>
        <v>0</v>
      </c>
      <c r="N148" s="22">
        <f t="shared" si="8"/>
        <v>0</v>
      </c>
      <c r="P148" s="26" t="s">
        <v>984</v>
      </c>
      <c r="Q148" s="26">
        <v>1017881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2598636</v>
      </c>
      <c r="E149" s="160">
        <f>INDEX(Data[],MATCH($A149,Data[Dist],0),MATCH(E$6,Data[#Headers],0))</f>
        <v>2598635</v>
      </c>
      <c r="F149" s="160">
        <f>INDEX(Data[],MATCH($A149,Data[Dist],0),MATCH(F$6,Data[#Headers],0))</f>
        <v>2598636</v>
      </c>
      <c r="G149" s="22">
        <f>INDEX(Data[],MATCH($A149,Data[Dist],0),MATCH(G$6,Data[#Headers],0))</f>
        <v>23439313</v>
      </c>
      <c r="H149" s="22">
        <f>INDEX(Data[],MATCH($A149,Data[Dist],0),MATCH(H$6,Data[#Headers],0))-G149</f>
        <v>2598636</v>
      </c>
      <c r="I149" s="25"/>
      <c r="J149" s="22">
        <f>INDEX(Notes!$I$2:$N$11,MATCH(Notes!$B$2,Notes!$I$2:$I$11,0),4)*$C149</f>
        <v>10446136</v>
      </c>
      <c r="K149" s="22">
        <f>INDEX(Notes!$I$2:$N$11,MATCH(Notes!$B$2,Notes!$I$2:$I$11,0),5)*$D149</f>
        <v>5197272</v>
      </c>
      <c r="L149" s="22">
        <f>INDEX(Notes!$I$2:$N$11,MATCH(Notes!$B$2,Notes!$I$2:$I$11,0),6)*$E149</f>
        <v>7795905</v>
      </c>
      <c r="M149" s="22">
        <f>IF(Notes!$B$2="June",'Payment Total'!$F149,0)</f>
        <v>0</v>
      </c>
      <c r="N149" s="22">
        <f t="shared" si="8"/>
        <v>0</v>
      </c>
      <c r="P149" s="26" t="s">
        <v>985</v>
      </c>
      <c r="Q149" s="26">
        <v>2598635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598259</v>
      </c>
      <c r="E150" s="160">
        <f>INDEX(Data[],MATCH($A150,Data[Dist],0),MATCH(E$6,Data[#Headers],0))</f>
        <v>598259</v>
      </c>
      <c r="F150" s="160">
        <f>INDEX(Data[],MATCH($A150,Data[Dist],0),MATCH(F$6,Data[#Headers],0))</f>
        <v>598260</v>
      </c>
      <c r="G150" s="22">
        <f>INDEX(Data[],MATCH($A150,Data[Dist],0),MATCH(G$6,Data[#Headers],0))</f>
        <v>5396927</v>
      </c>
      <c r="H150" s="22">
        <f>INDEX(Data[],MATCH($A150,Data[Dist],0),MATCH(H$6,Data[#Headers],0))-G150</f>
        <v>598260</v>
      </c>
      <c r="I150" s="25"/>
      <c r="J150" s="22">
        <f>INDEX(Notes!$I$2:$N$11,MATCH(Notes!$B$2,Notes!$I$2:$I$11,0),4)*$C150</f>
        <v>2405632</v>
      </c>
      <c r="K150" s="22">
        <f>INDEX(Notes!$I$2:$N$11,MATCH(Notes!$B$2,Notes!$I$2:$I$11,0),5)*$D150</f>
        <v>1196518</v>
      </c>
      <c r="L150" s="22">
        <f>INDEX(Notes!$I$2:$N$11,MATCH(Notes!$B$2,Notes!$I$2:$I$11,0),6)*$E150</f>
        <v>1794777</v>
      </c>
      <c r="M150" s="22">
        <f>IF(Notes!$B$2="June",'Payment Total'!$F150,0)</f>
        <v>0</v>
      </c>
      <c r="N150" s="22">
        <f t="shared" si="8"/>
        <v>0</v>
      </c>
      <c r="P150" s="26" t="s">
        <v>986</v>
      </c>
      <c r="Q150" s="26">
        <v>598259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9127232</v>
      </c>
      <c r="E151" s="160">
        <f>INDEX(Data[],MATCH($A151,Data[Dist],0),MATCH(E$6,Data[#Headers],0))</f>
        <v>9127232</v>
      </c>
      <c r="F151" s="160">
        <f>INDEX(Data[],MATCH($A151,Data[Dist],0),MATCH(F$6,Data[#Headers],0))</f>
        <v>9127231</v>
      </c>
      <c r="G151" s="22">
        <f>INDEX(Data[],MATCH($A151,Data[Dist],0),MATCH(G$6,Data[#Headers],0))</f>
        <v>82361860</v>
      </c>
      <c r="H151" s="22">
        <f>INDEX(Data[],MATCH($A151,Data[Dist],0),MATCH(H$6,Data[#Headers],0))-G151</f>
        <v>9127231</v>
      </c>
      <c r="I151" s="25"/>
      <c r="J151" s="22">
        <f>INDEX(Notes!$I$2:$N$11,MATCH(Notes!$B$2,Notes!$I$2:$I$11,0),4)*$C151</f>
        <v>36725700</v>
      </c>
      <c r="K151" s="22">
        <f>INDEX(Notes!$I$2:$N$11,MATCH(Notes!$B$2,Notes!$I$2:$I$11,0),5)*$D151</f>
        <v>18254464</v>
      </c>
      <c r="L151" s="22">
        <f>INDEX(Notes!$I$2:$N$11,MATCH(Notes!$B$2,Notes!$I$2:$I$11,0),6)*$E151</f>
        <v>27381696</v>
      </c>
      <c r="M151" s="22">
        <f>IF(Notes!$B$2="June",'Payment Total'!$F151,0)</f>
        <v>0</v>
      </c>
      <c r="N151" s="22">
        <f t="shared" si="8"/>
        <v>0</v>
      </c>
      <c r="P151" s="26" t="s">
        <v>987</v>
      </c>
      <c r="Q151" s="26">
        <v>9127232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695463</v>
      </c>
      <c r="E152" s="160">
        <f>INDEX(Data[],MATCH($A152,Data[Dist],0),MATCH(E$6,Data[#Headers],0))</f>
        <v>695462</v>
      </c>
      <c r="F152" s="160">
        <f>INDEX(Data[],MATCH($A152,Data[Dist],0),MATCH(F$6,Data[#Headers],0))</f>
        <v>695463</v>
      </c>
      <c r="G152" s="22">
        <f>INDEX(Data[],MATCH($A152,Data[Dist],0),MATCH(G$6,Data[#Headers],0))</f>
        <v>6274208</v>
      </c>
      <c r="H152" s="22">
        <f>INDEX(Data[],MATCH($A152,Data[Dist],0),MATCH(H$6,Data[#Headers],0))-G152</f>
        <v>695463</v>
      </c>
      <c r="I152" s="25"/>
      <c r="J152" s="22">
        <f>INDEX(Notes!$I$2:$N$11,MATCH(Notes!$B$2,Notes!$I$2:$I$11,0),4)*$C152</f>
        <v>2796896</v>
      </c>
      <c r="K152" s="22">
        <f>INDEX(Notes!$I$2:$N$11,MATCH(Notes!$B$2,Notes!$I$2:$I$11,0),5)*$D152</f>
        <v>1390926</v>
      </c>
      <c r="L152" s="22">
        <f>INDEX(Notes!$I$2:$N$11,MATCH(Notes!$B$2,Notes!$I$2:$I$11,0),6)*$E152</f>
        <v>2086386</v>
      </c>
      <c r="M152" s="22">
        <f>IF(Notes!$B$2="June",'Payment Total'!$F152,0)</f>
        <v>0</v>
      </c>
      <c r="N152" s="22">
        <f>SUM(J152:M152)-G152</f>
        <v>0</v>
      </c>
      <c r="P152" s="26" t="s">
        <v>988</v>
      </c>
      <c r="Q152" s="26">
        <v>695462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358290</v>
      </c>
      <c r="E153" s="160">
        <f>INDEX(Data[],MATCH($A153,Data[Dist],0),MATCH(E$6,Data[#Headers],0))</f>
        <v>358290</v>
      </c>
      <c r="F153" s="160">
        <f>INDEX(Data[],MATCH($A153,Data[Dist],0),MATCH(F$6,Data[#Headers],0))</f>
        <v>358289</v>
      </c>
      <c r="G153" s="22">
        <f>INDEX(Data[],MATCH($A153,Data[Dist],0),MATCH(G$6,Data[#Headers],0))</f>
        <v>3232114</v>
      </c>
      <c r="H153" s="22">
        <f>INDEX(Data[],MATCH($A153,Data[Dist],0),MATCH(H$6,Data[#Headers],0))-G153</f>
        <v>358289</v>
      </c>
      <c r="I153" s="25"/>
      <c r="J153" s="22">
        <f>INDEX(Notes!$I$2:$N$11,MATCH(Notes!$B$2,Notes!$I$2:$I$11,0),4)*$C153</f>
        <v>1440664</v>
      </c>
      <c r="K153" s="22">
        <f>INDEX(Notes!$I$2:$N$11,MATCH(Notes!$B$2,Notes!$I$2:$I$11,0),5)*$D153</f>
        <v>716580</v>
      </c>
      <c r="L153" s="22">
        <f>INDEX(Notes!$I$2:$N$11,MATCH(Notes!$B$2,Notes!$I$2:$I$11,0),6)*$E153</f>
        <v>1074870</v>
      </c>
      <c r="M153" s="22">
        <f>IF(Notes!$B$2="June",'Payment Total'!$F153,0)</f>
        <v>0</v>
      </c>
      <c r="N153" s="22">
        <f t="shared" si="8"/>
        <v>0</v>
      </c>
      <c r="P153" s="26" t="s">
        <v>989</v>
      </c>
      <c r="Q153" s="26">
        <v>358290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381964</v>
      </c>
      <c r="E154" s="160">
        <f>INDEX(Data[],MATCH($A154,Data[Dist],0),MATCH(E$6,Data[#Headers],0))</f>
        <v>381963</v>
      </c>
      <c r="F154" s="160">
        <f>INDEX(Data[],MATCH($A154,Data[Dist],0),MATCH(F$6,Data[#Headers],0))</f>
        <v>381964</v>
      </c>
      <c r="G154" s="22">
        <f>INDEX(Data[],MATCH($A154,Data[Dist],0),MATCH(G$6,Data[#Headers],0))</f>
        <v>3447669</v>
      </c>
      <c r="H154" s="22">
        <f>INDEX(Data[],MATCH($A154,Data[Dist],0),MATCH(H$6,Data[#Headers],0))-G154</f>
        <v>381964</v>
      </c>
      <c r="I154" s="25"/>
      <c r="J154" s="22">
        <f>INDEX(Notes!$I$2:$N$11,MATCH(Notes!$B$2,Notes!$I$2:$I$11,0),4)*$C154</f>
        <v>1537852</v>
      </c>
      <c r="K154" s="22">
        <f>INDEX(Notes!$I$2:$N$11,MATCH(Notes!$B$2,Notes!$I$2:$I$11,0),5)*$D154</f>
        <v>763928</v>
      </c>
      <c r="L154" s="22">
        <f>INDEX(Notes!$I$2:$N$11,MATCH(Notes!$B$2,Notes!$I$2:$I$11,0),6)*$E154</f>
        <v>1145889</v>
      </c>
      <c r="M154" s="22">
        <f>IF(Notes!$B$2="June",'Payment Total'!$F154,0)</f>
        <v>0</v>
      </c>
      <c r="N154" s="22">
        <f t="shared" si="8"/>
        <v>0</v>
      </c>
      <c r="P154" s="26" t="s">
        <v>990</v>
      </c>
      <c r="Q154" s="26">
        <v>381963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326100</v>
      </c>
      <c r="E155" s="160">
        <f>INDEX(Data[],MATCH($A155,Data[Dist],0),MATCH(E$6,Data[#Headers],0))</f>
        <v>326100</v>
      </c>
      <c r="F155" s="160">
        <f>INDEX(Data[],MATCH($A155,Data[Dist],0),MATCH(F$6,Data[#Headers],0))</f>
        <v>326100</v>
      </c>
      <c r="G155" s="22">
        <f>INDEX(Data[],MATCH($A155,Data[Dist],0),MATCH(G$6,Data[#Headers],0))</f>
        <v>2941516</v>
      </c>
      <c r="H155" s="22">
        <f>INDEX(Data[],MATCH($A155,Data[Dist],0),MATCH(H$6,Data[#Headers],0))-G155</f>
        <v>326100</v>
      </c>
      <c r="I155" s="25"/>
      <c r="J155" s="22">
        <f>INDEX(Notes!$I$2:$N$11,MATCH(Notes!$B$2,Notes!$I$2:$I$11,0),4)*$C155</f>
        <v>1311016</v>
      </c>
      <c r="K155" s="22">
        <f>INDEX(Notes!$I$2:$N$11,MATCH(Notes!$B$2,Notes!$I$2:$I$11,0),5)*$D155</f>
        <v>652200</v>
      </c>
      <c r="L155" s="22">
        <f>INDEX(Notes!$I$2:$N$11,MATCH(Notes!$B$2,Notes!$I$2:$I$11,0),6)*$E155</f>
        <v>978300</v>
      </c>
      <c r="M155" s="22">
        <f>IF(Notes!$B$2="June",'Payment Total'!$F155,0)</f>
        <v>0</v>
      </c>
      <c r="N155" s="22">
        <f t="shared" si="8"/>
        <v>0</v>
      </c>
      <c r="P155" s="26" t="s">
        <v>991</v>
      </c>
      <c r="Q155" s="26">
        <v>326100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757311</v>
      </c>
      <c r="E156" s="160">
        <f>INDEX(Data[],MATCH($A156,Data[Dist],0),MATCH(E$6,Data[#Headers],0))</f>
        <v>757311</v>
      </c>
      <c r="F156" s="160">
        <f>INDEX(Data[],MATCH($A156,Data[Dist],0),MATCH(F$6,Data[#Headers],0))</f>
        <v>757309</v>
      </c>
      <c r="G156" s="22">
        <f>INDEX(Data[],MATCH($A156,Data[Dist],0),MATCH(G$6,Data[#Headers],0))</f>
        <v>6833587</v>
      </c>
      <c r="H156" s="22">
        <f>INDEX(Data[],MATCH($A156,Data[Dist],0),MATCH(H$6,Data[#Headers],0))-G156</f>
        <v>757309</v>
      </c>
      <c r="I156" s="25"/>
      <c r="J156" s="22">
        <f>INDEX(Notes!$I$2:$N$11,MATCH(Notes!$B$2,Notes!$I$2:$I$11,0),4)*$C156</f>
        <v>3047032</v>
      </c>
      <c r="K156" s="22">
        <f>INDEX(Notes!$I$2:$N$11,MATCH(Notes!$B$2,Notes!$I$2:$I$11,0),5)*$D156</f>
        <v>1514622</v>
      </c>
      <c r="L156" s="22">
        <f>INDEX(Notes!$I$2:$N$11,MATCH(Notes!$B$2,Notes!$I$2:$I$11,0),6)*$E156</f>
        <v>2271933</v>
      </c>
      <c r="M156" s="22">
        <f>IF(Notes!$B$2="June",'Payment Total'!$F156,0)</f>
        <v>0</v>
      </c>
      <c r="N156" s="22">
        <f t="shared" si="8"/>
        <v>0</v>
      </c>
      <c r="P156" s="26" t="s">
        <v>992</v>
      </c>
      <c r="Q156" s="26">
        <v>757311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645685</v>
      </c>
      <c r="E157" s="160">
        <f>INDEX(Data[],MATCH($A157,Data[Dist],0),MATCH(E$6,Data[#Headers],0))</f>
        <v>645685</v>
      </c>
      <c r="F157" s="160">
        <f>INDEX(Data[],MATCH($A157,Data[Dist],0),MATCH(F$6,Data[#Headers],0))</f>
        <v>645683</v>
      </c>
      <c r="G157" s="22">
        <f>INDEX(Data[],MATCH($A157,Data[Dist],0),MATCH(G$6,Data[#Headers],0))</f>
        <v>5824585</v>
      </c>
      <c r="H157" s="22">
        <f>INDEX(Data[],MATCH($A157,Data[Dist],0),MATCH(H$6,Data[#Headers],0))-G157</f>
        <v>645683</v>
      </c>
      <c r="I157" s="25"/>
      <c r="J157" s="22">
        <f>INDEX(Notes!$I$2:$N$11,MATCH(Notes!$B$2,Notes!$I$2:$I$11,0),4)*$C157</f>
        <v>2596160</v>
      </c>
      <c r="K157" s="22">
        <f>INDEX(Notes!$I$2:$N$11,MATCH(Notes!$B$2,Notes!$I$2:$I$11,0),5)*$D157</f>
        <v>1291370</v>
      </c>
      <c r="L157" s="22">
        <f>INDEX(Notes!$I$2:$N$11,MATCH(Notes!$B$2,Notes!$I$2:$I$11,0),6)*$E157</f>
        <v>1937055</v>
      </c>
      <c r="M157" s="22">
        <f>IF(Notes!$B$2="June",'Payment Total'!$F157,0)</f>
        <v>0</v>
      </c>
      <c r="N157" s="22">
        <f t="shared" si="8"/>
        <v>0</v>
      </c>
      <c r="P157" s="26" t="s">
        <v>993</v>
      </c>
      <c r="Q157" s="26">
        <v>645685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4805726</v>
      </c>
      <c r="E158" s="160">
        <f>INDEX(Data[],MATCH($A158,Data[Dist],0),MATCH(E$6,Data[#Headers],0))</f>
        <v>4805726</v>
      </c>
      <c r="F158" s="160">
        <f>INDEX(Data[],MATCH($A158,Data[Dist],0),MATCH(F$6,Data[#Headers],0))</f>
        <v>4805727</v>
      </c>
      <c r="G158" s="22">
        <f>INDEX(Data[],MATCH($A158,Data[Dist],0),MATCH(G$6,Data[#Headers],0))</f>
        <v>43356394</v>
      </c>
      <c r="H158" s="22">
        <f>INDEX(Data[],MATCH($A158,Data[Dist],0),MATCH(H$6,Data[#Headers],0))-G158</f>
        <v>4805727</v>
      </c>
      <c r="I158" s="25"/>
      <c r="J158" s="22">
        <f>INDEX(Notes!$I$2:$N$11,MATCH(Notes!$B$2,Notes!$I$2:$I$11,0),4)*$C158</f>
        <v>19327764</v>
      </c>
      <c r="K158" s="22">
        <f>INDEX(Notes!$I$2:$N$11,MATCH(Notes!$B$2,Notes!$I$2:$I$11,0),5)*$D158</f>
        <v>9611452</v>
      </c>
      <c r="L158" s="22">
        <f>INDEX(Notes!$I$2:$N$11,MATCH(Notes!$B$2,Notes!$I$2:$I$11,0),6)*$E158</f>
        <v>14417178</v>
      </c>
      <c r="M158" s="22">
        <f>IF(Notes!$B$2="June",'Payment Total'!$F158,0)</f>
        <v>0</v>
      </c>
      <c r="N158" s="22">
        <f t="shared" si="8"/>
        <v>0</v>
      </c>
      <c r="P158" s="26" t="s">
        <v>994</v>
      </c>
      <c r="Q158" s="26">
        <v>4805726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1594558</v>
      </c>
      <c r="E159" s="160">
        <f>INDEX(Data[],MATCH($A159,Data[Dist],0),MATCH(E$6,Data[#Headers],0))</f>
        <v>1571310</v>
      </c>
      <c r="F159" s="160">
        <f>INDEX(Data[],MATCH($A159,Data[Dist],0),MATCH(F$6,Data[#Headers],0))</f>
        <v>1571311</v>
      </c>
      <c r="G159" s="22">
        <f>INDEX(Data[],MATCH($A159,Data[Dist],0),MATCH(G$6,Data[#Headers],0))</f>
        <v>14309050</v>
      </c>
      <c r="H159" s="22">
        <f>INDEX(Data[],MATCH($A159,Data[Dist],0),MATCH(H$6,Data[#Headers],0))-G159</f>
        <v>1571311</v>
      </c>
      <c r="I159" s="25"/>
      <c r="J159" s="22">
        <f>INDEX(Notes!$I$2:$N$11,MATCH(Notes!$B$2,Notes!$I$2:$I$11,0),4)*$C159</f>
        <v>6406004</v>
      </c>
      <c r="K159" s="22">
        <f>INDEX(Notes!$I$2:$N$11,MATCH(Notes!$B$2,Notes!$I$2:$I$11,0),5)*$D159</f>
        <v>3189116</v>
      </c>
      <c r="L159" s="22">
        <f>INDEX(Notes!$I$2:$N$11,MATCH(Notes!$B$2,Notes!$I$2:$I$11,0),6)*$E159</f>
        <v>4713930</v>
      </c>
      <c r="M159" s="22">
        <f>IF(Notes!$B$2="June",'Payment Total'!$F159,0)</f>
        <v>0</v>
      </c>
      <c r="N159" s="22">
        <f t="shared" si="8"/>
        <v>0</v>
      </c>
      <c r="P159" s="26" t="s">
        <v>995</v>
      </c>
      <c r="Q159" s="26">
        <v>1571310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224464</v>
      </c>
      <c r="E160" s="160">
        <f>INDEX(Data[],MATCH($A160,Data[Dist],0),MATCH(E$6,Data[#Headers],0))</f>
        <v>224464</v>
      </c>
      <c r="F160" s="160">
        <f>INDEX(Data[],MATCH($A160,Data[Dist],0),MATCH(F$6,Data[#Headers],0))</f>
        <v>224464</v>
      </c>
      <c r="G160" s="22">
        <f>INDEX(Data[],MATCH($A160,Data[Dist],0),MATCH(G$6,Data[#Headers],0))</f>
        <v>2025588</v>
      </c>
      <c r="H160" s="22">
        <f>INDEX(Data[],MATCH($A160,Data[Dist],0),MATCH(H$6,Data[#Headers],0))-G160</f>
        <v>224464</v>
      </c>
      <c r="I160" s="25"/>
      <c r="J160" s="22">
        <f>INDEX(Notes!$I$2:$N$11,MATCH(Notes!$B$2,Notes!$I$2:$I$11,0),4)*$C160</f>
        <v>903268</v>
      </c>
      <c r="K160" s="22">
        <f>INDEX(Notes!$I$2:$N$11,MATCH(Notes!$B$2,Notes!$I$2:$I$11,0),5)*$D160</f>
        <v>448928</v>
      </c>
      <c r="L160" s="22">
        <f>INDEX(Notes!$I$2:$N$11,MATCH(Notes!$B$2,Notes!$I$2:$I$11,0),6)*$E160</f>
        <v>673392</v>
      </c>
      <c r="M160" s="22">
        <f>IF(Notes!$B$2="June",'Payment Total'!$F160,0)</f>
        <v>0</v>
      </c>
      <c r="N160" s="22">
        <f t="shared" si="8"/>
        <v>0</v>
      </c>
      <c r="P160" s="26" t="s">
        <v>996</v>
      </c>
      <c r="Q160" s="26">
        <v>224464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315545</v>
      </c>
      <c r="E161" s="160">
        <f>INDEX(Data[],MATCH($A161,Data[Dist],0),MATCH(E$6,Data[#Headers],0))</f>
        <v>315545</v>
      </c>
      <c r="F161" s="160">
        <f>INDEX(Data[],MATCH($A161,Data[Dist],0),MATCH(F$6,Data[#Headers],0))</f>
        <v>315544</v>
      </c>
      <c r="G161" s="22">
        <f>INDEX(Data[],MATCH($A161,Data[Dist],0),MATCH(G$6,Data[#Headers],0))</f>
        <v>2846977</v>
      </c>
      <c r="H161" s="22">
        <f>INDEX(Data[],MATCH($A161,Data[Dist],0),MATCH(H$6,Data[#Headers],0))-G161</f>
        <v>315544</v>
      </c>
      <c r="I161" s="25"/>
      <c r="J161" s="22">
        <f>INDEX(Notes!$I$2:$N$11,MATCH(Notes!$B$2,Notes!$I$2:$I$11,0),4)*$C161</f>
        <v>1269252</v>
      </c>
      <c r="K161" s="22">
        <f>INDEX(Notes!$I$2:$N$11,MATCH(Notes!$B$2,Notes!$I$2:$I$11,0),5)*$D161</f>
        <v>631090</v>
      </c>
      <c r="L161" s="22">
        <f>INDEX(Notes!$I$2:$N$11,MATCH(Notes!$B$2,Notes!$I$2:$I$11,0),6)*$E161</f>
        <v>946635</v>
      </c>
      <c r="M161" s="22">
        <f>IF(Notes!$B$2="June",'Payment Total'!$F161,0)</f>
        <v>0</v>
      </c>
      <c r="N161" s="22">
        <f t="shared" si="8"/>
        <v>0</v>
      </c>
      <c r="P161" s="26" t="s">
        <v>997</v>
      </c>
      <c r="Q161" s="26">
        <v>315545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1359523</v>
      </c>
      <c r="E162" s="160">
        <f>INDEX(Data[],MATCH($A162,Data[Dist],0),MATCH(E$6,Data[#Headers],0))</f>
        <v>1359523</v>
      </c>
      <c r="F162" s="160">
        <f>INDEX(Data[],MATCH($A162,Data[Dist],0),MATCH(F$6,Data[#Headers],0))</f>
        <v>1359521</v>
      </c>
      <c r="G162" s="22">
        <f>INDEX(Data[],MATCH($A162,Data[Dist],0),MATCH(G$6,Data[#Headers],0))</f>
        <v>12262147</v>
      </c>
      <c r="H162" s="22">
        <f>INDEX(Data[],MATCH($A162,Data[Dist],0),MATCH(H$6,Data[#Headers],0))-G162</f>
        <v>1359521</v>
      </c>
      <c r="I162" s="25"/>
      <c r="J162" s="22">
        <f>INDEX(Notes!$I$2:$N$11,MATCH(Notes!$B$2,Notes!$I$2:$I$11,0),4)*$C162</f>
        <v>5464532</v>
      </c>
      <c r="K162" s="22">
        <f>INDEX(Notes!$I$2:$N$11,MATCH(Notes!$B$2,Notes!$I$2:$I$11,0),5)*$D162</f>
        <v>2719046</v>
      </c>
      <c r="L162" s="22">
        <f>INDEX(Notes!$I$2:$N$11,MATCH(Notes!$B$2,Notes!$I$2:$I$11,0),6)*$E162</f>
        <v>4078569</v>
      </c>
      <c r="M162" s="22">
        <f>IF(Notes!$B$2="June",'Payment Total'!$F162,0)</f>
        <v>0</v>
      </c>
      <c r="N162" s="22">
        <f t="shared" si="8"/>
        <v>0</v>
      </c>
      <c r="P162" s="26" t="s">
        <v>998</v>
      </c>
      <c r="Q162" s="26">
        <v>1359523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343917</v>
      </c>
      <c r="E163" s="160">
        <f>INDEX(Data[],MATCH($A163,Data[Dist],0),MATCH(E$6,Data[#Headers],0))</f>
        <v>343917</v>
      </c>
      <c r="F163" s="160">
        <f>INDEX(Data[],MATCH($A163,Data[Dist],0),MATCH(F$6,Data[#Headers],0))</f>
        <v>343916</v>
      </c>
      <c r="G163" s="22">
        <f>INDEX(Data[],MATCH($A163,Data[Dist],0),MATCH(G$6,Data[#Headers],0))</f>
        <v>3103733</v>
      </c>
      <c r="H163" s="22">
        <f>INDEX(Data[],MATCH($A163,Data[Dist],0),MATCH(H$6,Data[#Headers],0))-G163</f>
        <v>343916</v>
      </c>
      <c r="I163" s="25"/>
      <c r="J163" s="22">
        <f>INDEX(Notes!$I$2:$N$11,MATCH(Notes!$B$2,Notes!$I$2:$I$11,0),4)*$C163</f>
        <v>1384148</v>
      </c>
      <c r="K163" s="22">
        <f>INDEX(Notes!$I$2:$N$11,MATCH(Notes!$B$2,Notes!$I$2:$I$11,0),5)*$D163</f>
        <v>687834</v>
      </c>
      <c r="L163" s="22">
        <f>INDEX(Notes!$I$2:$N$11,MATCH(Notes!$B$2,Notes!$I$2:$I$11,0),6)*$E163</f>
        <v>1031751</v>
      </c>
      <c r="M163" s="22">
        <f>IF(Notes!$B$2="June",'Payment Total'!$F163,0)</f>
        <v>0</v>
      </c>
      <c r="N163" s="22">
        <f t="shared" si="8"/>
        <v>0</v>
      </c>
      <c r="P163" s="26" t="s">
        <v>999</v>
      </c>
      <c r="Q163" s="26">
        <v>343917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294187</v>
      </c>
      <c r="E164" s="160">
        <f>INDEX(Data[],MATCH($A164,Data[Dist],0),MATCH(E$6,Data[#Headers],0))</f>
        <v>250515</v>
      </c>
      <c r="F164" s="160">
        <f>INDEX(Data[],MATCH($A164,Data[Dist],0),MATCH(F$6,Data[#Headers],0))</f>
        <v>250516</v>
      </c>
      <c r="G164" s="22">
        <f>INDEX(Data[],MATCH($A164,Data[Dist],0),MATCH(G$6,Data[#Headers],0))</f>
        <v>2521719</v>
      </c>
      <c r="H164" s="22">
        <f>INDEX(Data[],MATCH($A164,Data[Dist],0),MATCH(H$6,Data[#Headers],0))-G164</f>
        <v>250516</v>
      </c>
      <c r="I164" s="25"/>
      <c r="J164" s="22">
        <f>INDEX(Notes!$I$2:$N$11,MATCH(Notes!$B$2,Notes!$I$2:$I$11,0),4)*$C164</f>
        <v>1181800</v>
      </c>
      <c r="K164" s="22">
        <f>INDEX(Notes!$I$2:$N$11,MATCH(Notes!$B$2,Notes!$I$2:$I$11,0),5)*$D164</f>
        <v>588374</v>
      </c>
      <c r="L164" s="22">
        <f>INDEX(Notes!$I$2:$N$11,MATCH(Notes!$B$2,Notes!$I$2:$I$11,0),6)*$E164</f>
        <v>751545</v>
      </c>
      <c r="M164" s="22">
        <f>IF(Notes!$B$2="June",'Payment Total'!$F164,0)</f>
        <v>0</v>
      </c>
      <c r="N164" s="22">
        <f t="shared" si="8"/>
        <v>0</v>
      </c>
      <c r="P164" s="26" t="s">
        <v>1000</v>
      </c>
      <c r="Q164" s="26">
        <v>250515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195417</v>
      </c>
      <c r="E165" s="160">
        <f>INDEX(Data[],MATCH($A165,Data[Dist],0),MATCH(E$6,Data[#Headers],0))</f>
        <v>195417</v>
      </c>
      <c r="F165" s="160">
        <f>INDEX(Data[],MATCH($A165,Data[Dist],0),MATCH(F$6,Data[#Headers],0))</f>
        <v>195416</v>
      </c>
      <c r="G165" s="22">
        <f>INDEX(Data[],MATCH($A165,Data[Dist],0),MATCH(G$6,Data[#Headers],0))</f>
        <v>1763245</v>
      </c>
      <c r="H165" s="22">
        <f>INDEX(Data[],MATCH($A165,Data[Dist],0),MATCH(H$6,Data[#Headers],0))-G165</f>
        <v>195416</v>
      </c>
      <c r="I165" s="25"/>
      <c r="J165" s="22">
        <f>INDEX(Notes!$I$2:$N$11,MATCH(Notes!$B$2,Notes!$I$2:$I$11,0),4)*$C165</f>
        <v>786160</v>
      </c>
      <c r="K165" s="22">
        <f>INDEX(Notes!$I$2:$N$11,MATCH(Notes!$B$2,Notes!$I$2:$I$11,0),5)*$D165</f>
        <v>390834</v>
      </c>
      <c r="L165" s="22">
        <f>INDEX(Notes!$I$2:$N$11,MATCH(Notes!$B$2,Notes!$I$2:$I$11,0),6)*$E165</f>
        <v>586251</v>
      </c>
      <c r="M165" s="22">
        <f>IF(Notes!$B$2="June",'Payment Total'!$F165,0)</f>
        <v>0</v>
      </c>
      <c r="N165" s="22">
        <f t="shared" si="8"/>
        <v>0</v>
      </c>
      <c r="P165" s="26" t="s">
        <v>1001</v>
      </c>
      <c r="Q165" s="26">
        <v>195417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397763</v>
      </c>
      <c r="E166" s="160">
        <f>INDEX(Data[],MATCH($A166,Data[Dist],0),MATCH(E$6,Data[#Headers],0))</f>
        <v>397763</v>
      </c>
      <c r="F166" s="160">
        <f>INDEX(Data[],MATCH($A166,Data[Dist],0),MATCH(F$6,Data[#Headers],0))</f>
        <v>397761</v>
      </c>
      <c r="G166" s="22">
        <f>INDEX(Data[],MATCH($A166,Data[Dist],0),MATCH(G$6,Data[#Headers],0))</f>
        <v>3589043</v>
      </c>
      <c r="H166" s="22">
        <f>INDEX(Data[],MATCH($A166,Data[Dist],0),MATCH(H$6,Data[#Headers],0))-G166</f>
        <v>397761</v>
      </c>
      <c r="I166" s="25"/>
      <c r="J166" s="22">
        <f>INDEX(Notes!$I$2:$N$11,MATCH(Notes!$B$2,Notes!$I$2:$I$11,0),4)*$C166</f>
        <v>1600228</v>
      </c>
      <c r="K166" s="22">
        <f>INDEX(Notes!$I$2:$N$11,MATCH(Notes!$B$2,Notes!$I$2:$I$11,0),5)*$D166</f>
        <v>795526</v>
      </c>
      <c r="L166" s="22">
        <f>INDEX(Notes!$I$2:$N$11,MATCH(Notes!$B$2,Notes!$I$2:$I$11,0),6)*$E166</f>
        <v>1193289</v>
      </c>
      <c r="M166" s="22">
        <f>IF(Notes!$B$2="June",'Payment Total'!$F166,0)</f>
        <v>0</v>
      </c>
      <c r="N166" s="22">
        <f t="shared" si="8"/>
        <v>0</v>
      </c>
      <c r="P166" s="26" t="s">
        <v>1002</v>
      </c>
      <c r="Q166" s="26">
        <v>397763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310657</v>
      </c>
      <c r="E167" s="160">
        <f>INDEX(Data[],MATCH($A167,Data[Dist],0),MATCH(E$6,Data[#Headers],0))</f>
        <v>158638</v>
      </c>
      <c r="F167" s="160">
        <f>INDEX(Data[],MATCH($A167,Data[Dist],0),MATCH(F$6,Data[#Headers],0))</f>
        <v>158636</v>
      </c>
      <c r="G167" s="22">
        <f>INDEX(Data[],MATCH($A167,Data[Dist],0),MATCH(G$6,Data[#Headers],0))</f>
        <v>2347740</v>
      </c>
      <c r="H167" s="22">
        <f>INDEX(Data[],MATCH($A167,Data[Dist],0),MATCH(H$6,Data[#Headers],0))-G167</f>
        <v>158636</v>
      </c>
      <c r="I167" s="25"/>
      <c r="J167" s="22">
        <f>INDEX(Notes!$I$2:$N$11,MATCH(Notes!$B$2,Notes!$I$2:$I$11,0),4)*$C167</f>
        <v>1250512</v>
      </c>
      <c r="K167" s="22">
        <f>INDEX(Notes!$I$2:$N$11,MATCH(Notes!$B$2,Notes!$I$2:$I$11,0),5)*$D167</f>
        <v>621314</v>
      </c>
      <c r="L167" s="22">
        <f>INDEX(Notes!$I$2:$N$11,MATCH(Notes!$B$2,Notes!$I$2:$I$11,0),6)*$E167</f>
        <v>475914</v>
      </c>
      <c r="M167" s="22">
        <f>IF(Notes!$B$2="June",'Payment Total'!$F167,0)</f>
        <v>0</v>
      </c>
      <c r="N167" s="22">
        <f t="shared" si="8"/>
        <v>0</v>
      </c>
      <c r="P167" s="26" t="s">
        <v>1003</v>
      </c>
      <c r="Q167" s="26">
        <v>158638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1548809</v>
      </c>
      <c r="E168" s="160">
        <f>INDEX(Data[],MATCH($A168,Data[Dist],0),MATCH(E$6,Data[#Headers],0))</f>
        <v>1548809</v>
      </c>
      <c r="F168" s="160">
        <f>INDEX(Data[],MATCH($A168,Data[Dist],0),MATCH(F$6,Data[#Headers],0))</f>
        <v>1548809</v>
      </c>
      <c r="G168" s="22">
        <f>INDEX(Data[],MATCH($A168,Data[Dist],0),MATCH(G$6,Data[#Headers],0))</f>
        <v>13972837</v>
      </c>
      <c r="H168" s="22">
        <f>INDEX(Data[],MATCH($A168,Data[Dist],0),MATCH(H$6,Data[#Headers],0))-G168</f>
        <v>1548809</v>
      </c>
      <c r="I168" s="25"/>
      <c r="J168" s="22">
        <f>INDEX(Notes!$I$2:$N$11,MATCH(Notes!$B$2,Notes!$I$2:$I$11,0),4)*$C168</f>
        <v>6228792</v>
      </c>
      <c r="K168" s="22">
        <f>INDEX(Notes!$I$2:$N$11,MATCH(Notes!$B$2,Notes!$I$2:$I$11,0),5)*$D168</f>
        <v>3097618</v>
      </c>
      <c r="L168" s="22">
        <f>INDEX(Notes!$I$2:$N$11,MATCH(Notes!$B$2,Notes!$I$2:$I$11,0),6)*$E168</f>
        <v>4646427</v>
      </c>
      <c r="M168" s="22">
        <f>IF(Notes!$B$2="June",'Payment Total'!$F168,0)</f>
        <v>0</v>
      </c>
      <c r="N168" s="22">
        <f t="shared" si="8"/>
        <v>0</v>
      </c>
      <c r="P168" s="26" t="s">
        <v>1004</v>
      </c>
      <c r="Q168" s="26">
        <v>1548809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328197</v>
      </c>
      <c r="E169" s="160">
        <f>INDEX(Data[],MATCH($A169,Data[Dist],0),MATCH(E$6,Data[#Headers],0))</f>
        <v>328197</v>
      </c>
      <c r="F169" s="160">
        <f>INDEX(Data[],MATCH($A169,Data[Dist],0),MATCH(F$6,Data[#Headers],0))</f>
        <v>328195</v>
      </c>
      <c r="G169" s="22">
        <f>INDEX(Data[],MATCH($A169,Data[Dist],0),MATCH(G$6,Data[#Headers],0))</f>
        <v>2960533</v>
      </c>
      <c r="H169" s="22">
        <f>INDEX(Data[],MATCH($A169,Data[Dist],0),MATCH(H$6,Data[#Headers],0))-G169</f>
        <v>328195</v>
      </c>
      <c r="I169" s="25"/>
      <c r="J169" s="22">
        <f>INDEX(Notes!$I$2:$N$11,MATCH(Notes!$B$2,Notes!$I$2:$I$11,0),4)*$C169</f>
        <v>1319548</v>
      </c>
      <c r="K169" s="22">
        <f>INDEX(Notes!$I$2:$N$11,MATCH(Notes!$B$2,Notes!$I$2:$I$11,0),5)*$D169</f>
        <v>656394</v>
      </c>
      <c r="L169" s="22">
        <f>INDEX(Notes!$I$2:$N$11,MATCH(Notes!$B$2,Notes!$I$2:$I$11,0),6)*$E169</f>
        <v>984591</v>
      </c>
      <c r="M169" s="22">
        <f>IF(Notes!$B$2="June",'Payment Total'!$F169,0)</f>
        <v>0</v>
      </c>
      <c r="N169" s="22">
        <f t="shared" si="8"/>
        <v>0</v>
      </c>
      <c r="P169" s="26" t="s">
        <v>1005</v>
      </c>
      <c r="Q169" s="26">
        <v>328197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1560728</v>
      </c>
      <c r="E170" s="160">
        <f>INDEX(Data[],MATCH($A170,Data[Dist],0),MATCH(E$6,Data[#Headers],0))</f>
        <v>1560728</v>
      </c>
      <c r="F170" s="160">
        <f>INDEX(Data[],MATCH($A170,Data[Dist],0),MATCH(F$6,Data[#Headers],0))</f>
        <v>1560728</v>
      </c>
      <c r="G170" s="22">
        <f>INDEX(Data[],MATCH($A170,Data[Dist],0),MATCH(G$6,Data[#Headers],0))</f>
        <v>14086420</v>
      </c>
      <c r="H170" s="22">
        <f>INDEX(Data[],MATCH($A170,Data[Dist],0),MATCH(H$6,Data[#Headers],0))-G170</f>
        <v>1560728</v>
      </c>
      <c r="I170" s="25"/>
      <c r="J170" s="22">
        <f>INDEX(Notes!$I$2:$N$11,MATCH(Notes!$B$2,Notes!$I$2:$I$11,0),4)*$C170</f>
        <v>6282780</v>
      </c>
      <c r="K170" s="22">
        <f>INDEX(Notes!$I$2:$N$11,MATCH(Notes!$B$2,Notes!$I$2:$I$11,0),5)*$D170</f>
        <v>3121456</v>
      </c>
      <c r="L170" s="22">
        <f>INDEX(Notes!$I$2:$N$11,MATCH(Notes!$B$2,Notes!$I$2:$I$11,0),6)*$E170</f>
        <v>4682184</v>
      </c>
      <c r="M170" s="22">
        <f>IF(Notes!$B$2="June",'Payment Total'!$F170,0)</f>
        <v>0</v>
      </c>
      <c r="N170" s="22">
        <f t="shared" si="8"/>
        <v>0</v>
      </c>
      <c r="P170" s="26" t="s">
        <v>1006</v>
      </c>
      <c r="Q170" s="26">
        <v>1560728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475200</v>
      </c>
      <c r="E171" s="160">
        <f>INDEX(Data[],MATCH($A171,Data[Dist],0),MATCH(E$6,Data[#Headers],0))</f>
        <v>475200</v>
      </c>
      <c r="F171" s="160">
        <f>INDEX(Data[],MATCH($A171,Data[Dist],0),MATCH(F$6,Data[#Headers],0))</f>
        <v>475198</v>
      </c>
      <c r="G171" s="22">
        <f>INDEX(Data[],MATCH($A171,Data[Dist],0),MATCH(G$6,Data[#Headers],0))</f>
        <v>4287692</v>
      </c>
      <c r="H171" s="22">
        <f>INDEX(Data[],MATCH($A171,Data[Dist],0),MATCH(H$6,Data[#Headers],0))-G171</f>
        <v>475198</v>
      </c>
      <c r="I171" s="25"/>
      <c r="J171" s="22">
        <f>INDEX(Notes!$I$2:$N$11,MATCH(Notes!$B$2,Notes!$I$2:$I$11,0),4)*$C171</f>
        <v>1911692</v>
      </c>
      <c r="K171" s="22">
        <f>INDEX(Notes!$I$2:$N$11,MATCH(Notes!$B$2,Notes!$I$2:$I$11,0),5)*$D171</f>
        <v>950400</v>
      </c>
      <c r="L171" s="22">
        <f>INDEX(Notes!$I$2:$N$11,MATCH(Notes!$B$2,Notes!$I$2:$I$11,0),6)*$E171</f>
        <v>1425600</v>
      </c>
      <c r="M171" s="22">
        <f>IF(Notes!$B$2="June",'Payment Total'!$F171,0)</f>
        <v>0</v>
      </c>
      <c r="N171" s="22">
        <f t="shared" si="8"/>
        <v>0</v>
      </c>
      <c r="P171" s="26" t="s">
        <v>1007</v>
      </c>
      <c r="Q171" s="26">
        <v>475200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5472769</v>
      </c>
      <c r="E172" s="160">
        <f>INDEX(Data[],MATCH($A172,Data[Dist],0),MATCH(E$6,Data[#Headers],0))</f>
        <v>5472769</v>
      </c>
      <c r="F172" s="160">
        <f>INDEX(Data[],MATCH($A172,Data[Dist],0),MATCH(F$6,Data[#Headers],0))</f>
        <v>5472768</v>
      </c>
      <c r="G172" s="22">
        <f>INDEX(Data[],MATCH($A172,Data[Dist],0),MATCH(G$6,Data[#Headers],0))</f>
        <v>49370297</v>
      </c>
      <c r="H172" s="22">
        <f>INDEX(Data[],MATCH($A172,Data[Dist],0),MATCH(H$6,Data[#Headers],0))-G172</f>
        <v>5472768</v>
      </c>
      <c r="I172" s="25"/>
      <c r="J172" s="22">
        <f>INDEX(Notes!$I$2:$N$11,MATCH(Notes!$B$2,Notes!$I$2:$I$11,0),4)*$C172</f>
        <v>22006452</v>
      </c>
      <c r="K172" s="22">
        <f>INDEX(Notes!$I$2:$N$11,MATCH(Notes!$B$2,Notes!$I$2:$I$11,0),5)*$D172</f>
        <v>10945538</v>
      </c>
      <c r="L172" s="22">
        <f>INDEX(Notes!$I$2:$N$11,MATCH(Notes!$B$2,Notes!$I$2:$I$11,0),6)*$E172</f>
        <v>16418307</v>
      </c>
      <c r="M172" s="22">
        <f>IF(Notes!$B$2="June",'Payment Total'!$F172,0)</f>
        <v>0</v>
      </c>
      <c r="N172" s="22">
        <f t="shared" si="8"/>
        <v>0</v>
      </c>
      <c r="P172" s="26" t="s">
        <v>1008</v>
      </c>
      <c r="Q172" s="26">
        <v>5472769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506029</v>
      </c>
      <c r="E173" s="160">
        <f>INDEX(Data[],MATCH($A173,Data[Dist],0),MATCH(E$6,Data[#Headers],0))</f>
        <v>506028</v>
      </c>
      <c r="F173" s="160">
        <f>INDEX(Data[],MATCH($A173,Data[Dist],0),MATCH(F$6,Data[#Headers],0))</f>
        <v>506029</v>
      </c>
      <c r="G173" s="22">
        <f>INDEX(Data[],MATCH($A173,Data[Dist],0),MATCH(G$6,Data[#Headers],0))</f>
        <v>4564330</v>
      </c>
      <c r="H173" s="22">
        <f>INDEX(Data[],MATCH($A173,Data[Dist],0),MATCH(H$6,Data[#Headers],0))-G173</f>
        <v>506029</v>
      </c>
      <c r="I173" s="25"/>
      <c r="J173" s="22">
        <f>INDEX(Notes!$I$2:$N$11,MATCH(Notes!$B$2,Notes!$I$2:$I$11,0),4)*$C173</f>
        <v>2034188</v>
      </c>
      <c r="K173" s="22">
        <f>INDEX(Notes!$I$2:$N$11,MATCH(Notes!$B$2,Notes!$I$2:$I$11,0),5)*$D173</f>
        <v>1012058</v>
      </c>
      <c r="L173" s="22">
        <f>INDEX(Notes!$I$2:$N$11,MATCH(Notes!$B$2,Notes!$I$2:$I$11,0),6)*$E173</f>
        <v>1518084</v>
      </c>
      <c r="M173" s="22">
        <f>IF(Notes!$B$2="June",'Payment Total'!$F173,0)</f>
        <v>0</v>
      </c>
      <c r="N173" s="22">
        <f t="shared" si="8"/>
        <v>0</v>
      </c>
      <c r="P173" s="26" t="s">
        <v>1009</v>
      </c>
      <c r="Q173" s="26">
        <v>506028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417811</v>
      </c>
      <c r="E174" s="160">
        <f>INDEX(Data[],MATCH($A174,Data[Dist],0),MATCH(E$6,Data[#Headers],0))</f>
        <v>417811</v>
      </c>
      <c r="F174" s="160">
        <f>INDEX(Data[],MATCH($A174,Data[Dist],0),MATCH(F$6,Data[#Headers],0))</f>
        <v>417809</v>
      </c>
      <c r="G174" s="22">
        <f>INDEX(Data[],MATCH($A174,Data[Dist],0),MATCH(G$6,Data[#Headers],0))</f>
        <v>3769347</v>
      </c>
      <c r="H174" s="22">
        <f>INDEX(Data[],MATCH($A174,Data[Dist],0),MATCH(H$6,Data[#Headers],0))-G174</f>
        <v>417809</v>
      </c>
      <c r="I174" s="25"/>
      <c r="J174" s="22">
        <f>INDEX(Notes!$I$2:$N$11,MATCH(Notes!$B$2,Notes!$I$2:$I$11,0),4)*$C174</f>
        <v>1680292</v>
      </c>
      <c r="K174" s="22">
        <f>INDEX(Notes!$I$2:$N$11,MATCH(Notes!$B$2,Notes!$I$2:$I$11,0),5)*$D174</f>
        <v>835622</v>
      </c>
      <c r="L174" s="22">
        <f>INDEX(Notes!$I$2:$N$11,MATCH(Notes!$B$2,Notes!$I$2:$I$11,0),6)*$E174</f>
        <v>1253433</v>
      </c>
      <c r="M174" s="22">
        <f>IF(Notes!$B$2="June",'Payment Total'!$F174,0)</f>
        <v>0</v>
      </c>
      <c r="N174" s="22">
        <f t="shared" si="8"/>
        <v>0</v>
      </c>
      <c r="P174" s="26" t="s">
        <v>1010</v>
      </c>
      <c r="Q174" s="26">
        <v>417811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185231</v>
      </c>
      <c r="E175" s="160">
        <f>INDEX(Data[],MATCH($A175,Data[Dist],0),MATCH(E$6,Data[#Headers],0))</f>
        <v>185231</v>
      </c>
      <c r="F175" s="160">
        <f>INDEX(Data[],MATCH($A175,Data[Dist],0),MATCH(F$6,Data[#Headers],0))</f>
        <v>185232</v>
      </c>
      <c r="G175" s="22">
        <f>INDEX(Data[],MATCH($A175,Data[Dist],0),MATCH(G$6,Data[#Headers],0))</f>
        <v>1671835</v>
      </c>
      <c r="H175" s="22">
        <f>INDEX(Data[],MATCH($A175,Data[Dist],0),MATCH(H$6,Data[#Headers],0))-G175</f>
        <v>185232</v>
      </c>
      <c r="I175" s="25"/>
      <c r="J175" s="22">
        <f>INDEX(Notes!$I$2:$N$11,MATCH(Notes!$B$2,Notes!$I$2:$I$11,0),4)*$C175</f>
        <v>745680</v>
      </c>
      <c r="K175" s="22">
        <f>INDEX(Notes!$I$2:$N$11,MATCH(Notes!$B$2,Notes!$I$2:$I$11,0),5)*$D175</f>
        <v>370462</v>
      </c>
      <c r="L175" s="22">
        <f>INDEX(Notes!$I$2:$N$11,MATCH(Notes!$B$2,Notes!$I$2:$I$11,0),6)*$E175</f>
        <v>555693</v>
      </c>
      <c r="M175" s="22">
        <f>IF(Notes!$B$2="June",'Payment Total'!$F175,0)</f>
        <v>0</v>
      </c>
      <c r="N175" s="22">
        <f t="shared" si="8"/>
        <v>0</v>
      </c>
      <c r="P175" s="26" t="s">
        <v>1011</v>
      </c>
      <c r="Q175" s="26">
        <v>185231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455461</v>
      </c>
      <c r="E176" s="160">
        <f>INDEX(Data[],MATCH($A176,Data[Dist],0),MATCH(E$6,Data[#Headers],0))</f>
        <v>455460</v>
      </c>
      <c r="F176" s="160">
        <f>INDEX(Data[],MATCH($A176,Data[Dist],0),MATCH(F$6,Data[#Headers],0))</f>
        <v>455461</v>
      </c>
      <c r="G176" s="22">
        <f>INDEX(Data[],MATCH($A176,Data[Dist],0),MATCH(G$6,Data[#Headers],0))</f>
        <v>4109458</v>
      </c>
      <c r="H176" s="22">
        <f>INDEX(Data[],MATCH($A176,Data[Dist],0),MATCH(H$6,Data[#Headers],0))-G176</f>
        <v>455461</v>
      </c>
      <c r="I176" s="25"/>
      <c r="J176" s="22">
        <f>INDEX(Notes!$I$2:$N$11,MATCH(Notes!$B$2,Notes!$I$2:$I$11,0),4)*$C176</f>
        <v>1832156</v>
      </c>
      <c r="K176" s="22">
        <f>INDEX(Notes!$I$2:$N$11,MATCH(Notes!$B$2,Notes!$I$2:$I$11,0),5)*$D176</f>
        <v>910922</v>
      </c>
      <c r="L176" s="22">
        <f>INDEX(Notes!$I$2:$N$11,MATCH(Notes!$B$2,Notes!$I$2:$I$11,0),6)*$E176</f>
        <v>1366380</v>
      </c>
      <c r="M176" s="22">
        <f>IF(Notes!$B$2="June",'Payment Total'!$F176,0)</f>
        <v>0</v>
      </c>
      <c r="N176" s="22">
        <f t="shared" si="8"/>
        <v>0</v>
      </c>
      <c r="P176" s="26" t="s">
        <v>1012</v>
      </c>
      <c r="Q176" s="26">
        <v>455460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278135</v>
      </c>
      <c r="E177" s="160">
        <f>INDEX(Data[],MATCH($A177,Data[Dist],0),MATCH(E$6,Data[#Headers],0))</f>
        <v>278135</v>
      </c>
      <c r="F177" s="160">
        <f>INDEX(Data[],MATCH($A177,Data[Dist],0),MATCH(F$6,Data[#Headers],0))</f>
        <v>278135</v>
      </c>
      <c r="G177" s="22">
        <f>INDEX(Data[],MATCH($A177,Data[Dist],0),MATCH(G$6,Data[#Headers],0))</f>
        <v>2509971</v>
      </c>
      <c r="H177" s="22">
        <f>INDEX(Data[],MATCH($A177,Data[Dist],0),MATCH(H$6,Data[#Headers],0))-G177</f>
        <v>278135</v>
      </c>
      <c r="I177" s="25"/>
      <c r="J177" s="22">
        <f>INDEX(Notes!$I$2:$N$11,MATCH(Notes!$B$2,Notes!$I$2:$I$11,0),4)*$C177</f>
        <v>1119296</v>
      </c>
      <c r="K177" s="22">
        <f>INDEX(Notes!$I$2:$N$11,MATCH(Notes!$B$2,Notes!$I$2:$I$11,0),5)*$D177</f>
        <v>556270</v>
      </c>
      <c r="L177" s="22">
        <f>INDEX(Notes!$I$2:$N$11,MATCH(Notes!$B$2,Notes!$I$2:$I$11,0),6)*$E177</f>
        <v>834405</v>
      </c>
      <c r="M177" s="22">
        <f>IF(Notes!$B$2="June",'Payment Total'!$F177,0)</f>
        <v>0</v>
      </c>
      <c r="N177" s="22">
        <f t="shared" si="8"/>
        <v>0</v>
      </c>
      <c r="P177" s="26" t="s">
        <v>1013</v>
      </c>
      <c r="Q177" s="26">
        <v>278135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524878</v>
      </c>
      <c r="E178" s="160">
        <f>INDEX(Data[],MATCH($A178,Data[Dist],0),MATCH(E$6,Data[#Headers],0))</f>
        <v>524878</v>
      </c>
      <c r="F178" s="160">
        <f>INDEX(Data[],MATCH($A178,Data[Dist],0),MATCH(F$6,Data[#Headers],0))</f>
        <v>524876</v>
      </c>
      <c r="G178" s="22">
        <f>INDEX(Data[],MATCH($A178,Data[Dist],0),MATCH(G$6,Data[#Headers],0))</f>
        <v>4733958</v>
      </c>
      <c r="H178" s="22">
        <f>INDEX(Data[],MATCH($A178,Data[Dist],0),MATCH(H$6,Data[#Headers],0))-G178</f>
        <v>524876</v>
      </c>
      <c r="I178" s="25"/>
      <c r="J178" s="22">
        <f>INDEX(Notes!$I$2:$N$11,MATCH(Notes!$B$2,Notes!$I$2:$I$11,0),4)*$C178</f>
        <v>2109568</v>
      </c>
      <c r="K178" s="22">
        <f>INDEX(Notes!$I$2:$N$11,MATCH(Notes!$B$2,Notes!$I$2:$I$11,0),5)*$D178</f>
        <v>1049756</v>
      </c>
      <c r="L178" s="22">
        <f>INDEX(Notes!$I$2:$N$11,MATCH(Notes!$B$2,Notes!$I$2:$I$11,0),6)*$E178</f>
        <v>1574634</v>
      </c>
      <c r="M178" s="22">
        <f>IF(Notes!$B$2="June",'Payment Total'!$F178,0)</f>
        <v>0</v>
      </c>
      <c r="N178" s="22">
        <f t="shared" si="8"/>
        <v>0</v>
      </c>
      <c r="P178" s="26" t="s">
        <v>1014</v>
      </c>
      <c r="Q178" s="26">
        <v>524878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323907</v>
      </c>
      <c r="E179" s="160">
        <f>INDEX(Data[],MATCH($A179,Data[Dist],0),MATCH(E$6,Data[#Headers],0))</f>
        <v>323907</v>
      </c>
      <c r="F179" s="160">
        <f>INDEX(Data[],MATCH($A179,Data[Dist],0),MATCH(F$6,Data[#Headers],0))</f>
        <v>323906</v>
      </c>
      <c r="G179" s="22">
        <f>INDEX(Data[],MATCH($A179,Data[Dist],0),MATCH(G$6,Data[#Headers],0))</f>
        <v>2923095</v>
      </c>
      <c r="H179" s="22">
        <f>INDEX(Data[],MATCH($A179,Data[Dist],0),MATCH(H$6,Data[#Headers],0))-G179</f>
        <v>323906</v>
      </c>
      <c r="I179" s="25"/>
      <c r="J179" s="22">
        <f>INDEX(Notes!$I$2:$N$11,MATCH(Notes!$B$2,Notes!$I$2:$I$11,0),4)*$C179</f>
        <v>1303560</v>
      </c>
      <c r="K179" s="22">
        <f>INDEX(Notes!$I$2:$N$11,MATCH(Notes!$B$2,Notes!$I$2:$I$11,0),5)*$D179</f>
        <v>647814</v>
      </c>
      <c r="L179" s="22">
        <f>INDEX(Notes!$I$2:$N$11,MATCH(Notes!$B$2,Notes!$I$2:$I$11,0),6)*$E179</f>
        <v>971721</v>
      </c>
      <c r="M179" s="22">
        <f>IF(Notes!$B$2="June",'Payment Total'!$F179,0)</f>
        <v>0</v>
      </c>
      <c r="N179" s="22">
        <f t="shared" si="8"/>
        <v>0</v>
      </c>
      <c r="P179" s="26" t="s">
        <v>1015</v>
      </c>
      <c r="Q179" s="26">
        <v>323907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345203</v>
      </c>
      <c r="E180" s="160">
        <f>INDEX(Data[],MATCH($A180,Data[Dist],0),MATCH(E$6,Data[#Headers],0))</f>
        <v>345202</v>
      </c>
      <c r="F180" s="160">
        <f>INDEX(Data[],MATCH($A180,Data[Dist],0),MATCH(F$6,Data[#Headers],0))</f>
        <v>345203</v>
      </c>
      <c r="G180" s="22">
        <f>INDEX(Data[],MATCH($A180,Data[Dist],0),MATCH(G$6,Data[#Headers],0))</f>
        <v>3116664</v>
      </c>
      <c r="H180" s="22">
        <f>INDEX(Data[],MATCH($A180,Data[Dist],0),MATCH(H$6,Data[#Headers],0))-G180</f>
        <v>345203</v>
      </c>
      <c r="I180" s="25"/>
      <c r="J180" s="22">
        <f>INDEX(Notes!$I$2:$N$11,MATCH(Notes!$B$2,Notes!$I$2:$I$11,0),4)*$C180</f>
        <v>1390652</v>
      </c>
      <c r="K180" s="22">
        <f>INDEX(Notes!$I$2:$N$11,MATCH(Notes!$B$2,Notes!$I$2:$I$11,0),5)*$D180</f>
        <v>690406</v>
      </c>
      <c r="L180" s="22">
        <f>INDEX(Notes!$I$2:$N$11,MATCH(Notes!$B$2,Notes!$I$2:$I$11,0),6)*$E180</f>
        <v>1035606</v>
      </c>
      <c r="M180" s="22">
        <f>IF(Notes!$B$2="June",'Payment Total'!$F180,0)</f>
        <v>0</v>
      </c>
      <c r="N180" s="22">
        <f t="shared" si="8"/>
        <v>0</v>
      </c>
      <c r="P180" s="26" t="s">
        <v>1016</v>
      </c>
      <c r="Q180" s="26">
        <v>345202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317733</v>
      </c>
      <c r="E181" s="160">
        <f>INDEX(Data[],MATCH($A181,Data[Dist],0),MATCH(E$6,Data[#Headers],0))</f>
        <v>317733</v>
      </c>
      <c r="F181" s="160">
        <f>INDEX(Data[],MATCH($A181,Data[Dist],0),MATCH(F$6,Data[#Headers],0))</f>
        <v>317731</v>
      </c>
      <c r="G181" s="22">
        <f>INDEX(Data[],MATCH($A181,Data[Dist],0),MATCH(G$6,Data[#Headers],0))</f>
        <v>2868513</v>
      </c>
      <c r="H181" s="22">
        <f>INDEX(Data[],MATCH($A181,Data[Dist],0),MATCH(H$6,Data[#Headers],0))-G181</f>
        <v>317731</v>
      </c>
      <c r="I181" s="25"/>
      <c r="J181" s="22">
        <f>INDEX(Notes!$I$2:$N$11,MATCH(Notes!$B$2,Notes!$I$2:$I$11,0),4)*$C181</f>
        <v>1279848</v>
      </c>
      <c r="K181" s="22">
        <f>INDEX(Notes!$I$2:$N$11,MATCH(Notes!$B$2,Notes!$I$2:$I$11,0),5)*$D181</f>
        <v>635466</v>
      </c>
      <c r="L181" s="22">
        <f>INDEX(Notes!$I$2:$N$11,MATCH(Notes!$B$2,Notes!$I$2:$I$11,0),6)*$E181</f>
        <v>953199</v>
      </c>
      <c r="M181" s="22">
        <f>IF(Notes!$B$2="June",'Payment Total'!$F181,0)</f>
        <v>0</v>
      </c>
      <c r="N181" s="22">
        <f t="shared" si="8"/>
        <v>0</v>
      </c>
      <c r="P181" s="26" t="s">
        <v>1017</v>
      </c>
      <c r="Q181" s="26">
        <v>317733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974796</v>
      </c>
      <c r="E182" s="160">
        <f>INDEX(Data[],MATCH($A182,Data[Dist],0),MATCH(E$6,Data[#Headers],0))</f>
        <v>974796</v>
      </c>
      <c r="F182" s="160">
        <f>INDEX(Data[],MATCH($A182,Data[Dist],0),MATCH(F$6,Data[#Headers],0))</f>
        <v>974795</v>
      </c>
      <c r="G182" s="22">
        <f>INDEX(Data[],MATCH($A182,Data[Dist],0),MATCH(G$6,Data[#Headers],0))</f>
        <v>8791180</v>
      </c>
      <c r="H182" s="22">
        <f>INDEX(Data[],MATCH($A182,Data[Dist],0),MATCH(H$6,Data[#Headers],0))-G182</f>
        <v>974795</v>
      </c>
      <c r="I182" s="25"/>
      <c r="J182" s="22">
        <f>INDEX(Notes!$I$2:$N$11,MATCH(Notes!$B$2,Notes!$I$2:$I$11,0),4)*$C182</f>
        <v>3917200</v>
      </c>
      <c r="K182" s="22">
        <f>INDEX(Notes!$I$2:$N$11,MATCH(Notes!$B$2,Notes!$I$2:$I$11,0),5)*$D182</f>
        <v>1949592</v>
      </c>
      <c r="L182" s="22">
        <f>INDEX(Notes!$I$2:$N$11,MATCH(Notes!$B$2,Notes!$I$2:$I$11,0),6)*$E182</f>
        <v>2924388</v>
      </c>
      <c r="M182" s="22">
        <f>IF(Notes!$B$2="June",'Payment Total'!$F182,0)</f>
        <v>0</v>
      </c>
      <c r="N182" s="22">
        <f t="shared" si="8"/>
        <v>0</v>
      </c>
      <c r="P182" s="26" t="s">
        <v>1018</v>
      </c>
      <c r="Q182" s="26">
        <v>974796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379309</v>
      </c>
      <c r="E183" s="160">
        <f>INDEX(Data[],MATCH($A183,Data[Dist],0),MATCH(E$6,Data[#Headers],0))</f>
        <v>379309</v>
      </c>
      <c r="F183" s="160">
        <f>INDEX(Data[],MATCH($A183,Data[Dist],0),MATCH(F$6,Data[#Headers],0))</f>
        <v>379307</v>
      </c>
      <c r="G183" s="22">
        <f>INDEX(Data[],MATCH($A183,Data[Dist],0),MATCH(G$6,Data[#Headers],0))</f>
        <v>3423733</v>
      </c>
      <c r="H183" s="22">
        <f>INDEX(Data[],MATCH($A183,Data[Dist],0),MATCH(H$6,Data[#Headers],0))-G183</f>
        <v>379307</v>
      </c>
      <c r="I183" s="25"/>
      <c r="J183" s="22">
        <f>INDEX(Notes!$I$2:$N$11,MATCH(Notes!$B$2,Notes!$I$2:$I$11,0),4)*$C183</f>
        <v>1527188</v>
      </c>
      <c r="K183" s="22">
        <f>INDEX(Notes!$I$2:$N$11,MATCH(Notes!$B$2,Notes!$I$2:$I$11,0),5)*$D183</f>
        <v>758618</v>
      </c>
      <c r="L183" s="22">
        <f>INDEX(Notes!$I$2:$N$11,MATCH(Notes!$B$2,Notes!$I$2:$I$11,0),6)*$E183</f>
        <v>1137927</v>
      </c>
      <c r="M183" s="22">
        <f>IF(Notes!$B$2="June",'Payment Total'!$F183,0)</f>
        <v>0</v>
      </c>
      <c r="N183" s="22">
        <f t="shared" si="8"/>
        <v>0</v>
      </c>
      <c r="P183" s="26" t="s">
        <v>1019</v>
      </c>
      <c r="Q183" s="26">
        <v>379309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211691</v>
      </c>
      <c r="E184" s="160">
        <f>INDEX(Data[],MATCH($A184,Data[Dist],0),MATCH(E$6,Data[#Headers],0))</f>
        <v>211690</v>
      </c>
      <c r="F184" s="160">
        <f>INDEX(Data[],MATCH($A184,Data[Dist],0),MATCH(F$6,Data[#Headers],0))</f>
        <v>211691</v>
      </c>
      <c r="G184" s="22">
        <f>INDEX(Data[],MATCH($A184,Data[Dist],0),MATCH(G$6,Data[#Headers],0))</f>
        <v>1912196</v>
      </c>
      <c r="H184" s="22">
        <f>INDEX(Data[],MATCH($A184,Data[Dist],0),MATCH(H$6,Data[#Headers],0))-G184</f>
        <v>211691</v>
      </c>
      <c r="I184" s="25"/>
      <c r="J184" s="22">
        <f>INDEX(Notes!$I$2:$N$11,MATCH(Notes!$B$2,Notes!$I$2:$I$11,0),4)*$C184</f>
        <v>853744</v>
      </c>
      <c r="K184" s="22">
        <f>INDEX(Notes!$I$2:$N$11,MATCH(Notes!$B$2,Notes!$I$2:$I$11,0),5)*$D184</f>
        <v>423382</v>
      </c>
      <c r="L184" s="22">
        <f>INDEX(Notes!$I$2:$N$11,MATCH(Notes!$B$2,Notes!$I$2:$I$11,0),6)*$E184</f>
        <v>635070</v>
      </c>
      <c r="M184" s="22">
        <f>IF(Notes!$B$2="June",'Payment Total'!$F184,0)</f>
        <v>0</v>
      </c>
      <c r="N184" s="22">
        <f t="shared" si="8"/>
        <v>0</v>
      </c>
      <c r="P184" s="26" t="s">
        <v>1020</v>
      </c>
      <c r="Q184" s="26">
        <v>211690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1460970</v>
      </c>
      <c r="E185" s="160">
        <f>INDEX(Data[],MATCH($A185,Data[Dist],0),MATCH(E$6,Data[#Headers],0))</f>
        <v>1460971</v>
      </c>
      <c r="F185" s="160">
        <f>INDEX(Data[],MATCH($A185,Data[Dist],0),MATCH(F$6,Data[#Headers],0))</f>
        <v>1460969</v>
      </c>
      <c r="G185" s="22">
        <f>INDEX(Data[],MATCH($A185,Data[Dist],0),MATCH(G$6,Data[#Headers],0))</f>
        <v>13175721</v>
      </c>
      <c r="H185" s="22">
        <f>INDEX(Data[],MATCH($A185,Data[Dist],0),MATCH(H$6,Data[#Headers],0))-G185</f>
        <v>1460969</v>
      </c>
      <c r="I185" s="25"/>
      <c r="J185" s="22">
        <f>INDEX(Notes!$I$2:$N$11,MATCH(Notes!$B$2,Notes!$I$2:$I$11,0),4)*$C185</f>
        <v>5870868</v>
      </c>
      <c r="K185" s="22">
        <f>INDEX(Notes!$I$2:$N$11,MATCH(Notes!$B$2,Notes!$I$2:$I$11,0),5)*$D185</f>
        <v>2921940</v>
      </c>
      <c r="L185" s="22">
        <f>INDEX(Notes!$I$2:$N$11,MATCH(Notes!$B$2,Notes!$I$2:$I$11,0),6)*$E185</f>
        <v>4382913</v>
      </c>
      <c r="M185" s="22">
        <f>IF(Notes!$B$2="June",'Payment Total'!$F185,0)</f>
        <v>0</v>
      </c>
      <c r="N185" s="22">
        <f t="shared" si="8"/>
        <v>0</v>
      </c>
      <c r="P185" s="26" t="s">
        <v>1021</v>
      </c>
      <c r="Q185" s="26">
        <v>1460971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4647363</v>
      </c>
      <c r="E186" s="160">
        <f>INDEX(Data[],MATCH($A186,Data[Dist],0),MATCH(E$6,Data[#Headers],0))</f>
        <v>4647363</v>
      </c>
      <c r="F186" s="160">
        <f>INDEX(Data[],MATCH($A186,Data[Dist],0),MATCH(F$6,Data[#Headers],0))</f>
        <v>4647364</v>
      </c>
      <c r="G186" s="22">
        <f>INDEX(Data[],MATCH($A186,Data[Dist],0),MATCH(G$6,Data[#Headers],0))</f>
        <v>41906959</v>
      </c>
      <c r="H186" s="22">
        <f>INDEX(Data[],MATCH($A186,Data[Dist],0),MATCH(H$6,Data[#Headers],0))-G186</f>
        <v>4647364</v>
      </c>
      <c r="I186" s="25"/>
      <c r="J186" s="22">
        <f>INDEX(Notes!$I$2:$N$11,MATCH(Notes!$B$2,Notes!$I$2:$I$11,0),4)*$C186</f>
        <v>18670144</v>
      </c>
      <c r="K186" s="22">
        <f>INDEX(Notes!$I$2:$N$11,MATCH(Notes!$B$2,Notes!$I$2:$I$11,0),5)*$D186</f>
        <v>9294726</v>
      </c>
      <c r="L186" s="22">
        <f>INDEX(Notes!$I$2:$N$11,MATCH(Notes!$B$2,Notes!$I$2:$I$11,0),6)*$E186</f>
        <v>13942089</v>
      </c>
      <c r="M186" s="22">
        <f>IF(Notes!$B$2="June",'Payment Total'!$F186,0)</f>
        <v>0</v>
      </c>
      <c r="N186" s="22">
        <f t="shared" si="8"/>
        <v>0</v>
      </c>
      <c r="P186" s="26" t="s">
        <v>1022</v>
      </c>
      <c r="Q186" s="26">
        <v>4647363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332536</v>
      </c>
      <c r="E187" s="160">
        <f>INDEX(Data[],MATCH($A187,Data[Dist],0),MATCH(E$6,Data[#Headers],0))</f>
        <v>332536</v>
      </c>
      <c r="F187" s="160">
        <f>INDEX(Data[],MATCH($A187,Data[Dist],0),MATCH(F$6,Data[#Headers],0))</f>
        <v>332536</v>
      </c>
      <c r="G187" s="22">
        <f>INDEX(Data[],MATCH($A187,Data[Dist],0),MATCH(G$6,Data[#Headers],0))</f>
        <v>3000504</v>
      </c>
      <c r="H187" s="22">
        <f>INDEX(Data[],MATCH($A187,Data[Dist],0),MATCH(H$6,Data[#Headers],0))-G187</f>
        <v>332536</v>
      </c>
      <c r="I187" s="25"/>
      <c r="J187" s="22">
        <f>INDEX(Notes!$I$2:$N$11,MATCH(Notes!$B$2,Notes!$I$2:$I$11,0),4)*$C187</f>
        <v>1337824</v>
      </c>
      <c r="K187" s="22">
        <f>INDEX(Notes!$I$2:$N$11,MATCH(Notes!$B$2,Notes!$I$2:$I$11,0),5)*$D187</f>
        <v>665072</v>
      </c>
      <c r="L187" s="22">
        <f>INDEX(Notes!$I$2:$N$11,MATCH(Notes!$B$2,Notes!$I$2:$I$11,0),6)*$E187</f>
        <v>997608</v>
      </c>
      <c r="M187" s="22">
        <f>IF(Notes!$B$2="June",'Payment Total'!$F187,0)</f>
        <v>0</v>
      </c>
      <c r="N187" s="22">
        <f t="shared" si="8"/>
        <v>0</v>
      </c>
      <c r="P187" s="26" t="s">
        <v>1023</v>
      </c>
      <c r="Q187" s="26">
        <v>332536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2439665</v>
      </c>
      <c r="E188" s="160">
        <f>INDEX(Data[],MATCH($A188,Data[Dist],0),MATCH(E$6,Data[#Headers],0))</f>
        <v>2439665</v>
      </c>
      <c r="F188" s="160">
        <f>INDEX(Data[],MATCH($A188,Data[Dist],0),MATCH(F$6,Data[#Headers],0))</f>
        <v>2439664</v>
      </c>
      <c r="G188" s="22">
        <f>INDEX(Data[],MATCH($A188,Data[Dist],0),MATCH(G$6,Data[#Headers],0))</f>
        <v>22008097</v>
      </c>
      <c r="H188" s="22">
        <f>INDEX(Data[],MATCH($A188,Data[Dist],0),MATCH(H$6,Data[#Headers],0))-G188</f>
        <v>2439664</v>
      </c>
      <c r="I188" s="25"/>
      <c r="J188" s="22">
        <f>INDEX(Notes!$I$2:$N$11,MATCH(Notes!$B$2,Notes!$I$2:$I$11,0),4)*$C188</f>
        <v>9809772</v>
      </c>
      <c r="K188" s="22">
        <f>INDEX(Notes!$I$2:$N$11,MATCH(Notes!$B$2,Notes!$I$2:$I$11,0),5)*$D188</f>
        <v>4879330</v>
      </c>
      <c r="L188" s="22">
        <f>INDEX(Notes!$I$2:$N$11,MATCH(Notes!$B$2,Notes!$I$2:$I$11,0),6)*$E188</f>
        <v>7318995</v>
      </c>
      <c r="M188" s="22">
        <f>IF(Notes!$B$2="June",'Payment Total'!$F188,0)</f>
        <v>0</v>
      </c>
      <c r="N188" s="22">
        <f t="shared" si="8"/>
        <v>0</v>
      </c>
      <c r="P188" s="26" t="s">
        <v>1024</v>
      </c>
      <c r="Q188" s="26">
        <v>2439665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976476</v>
      </c>
      <c r="E189" s="160">
        <f>INDEX(Data[],MATCH($A189,Data[Dist],0),MATCH(E$6,Data[#Headers],0))</f>
        <v>976476</v>
      </c>
      <c r="F189" s="160">
        <f>INDEX(Data[],MATCH($A189,Data[Dist],0),MATCH(F$6,Data[#Headers],0))</f>
        <v>976474</v>
      </c>
      <c r="G189" s="22">
        <f>INDEX(Data[],MATCH($A189,Data[Dist],0),MATCH(G$6,Data[#Headers],0))</f>
        <v>8811040</v>
      </c>
      <c r="H189" s="22">
        <f>INDEX(Data[],MATCH($A189,Data[Dist],0),MATCH(H$6,Data[#Headers],0))-G189</f>
        <v>976474</v>
      </c>
      <c r="I189" s="25"/>
      <c r="J189" s="22">
        <f>INDEX(Notes!$I$2:$N$11,MATCH(Notes!$B$2,Notes!$I$2:$I$11,0),4)*$C189</f>
        <v>3928660</v>
      </c>
      <c r="K189" s="22">
        <f>INDEX(Notes!$I$2:$N$11,MATCH(Notes!$B$2,Notes!$I$2:$I$11,0),5)*$D189</f>
        <v>1952952</v>
      </c>
      <c r="L189" s="22">
        <f>INDEX(Notes!$I$2:$N$11,MATCH(Notes!$B$2,Notes!$I$2:$I$11,0),6)*$E189</f>
        <v>2929428</v>
      </c>
      <c r="M189" s="22">
        <f>IF(Notes!$B$2="June",'Payment Total'!$F189,0)</f>
        <v>0</v>
      </c>
      <c r="N189" s="22">
        <f t="shared" si="8"/>
        <v>0</v>
      </c>
      <c r="P189" s="26" t="s">
        <v>1025</v>
      </c>
      <c r="Q189" s="26">
        <v>976476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555745</v>
      </c>
      <c r="E190" s="160">
        <f>INDEX(Data[],MATCH($A190,Data[Dist],0),MATCH(E$6,Data[#Headers],0))</f>
        <v>555745</v>
      </c>
      <c r="F190" s="160">
        <f>INDEX(Data[],MATCH($A190,Data[Dist],0),MATCH(F$6,Data[#Headers],0))</f>
        <v>555743</v>
      </c>
      <c r="G190" s="22">
        <f>INDEX(Data[],MATCH($A190,Data[Dist],0),MATCH(G$6,Data[#Headers],0))</f>
        <v>5014841</v>
      </c>
      <c r="H190" s="22">
        <f>INDEX(Data[],MATCH($A190,Data[Dist],0),MATCH(H$6,Data[#Headers],0))-G190</f>
        <v>555743</v>
      </c>
      <c r="I190" s="25"/>
      <c r="J190" s="22">
        <f>INDEX(Notes!$I$2:$N$11,MATCH(Notes!$B$2,Notes!$I$2:$I$11,0),4)*$C190</f>
        <v>2236116</v>
      </c>
      <c r="K190" s="22">
        <f>INDEX(Notes!$I$2:$N$11,MATCH(Notes!$B$2,Notes!$I$2:$I$11,0),5)*$D190</f>
        <v>1111490</v>
      </c>
      <c r="L190" s="22">
        <f>INDEX(Notes!$I$2:$N$11,MATCH(Notes!$B$2,Notes!$I$2:$I$11,0),6)*$E190</f>
        <v>1667235</v>
      </c>
      <c r="M190" s="22">
        <f>IF(Notes!$B$2="June",'Payment Total'!$F190,0)</f>
        <v>0</v>
      </c>
      <c r="N190" s="22">
        <f t="shared" si="8"/>
        <v>0</v>
      </c>
      <c r="P190" s="26" t="s">
        <v>1026</v>
      </c>
      <c r="Q190" s="26">
        <v>555745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248816</v>
      </c>
      <c r="E191" s="160">
        <f>INDEX(Data[],MATCH($A191,Data[Dist],0),MATCH(E$6,Data[#Headers],0))</f>
        <v>248815</v>
      </c>
      <c r="F191" s="160">
        <f>INDEX(Data[],MATCH($A191,Data[Dist],0),MATCH(F$6,Data[#Headers],0))</f>
        <v>248816</v>
      </c>
      <c r="G191" s="22">
        <f>INDEX(Data[],MATCH($A191,Data[Dist],0),MATCH(G$6,Data[#Headers],0))</f>
        <v>2243961</v>
      </c>
      <c r="H191" s="22">
        <f>INDEX(Data[],MATCH($A191,Data[Dist],0),MATCH(H$6,Data[#Headers],0))-G191</f>
        <v>248816</v>
      </c>
      <c r="I191" s="25"/>
      <c r="J191" s="22">
        <f>INDEX(Notes!$I$2:$N$11,MATCH(Notes!$B$2,Notes!$I$2:$I$11,0),4)*$C191</f>
        <v>999884</v>
      </c>
      <c r="K191" s="22">
        <f>INDEX(Notes!$I$2:$N$11,MATCH(Notes!$B$2,Notes!$I$2:$I$11,0),5)*$D191</f>
        <v>497632</v>
      </c>
      <c r="L191" s="22">
        <f>INDEX(Notes!$I$2:$N$11,MATCH(Notes!$B$2,Notes!$I$2:$I$11,0),6)*$E191</f>
        <v>746445</v>
      </c>
      <c r="M191" s="22">
        <f>IF(Notes!$B$2="June",'Payment Total'!$F191,0)</f>
        <v>0</v>
      </c>
      <c r="N191" s="22">
        <f t="shared" si="8"/>
        <v>0</v>
      </c>
      <c r="P191" s="26" t="s">
        <v>1027</v>
      </c>
      <c r="Q191" s="26">
        <v>248815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314206</v>
      </c>
      <c r="E192" s="160">
        <f>INDEX(Data[],MATCH($A192,Data[Dist],0),MATCH(E$6,Data[#Headers],0))</f>
        <v>314206</v>
      </c>
      <c r="F192" s="160">
        <f>INDEX(Data[],MATCH($A192,Data[Dist],0),MATCH(F$6,Data[#Headers],0))</f>
        <v>314206</v>
      </c>
      <c r="G192" s="22">
        <f>INDEX(Data[],MATCH($A192,Data[Dist],0),MATCH(G$6,Data[#Headers],0))</f>
        <v>2835386</v>
      </c>
      <c r="H192" s="22">
        <f>INDEX(Data[],MATCH($A192,Data[Dist],0),MATCH(H$6,Data[#Headers],0))-G192</f>
        <v>314206</v>
      </c>
      <c r="I192" s="25"/>
      <c r="J192" s="22">
        <f>INDEX(Notes!$I$2:$N$11,MATCH(Notes!$B$2,Notes!$I$2:$I$11,0),4)*$C192</f>
        <v>1264356</v>
      </c>
      <c r="K192" s="22">
        <f>INDEX(Notes!$I$2:$N$11,MATCH(Notes!$B$2,Notes!$I$2:$I$11,0),5)*$D192</f>
        <v>628412</v>
      </c>
      <c r="L192" s="22">
        <f>INDEX(Notes!$I$2:$N$11,MATCH(Notes!$B$2,Notes!$I$2:$I$11,0),6)*$E192</f>
        <v>942618</v>
      </c>
      <c r="M192" s="22">
        <f>IF(Notes!$B$2="June",'Payment Total'!$F192,0)</f>
        <v>0</v>
      </c>
      <c r="N192" s="22">
        <f t="shared" si="8"/>
        <v>0</v>
      </c>
      <c r="P192" s="26" t="s">
        <v>1028</v>
      </c>
      <c r="Q192" s="26">
        <v>314206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823520</v>
      </c>
      <c r="E193" s="160">
        <f>INDEX(Data[],MATCH($A193,Data[Dist],0),MATCH(E$6,Data[#Headers],0))</f>
        <v>823521</v>
      </c>
      <c r="F193" s="160">
        <f>INDEX(Data[],MATCH($A193,Data[Dist],0),MATCH(F$6,Data[#Headers],0))</f>
        <v>823519</v>
      </c>
      <c r="G193" s="22">
        <f>INDEX(Data[],MATCH($A193,Data[Dist],0),MATCH(G$6,Data[#Headers],0))</f>
        <v>7430119</v>
      </c>
      <c r="H193" s="22">
        <f>INDEX(Data[],MATCH($A193,Data[Dist],0),MATCH(H$6,Data[#Headers],0))-G193</f>
        <v>823519</v>
      </c>
      <c r="I193" s="25"/>
      <c r="J193" s="22">
        <f>INDEX(Notes!$I$2:$N$11,MATCH(Notes!$B$2,Notes!$I$2:$I$11,0),4)*$C193</f>
        <v>3312516</v>
      </c>
      <c r="K193" s="22">
        <f>INDEX(Notes!$I$2:$N$11,MATCH(Notes!$B$2,Notes!$I$2:$I$11,0),5)*$D193</f>
        <v>1647040</v>
      </c>
      <c r="L193" s="22">
        <f>INDEX(Notes!$I$2:$N$11,MATCH(Notes!$B$2,Notes!$I$2:$I$11,0),6)*$E193</f>
        <v>2470563</v>
      </c>
      <c r="M193" s="22">
        <f>IF(Notes!$B$2="June",'Payment Total'!$F193,0)</f>
        <v>0</v>
      </c>
      <c r="N193" s="22">
        <f t="shared" si="8"/>
        <v>0</v>
      </c>
      <c r="P193" s="26" t="s">
        <v>1029</v>
      </c>
      <c r="Q193" s="26">
        <v>823521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519238</v>
      </c>
      <c r="E194" s="160">
        <f>INDEX(Data[],MATCH($A194,Data[Dist],0),MATCH(E$6,Data[#Headers],0))</f>
        <v>519238</v>
      </c>
      <c r="F194" s="160">
        <f>INDEX(Data[],MATCH($A194,Data[Dist],0),MATCH(F$6,Data[#Headers],0))</f>
        <v>519237</v>
      </c>
      <c r="G194" s="22">
        <f>INDEX(Data[],MATCH($A194,Data[Dist],0),MATCH(G$6,Data[#Headers],0))</f>
        <v>4684590</v>
      </c>
      <c r="H194" s="22">
        <f>INDEX(Data[],MATCH($A194,Data[Dist],0),MATCH(H$6,Data[#Headers],0))-G194</f>
        <v>519237</v>
      </c>
      <c r="I194" s="25"/>
      <c r="J194" s="22">
        <f>INDEX(Notes!$I$2:$N$11,MATCH(Notes!$B$2,Notes!$I$2:$I$11,0),4)*$C194</f>
        <v>2088400</v>
      </c>
      <c r="K194" s="22">
        <f>INDEX(Notes!$I$2:$N$11,MATCH(Notes!$B$2,Notes!$I$2:$I$11,0),5)*$D194</f>
        <v>1038476</v>
      </c>
      <c r="L194" s="22">
        <f>INDEX(Notes!$I$2:$N$11,MATCH(Notes!$B$2,Notes!$I$2:$I$11,0),6)*$E194</f>
        <v>1557714</v>
      </c>
      <c r="M194" s="22">
        <f>IF(Notes!$B$2="June",'Payment Total'!$F194,0)</f>
        <v>0</v>
      </c>
      <c r="N194" s="22">
        <f t="shared" si="8"/>
        <v>0</v>
      </c>
      <c r="P194" s="26" t="s">
        <v>1030</v>
      </c>
      <c r="Q194" s="26">
        <v>519238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585460</v>
      </c>
      <c r="E195" s="160">
        <f>INDEX(Data[],MATCH($A195,Data[Dist],0),MATCH(E$6,Data[#Headers],0))</f>
        <v>585460</v>
      </c>
      <c r="F195" s="160">
        <f>INDEX(Data[],MATCH($A195,Data[Dist],0),MATCH(F$6,Data[#Headers],0))</f>
        <v>585459</v>
      </c>
      <c r="G195" s="22">
        <f>INDEX(Data[],MATCH($A195,Data[Dist],0),MATCH(G$6,Data[#Headers],0))</f>
        <v>5281244</v>
      </c>
      <c r="H195" s="22">
        <f>INDEX(Data[],MATCH($A195,Data[Dist],0),MATCH(H$6,Data[#Headers],0))-G195</f>
        <v>585459</v>
      </c>
      <c r="I195" s="25"/>
      <c r="J195" s="22">
        <f>INDEX(Notes!$I$2:$N$11,MATCH(Notes!$B$2,Notes!$I$2:$I$11,0),4)*$C195</f>
        <v>2353944</v>
      </c>
      <c r="K195" s="22">
        <f>INDEX(Notes!$I$2:$N$11,MATCH(Notes!$B$2,Notes!$I$2:$I$11,0),5)*$D195</f>
        <v>1170920</v>
      </c>
      <c r="L195" s="22">
        <f>INDEX(Notes!$I$2:$N$11,MATCH(Notes!$B$2,Notes!$I$2:$I$11,0),6)*$E195</f>
        <v>1756380</v>
      </c>
      <c r="M195" s="22">
        <f>IF(Notes!$B$2="June",'Payment Total'!$F195,0)</f>
        <v>0</v>
      </c>
      <c r="N195" s="22">
        <f t="shared" si="8"/>
        <v>0</v>
      </c>
      <c r="P195" s="26" t="s">
        <v>1031</v>
      </c>
      <c r="Q195" s="26">
        <v>585460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197278</v>
      </c>
      <c r="E196" s="160">
        <f>INDEX(Data[],MATCH($A196,Data[Dist],0),MATCH(E$6,Data[#Headers],0))</f>
        <v>197278</v>
      </c>
      <c r="F196" s="160">
        <f>INDEX(Data[],MATCH($A196,Data[Dist],0),MATCH(F$6,Data[#Headers],0))</f>
        <v>197279</v>
      </c>
      <c r="G196" s="22">
        <f>INDEX(Data[],MATCH($A196,Data[Dist],0),MATCH(G$6,Data[#Headers],0))</f>
        <v>1782546</v>
      </c>
      <c r="H196" s="22">
        <f>INDEX(Data[],MATCH($A196,Data[Dist],0),MATCH(H$6,Data[#Headers],0))-G196</f>
        <v>197279</v>
      </c>
      <c r="I196" s="25"/>
      <c r="J196" s="22">
        <f>INDEX(Notes!$I$2:$N$11,MATCH(Notes!$B$2,Notes!$I$2:$I$11,0),4)*$C196</f>
        <v>796156</v>
      </c>
      <c r="K196" s="22">
        <f>INDEX(Notes!$I$2:$N$11,MATCH(Notes!$B$2,Notes!$I$2:$I$11,0),5)*$D196</f>
        <v>394556</v>
      </c>
      <c r="L196" s="22">
        <f>INDEX(Notes!$I$2:$N$11,MATCH(Notes!$B$2,Notes!$I$2:$I$11,0),6)*$E196</f>
        <v>591834</v>
      </c>
      <c r="M196" s="22">
        <f>IF(Notes!$B$2="June",'Payment Total'!$F196,0)</f>
        <v>0</v>
      </c>
      <c r="N196" s="22">
        <f t="shared" si="8"/>
        <v>0</v>
      </c>
      <c r="P196" s="26" t="s">
        <v>1032</v>
      </c>
      <c r="Q196" s="26">
        <v>197278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667072</v>
      </c>
      <c r="E197" s="160">
        <f>INDEX(Data[],MATCH($A197,Data[Dist],0),MATCH(E$6,Data[#Headers],0))</f>
        <v>667072</v>
      </c>
      <c r="F197" s="160">
        <f>INDEX(Data[],MATCH($A197,Data[Dist],0),MATCH(F$6,Data[#Headers],0))</f>
        <v>667070</v>
      </c>
      <c r="G197" s="22">
        <f>INDEX(Data[],MATCH($A197,Data[Dist],0),MATCH(G$6,Data[#Headers],0))</f>
        <v>6018200</v>
      </c>
      <c r="H197" s="22">
        <f>INDEX(Data[],MATCH($A197,Data[Dist],0),MATCH(H$6,Data[#Headers],0))-G197</f>
        <v>667070</v>
      </c>
      <c r="I197" s="25"/>
      <c r="J197" s="22">
        <f>INDEX(Notes!$I$2:$N$11,MATCH(Notes!$B$2,Notes!$I$2:$I$11,0),4)*$C197</f>
        <v>2682840</v>
      </c>
      <c r="K197" s="22">
        <f>INDEX(Notes!$I$2:$N$11,MATCH(Notes!$B$2,Notes!$I$2:$I$11,0),5)*$D197</f>
        <v>1334144</v>
      </c>
      <c r="L197" s="22">
        <f>INDEX(Notes!$I$2:$N$11,MATCH(Notes!$B$2,Notes!$I$2:$I$11,0),6)*$E197</f>
        <v>2001216</v>
      </c>
      <c r="M197" s="22">
        <f>IF(Notes!$B$2="June",'Payment Total'!$F197,0)</f>
        <v>0</v>
      </c>
      <c r="N197" s="22">
        <f t="shared" si="8"/>
        <v>0</v>
      </c>
      <c r="P197" s="26" t="s">
        <v>1033</v>
      </c>
      <c r="Q197" s="26">
        <v>667072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245133</v>
      </c>
      <c r="E198" s="160">
        <f>INDEX(Data[],MATCH($A198,Data[Dist],0),MATCH(E$6,Data[#Headers],0))</f>
        <v>245133</v>
      </c>
      <c r="F198" s="160">
        <f>INDEX(Data[],MATCH($A198,Data[Dist],0),MATCH(F$6,Data[#Headers],0))</f>
        <v>245131</v>
      </c>
      <c r="G198" s="22">
        <f>INDEX(Data[],MATCH($A198,Data[Dist],0),MATCH(G$6,Data[#Headers],0))</f>
        <v>2211385</v>
      </c>
      <c r="H198" s="22">
        <f>INDEX(Data[],MATCH($A198,Data[Dist],0),MATCH(H$6,Data[#Headers],0))-G198</f>
        <v>245131</v>
      </c>
      <c r="I198" s="25"/>
      <c r="J198" s="22">
        <f>INDEX(Notes!$I$2:$N$11,MATCH(Notes!$B$2,Notes!$I$2:$I$11,0),4)*$C198</f>
        <v>985720</v>
      </c>
      <c r="K198" s="22">
        <f>INDEX(Notes!$I$2:$N$11,MATCH(Notes!$B$2,Notes!$I$2:$I$11,0),5)*$D198</f>
        <v>490266</v>
      </c>
      <c r="L198" s="22">
        <f>INDEX(Notes!$I$2:$N$11,MATCH(Notes!$B$2,Notes!$I$2:$I$11,0),6)*$E198</f>
        <v>735399</v>
      </c>
      <c r="M198" s="22">
        <f>IF(Notes!$B$2="June",'Payment Total'!$F198,0)</f>
        <v>0</v>
      </c>
      <c r="N198" s="22">
        <f t="shared" si="8"/>
        <v>0</v>
      </c>
      <c r="P198" s="26" t="s">
        <v>1034</v>
      </c>
      <c r="Q198" s="26">
        <v>245133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158448</v>
      </c>
      <c r="E199" s="160">
        <f>INDEX(Data[],MATCH($A199,Data[Dist],0),MATCH(E$6,Data[#Headers],0))</f>
        <v>147479</v>
      </c>
      <c r="F199" s="160">
        <f>INDEX(Data[],MATCH($A199,Data[Dist],0),MATCH(F$6,Data[#Headers],0))</f>
        <v>147477</v>
      </c>
      <c r="G199" s="22">
        <f>INDEX(Data[],MATCH($A199,Data[Dist],0),MATCH(G$6,Data[#Headers],0))</f>
        <v>1396305</v>
      </c>
      <c r="H199" s="22">
        <f>INDEX(Data[],MATCH($A199,Data[Dist],0),MATCH(H$6,Data[#Headers],0))-G199</f>
        <v>147477</v>
      </c>
      <c r="I199" s="25"/>
      <c r="J199" s="22">
        <f>INDEX(Notes!$I$2:$N$11,MATCH(Notes!$B$2,Notes!$I$2:$I$11,0),4)*$C199</f>
        <v>636972</v>
      </c>
      <c r="K199" s="22">
        <f>INDEX(Notes!$I$2:$N$11,MATCH(Notes!$B$2,Notes!$I$2:$I$11,0),5)*$D199</f>
        <v>316896</v>
      </c>
      <c r="L199" s="22">
        <f>INDEX(Notes!$I$2:$N$11,MATCH(Notes!$B$2,Notes!$I$2:$I$11,0),6)*$E199</f>
        <v>442437</v>
      </c>
      <c r="M199" s="22">
        <f>IF(Notes!$B$2="June",'Payment Total'!$F199,0)</f>
        <v>0</v>
      </c>
      <c r="N199" s="22">
        <f t="shared" si="8"/>
        <v>0</v>
      </c>
      <c r="P199" s="26" t="s">
        <v>1035</v>
      </c>
      <c r="Q199" s="26">
        <v>147479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144646</v>
      </c>
      <c r="E200" s="160">
        <f>INDEX(Data[],MATCH($A200,Data[Dist],0),MATCH(E$6,Data[#Headers],0))</f>
        <v>144646</v>
      </c>
      <c r="F200" s="160">
        <f>INDEX(Data[],MATCH($A200,Data[Dist],0),MATCH(F$6,Data[#Headers],0))</f>
        <v>144647</v>
      </c>
      <c r="G200" s="22">
        <f>INDEX(Data[],MATCH($A200,Data[Dist],0),MATCH(G$6,Data[#Headers],0))</f>
        <v>1304730</v>
      </c>
      <c r="H200" s="22">
        <f>INDEX(Data[],MATCH($A200,Data[Dist],0),MATCH(H$6,Data[#Headers],0))-G200</f>
        <v>144647</v>
      </c>
      <c r="I200" s="25"/>
      <c r="J200" s="22">
        <f>INDEX(Notes!$I$2:$N$11,MATCH(Notes!$B$2,Notes!$I$2:$I$11,0),4)*$C200</f>
        <v>581500</v>
      </c>
      <c r="K200" s="22">
        <f>INDEX(Notes!$I$2:$N$11,MATCH(Notes!$B$2,Notes!$I$2:$I$11,0),5)*$D200</f>
        <v>289292</v>
      </c>
      <c r="L200" s="22">
        <f>INDEX(Notes!$I$2:$N$11,MATCH(Notes!$B$2,Notes!$I$2:$I$11,0),6)*$E200</f>
        <v>433938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1036</v>
      </c>
      <c r="Q200" s="26">
        <v>144646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INDEX($A$7:$H$331,MATCH($S200,$A$7:$A$331,0),5)-Q200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125549</v>
      </c>
      <c r="E201" s="160">
        <f>INDEX(Data[],MATCH($A201,Data[Dist],0),MATCH(E$6,Data[#Headers],0))</f>
        <v>125550</v>
      </c>
      <c r="F201" s="160">
        <f>INDEX(Data[],MATCH($A201,Data[Dist],0),MATCH(F$6,Data[#Headers],0))</f>
        <v>125548</v>
      </c>
      <c r="G201" s="22">
        <f>INDEX(Data[],MATCH($A201,Data[Dist],0),MATCH(G$6,Data[#Headers],0))</f>
        <v>1132724</v>
      </c>
      <c r="H201" s="22">
        <f>INDEX(Data[],MATCH($A201,Data[Dist],0),MATCH(H$6,Data[#Headers],0))-G201</f>
        <v>125548</v>
      </c>
      <c r="I201" s="25"/>
      <c r="J201" s="22">
        <f>INDEX(Notes!$I$2:$N$11,MATCH(Notes!$B$2,Notes!$I$2:$I$11,0),4)*$C201</f>
        <v>504976</v>
      </c>
      <c r="K201" s="22">
        <f>INDEX(Notes!$I$2:$N$11,MATCH(Notes!$B$2,Notes!$I$2:$I$11,0),5)*$D201</f>
        <v>251098</v>
      </c>
      <c r="L201" s="22">
        <f>INDEX(Notes!$I$2:$N$11,MATCH(Notes!$B$2,Notes!$I$2:$I$11,0),6)*$E201</f>
        <v>376650</v>
      </c>
      <c r="M201" s="22">
        <f>IF(Notes!$B$2="June",'Payment Total'!$F201,0)</f>
        <v>0</v>
      </c>
      <c r="N201" s="22">
        <f t="shared" si="12"/>
        <v>0</v>
      </c>
      <c r="P201" s="26" t="s">
        <v>1037</v>
      </c>
      <c r="Q201" s="26">
        <v>125550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379969</v>
      </c>
      <c r="E202" s="160">
        <f>INDEX(Data[],MATCH($A202,Data[Dist],0),MATCH(E$6,Data[#Headers],0))</f>
        <v>379969</v>
      </c>
      <c r="F202" s="160">
        <f>INDEX(Data[],MATCH($A202,Data[Dist],0),MATCH(F$6,Data[#Headers],0))</f>
        <v>379969</v>
      </c>
      <c r="G202" s="22">
        <f>INDEX(Data[],MATCH($A202,Data[Dist],0),MATCH(G$6,Data[#Headers],0))</f>
        <v>3428705</v>
      </c>
      <c r="H202" s="22">
        <f>INDEX(Data[],MATCH($A202,Data[Dist],0),MATCH(H$6,Data[#Headers],0))-G202</f>
        <v>379969</v>
      </c>
      <c r="I202" s="25"/>
      <c r="J202" s="22">
        <f>INDEX(Notes!$I$2:$N$11,MATCH(Notes!$B$2,Notes!$I$2:$I$11,0),4)*$C202</f>
        <v>1528860</v>
      </c>
      <c r="K202" s="22">
        <f>INDEX(Notes!$I$2:$N$11,MATCH(Notes!$B$2,Notes!$I$2:$I$11,0),5)*$D202</f>
        <v>759938</v>
      </c>
      <c r="L202" s="22">
        <f>INDEX(Notes!$I$2:$N$11,MATCH(Notes!$B$2,Notes!$I$2:$I$11,0),6)*$E202</f>
        <v>1139907</v>
      </c>
      <c r="M202" s="22">
        <f>IF(Notes!$B$2="June",'Payment Total'!$F202,0)</f>
        <v>0</v>
      </c>
      <c r="N202" s="22">
        <f t="shared" si="12"/>
        <v>0</v>
      </c>
      <c r="P202" s="26" t="s">
        <v>1038</v>
      </c>
      <c r="Q202" s="26">
        <v>379969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1318652</v>
      </c>
      <c r="E203" s="160">
        <f>INDEX(Data[],MATCH($A203,Data[Dist],0),MATCH(E$6,Data[#Headers],0))</f>
        <v>1318653</v>
      </c>
      <c r="F203" s="160">
        <f>INDEX(Data[],MATCH($A203,Data[Dist],0),MATCH(F$6,Data[#Headers],0))</f>
        <v>1318651</v>
      </c>
      <c r="G203" s="22">
        <f>INDEX(Data[],MATCH($A203,Data[Dist],0),MATCH(G$6,Data[#Headers],0))</f>
        <v>11894775</v>
      </c>
      <c r="H203" s="22">
        <f>INDEX(Data[],MATCH($A203,Data[Dist],0),MATCH(H$6,Data[#Headers],0))-G203</f>
        <v>1318651</v>
      </c>
      <c r="I203" s="25"/>
      <c r="J203" s="22">
        <f>INDEX(Notes!$I$2:$N$11,MATCH(Notes!$B$2,Notes!$I$2:$I$11,0),4)*$C203</f>
        <v>5301512</v>
      </c>
      <c r="K203" s="22">
        <f>INDEX(Notes!$I$2:$N$11,MATCH(Notes!$B$2,Notes!$I$2:$I$11,0),5)*$D203</f>
        <v>2637304</v>
      </c>
      <c r="L203" s="22">
        <f>INDEX(Notes!$I$2:$N$11,MATCH(Notes!$B$2,Notes!$I$2:$I$11,0),6)*$E203</f>
        <v>3955959</v>
      </c>
      <c r="M203" s="22">
        <f>IF(Notes!$B$2="June",'Payment Total'!$F203,0)</f>
        <v>0</v>
      </c>
      <c r="N203" s="22">
        <f t="shared" si="12"/>
        <v>0</v>
      </c>
      <c r="P203" s="26" t="s">
        <v>1039</v>
      </c>
      <c r="Q203" s="26">
        <v>1318653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789554</v>
      </c>
      <c r="E204" s="160">
        <f>INDEX(Data[],MATCH($A204,Data[Dist],0),MATCH(E$6,Data[#Headers],0))</f>
        <v>789554</v>
      </c>
      <c r="F204" s="160">
        <f>INDEX(Data[],MATCH($A204,Data[Dist],0),MATCH(F$6,Data[#Headers],0))</f>
        <v>789555</v>
      </c>
      <c r="G204" s="22">
        <f>INDEX(Data[],MATCH($A204,Data[Dist],0),MATCH(G$6,Data[#Headers],0))</f>
        <v>7122670</v>
      </c>
      <c r="H204" s="22">
        <f>INDEX(Data[],MATCH($A204,Data[Dist],0),MATCH(H$6,Data[#Headers],0))-G204</f>
        <v>789555</v>
      </c>
      <c r="I204" s="25"/>
      <c r="J204" s="22">
        <f>INDEX(Notes!$I$2:$N$11,MATCH(Notes!$B$2,Notes!$I$2:$I$11,0),4)*$C204</f>
        <v>3174900</v>
      </c>
      <c r="K204" s="22">
        <f>INDEX(Notes!$I$2:$N$11,MATCH(Notes!$B$2,Notes!$I$2:$I$11,0),5)*$D204</f>
        <v>1579108</v>
      </c>
      <c r="L204" s="22">
        <f>INDEX(Notes!$I$2:$N$11,MATCH(Notes!$B$2,Notes!$I$2:$I$11,0),6)*$E204</f>
        <v>2368662</v>
      </c>
      <c r="M204" s="22">
        <f>IF(Notes!$B$2="June",'Payment Total'!$F204,0)</f>
        <v>0</v>
      </c>
      <c r="N204" s="22">
        <f t="shared" si="12"/>
        <v>0</v>
      </c>
      <c r="P204" s="26" t="s">
        <v>1040</v>
      </c>
      <c r="Q204" s="26">
        <v>789554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174629</v>
      </c>
      <c r="E205" s="160">
        <f>INDEX(Data[],MATCH($A205,Data[Dist],0),MATCH(E$6,Data[#Headers],0))</f>
        <v>174628</v>
      </c>
      <c r="F205" s="160">
        <f>INDEX(Data[],MATCH($A205,Data[Dist],0),MATCH(F$6,Data[#Headers],0))</f>
        <v>174629</v>
      </c>
      <c r="G205" s="22">
        <f>INDEX(Data[],MATCH($A205,Data[Dist],0),MATCH(G$6,Data[#Headers],0))</f>
        <v>1574986</v>
      </c>
      <c r="H205" s="22">
        <f>INDEX(Data[],MATCH($A205,Data[Dist],0),MATCH(H$6,Data[#Headers],0))-G205</f>
        <v>174629</v>
      </c>
      <c r="I205" s="25"/>
      <c r="J205" s="22">
        <f>INDEX(Notes!$I$2:$N$11,MATCH(Notes!$B$2,Notes!$I$2:$I$11,0),4)*$C205</f>
        <v>701844</v>
      </c>
      <c r="K205" s="22">
        <f>INDEX(Notes!$I$2:$N$11,MATCH(Notes!$B$2,Notes!$I$2:$I$11,0),5)*$D205</f>
        <v>349258</v>
      </c>
      <c r="L205" s="22">
        <f>INDEX(Notes!$I$2:$N$11,MATCH(Notes!$B$2,Notes!$I$2:$I$11,0),6)*$E205</f>
        <v>523884</v>
      </c>
      <c r="M205" s="22">
        <f>IF(Notes!$B$2="June",'Payment Total'!$F205,0)</f>
        <v>0</v>
      </c>
      <c r="N205" s="22">
        <f t="shared" si="12"/>
        <v>0</v>
      </c>
      <c r="P205" s="26" t="s">
        <v>1041</v>
      </c>
      <c r="Q205" s="26">
        <v>174628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3433620</v>
      </c>
      <c r="E206" s="160">
        <f>INDEX(Data[],MATCH($A206,Data[Dist],0),MATCH(E$6,Data[#Headers],0))</f>
        <v>3433620</v>
      </c>
      <c r="F206" s="160">
        <f>INDEX(Data[],MATCH($A206,Data[Dist],0),MATCH(F$6,Data[#Headers],0))</f>
        <v>3433619</v>
      </c>
      <c r="G206" s="22">
        <f>INDEX(Data[],MATCH($A206,Data[Dist],0),MATCH(G$6,Data[#Headers],0))</f>
        <v>30971256</v>
      </c>
      <c r="H206" s="22">
        <f>INDEX(Data[],MATCH($A206,Data[Dist],0),MATCH(H$6,Data[#Headers],0))-G206</f>
        <v>3433619</v>
      </c>
      <c r="I206" s="25"/>
      <c r="J206" s="22">
        <f>INDEX(Notes!$I$2:$N$11,MATCH(Notes!$B$2,Notes!$I$2:$I$11,0),4)*$C206</f>
        <v>13803156</v>
      </c>
      <c r="K206" s="22">
        <f>INDEX(Notes!$I$2:$N$11,MATCH(Notes!$B$2,Notes!$I$2:$I$11,0),5)*$D206</f>
        <v>6867240</v>
      </c>
      <c r="L206" s="22">
        <f>INDEX(Notes!$I$2:$N$11,MATCH(Notes!$B$2,Notes!$I$2:$I$11,0),6)*$E206</f>
        <v>10300860</v>
      </c>
      <c r="M206" s="22">
        <f>IF(Notes!$B$2="June",'Payment Total'!$F206,0)</f>
        <v>0</v>
      </c>
      <c r="N206" s="22">
        <f t="shared" si="12"/>
        <v>0</v>
      </c>
      <c r="P206" s="26" t="s">
        <v>1042</v>
      </c>
      <c r="Q206" s="26">
        <v>3433620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389713</v>
      </c>
      <c r="E207" s="160">
        <f>INDEX(Data[],MATCH($A207,Data[Dist],0),MATCH(E$6,Data[#Headers],0))</f>
        <v>389713</v>
      </c>
      <c r="F207" s="160">
        <f>INDEX(Data[],MATCH($A207,Data[Dist],0),MATCH(F$6,Data[#Headers],0))</f>
        <v>389714</v>
      </c>
      <c r="G207" s="22">
        <f>INDEX(Data[],MATCH($A207,Data[Dist],0),MATCH(G$6,Data[#Headers],0))</f>
        <v>3516317</v>
      </c>
      <c r="H207" s="22">
        <f>INDEX(Data[],MATCH($A207,Data[Dist],0),MATCH(H$6,Data[#Headers],0))-G207</f>
        <v>389714</v>
      </c>
      <c r="I207" s="25"/>
      <c r="J207" s="22">
        <f>INDEX(Notes!$I$2:$N$11,MATCH(Notes!$B$2,Notes!$I$2:$I$11,0),4)*$C207</f>
        <v>1567752</v>
      </c>
      <c r="K207" s="22">
        <f>INDEX(Notes!$I$2:$N$11,MATCH(Notes!$B$2,Notes!$I$2:$I$11,0),5)*$D207</f>
        <v>779426</v>
      </c>
      <c r="L207" s="22">
        <f>INDEX(Notes!$I$2:$N$11,MATCH(Notes!$B$2,Notes!$I$2:$I$11,0),6)*$E207</f>
        <v>1169139</v>
      </c>
      <c r="M207" s="22">
        <f>IF(Notes!$B$2="June",'Payment Total'!$F207,0)</f>
        <v>0</v>
      </c>
      <c r="N207" s="22">
        <f t="shared" si="12"/>
        <v>0</v>
      </c>
      <c r="P207" s="26" t="s">
        <v>1043</v>
      </c>
      <c r="Q207" s="26">
        <v>389713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974338</v>
      </c>
      <c r="E208" s="160">
        <f>INDEX(Data[],MATCH($A208,Data[Dist],0),MATCH(E$6,Data[#Headers],0))</f>
        <v>974337</v>
      </c>
      <c r="F208" s="160">
        <f>INDEX(Data[],MATCH($A208,Data[Dist],0),MATCH(F$6,Data[#Headers],0))</f>
        <v>974338</v>
      </c>
      <c r="G208" s="22">
        <f>INDEX(Data[],MATCH($A208,Data[Dist],0),MATCH(G$6,Data[#Headers],0))</f>
        <v>8790047</v>
      </c>
      <c r="H208" s="22">
        <f>INDEX(Data[],MATCH($A208,Data[Dist],0),MATCH(H$6,Data[#Headers],0))-G208</f>
        <v>974338</v>
      </c>
      <c r="I208" s="25"/>
      <c r="J208" s="22">
        <f>INDEX(Notes!$I$2:$N$11,MATCH(Notes!$B$2,Notes!$I$2:$I$11,0),4)*$C208</f>
        <v>3918360</v>
      </c>
      <c r="K208" s="22">
        <f>INDEX(Notes!$I$2:$N$11,MATCH(Notes!$B$2,Notes!$I$2:$I$11,0),5)*$D208</f>
        <v>1948676</v>
      </c>
      <c r="L208" s="22">
        <f>INDEX(Notes!$I$2:$N$11,MATCH(Notes!$B$2,Notes!$I$2:$I$11,0),6)*$E208</f>
        <v>2923011</v>
      </c>
      <c r="M208" s="22">
        <f>IF(Notes!$B$2="June",'Payment Total'!$F208,0)</f>
        <v>0</v>
      </c>
      <c r="N208" s="22">
        <f t="shared" si="12"/>
        <v>0</v>
      </c>
      <c r="P208" s="26" t="s">
        <v>1044</v>
      </c>
      <c r="Q208" s="26">
        <v>974337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293050</v>
      </c>
      <c r="E209" s="160">
        <f>INDEX(Data[],MATCH($A209,Data[Dist],0),MATCH(E$6,Data[#Headers],0))</f>
        <v>293051</v>
      </c>
      <c r="F209" s="160">
        <f>INDEX(Data[],MATCH($A209,Data[Dist],0),MATCH(F$6,Data[#Headers],0))</f>
        <v>293049</v>
      </c>
      <c r="G209" s="22">
        <f>INDEX(Data[],MATCH($A209,Data[Dist],0),MATCH(G$6,Data[#Headers],0))</f>
        <v>2644901</v>
      </c>
      <c r="H209" s="22">
        <f>INDEX(Data[],MATCH($A209,Data[Dist],0),MATCH(H$6,Data[#Headers],0))-G209</f>
        <v>293049</v>
      </c>
      <c r="I209" s="25"/>
      <c r="J209" s="22">
        <f>INDEX(Notes!$I$2:$N$11,MATCH(Notes!$B$2,Notes!$I$2:$I$11,0),4)*$C209</f>
        <v>1179648</v>
      </c>
      <c r="K209" s="22">
        <f>INDEX(Notes!$I$2:$N$11,MATCH(Notes!$B$2,Notes!$I$2:$I$11,0),5)*$D209</f>
        <v>586100</v>
      </c>
      <c r="L209" s="22">
        <f>INDEX(Notes!$I$2:$N$11,MATCH(Notes!$B$2,Notes!$I$2:$I$11,0),6)*$E209</f>
        <v>879153</v>
      </c>
      <c r="M209" s="22">
        <f>IF(Notes!$B$2="June",'Payment Total'!$F209,0)</f>
        <v>0</v>
      </c>
      <c r="N209" s="22">
        <f t="shared" si="12"/>
        <v>0</v>
      </c>
      <c r="P209" s="26" t="s">
        <v>1045</v>
      </c>
      <c r="Q209" s="26">
        <v>293051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549725</v>
      </c>
      <c r="E210" s="160">
        <f>INDEX(Data[],MATCH($A210,Data[Dist],0),MATCH(E$6,Data[#Headers],0))</f>
        <v>549726</v>
      </c>
      <c r="F210" s="160">
        <f>INDEX(Data[],MATCH($A210,Data[Dist],0),MATCH(F$6,Data[#Headers],0))</f>
        <v>549724</v>
      </c>
      <c r="G210" s="22">
        <f>INDEX(Data[],MATCH($A210,Data[Dist],0),MATCH(G$6,Data[#Headers],0))</f>
        <v>4961492</v>
      </c>
      <c r="H210" s="22">
        <f>INDEX(Data[],MATCH($A210,Data[Dist],0),MATCH(H$6,Data[#Headers],0))-G210</f>
        <v>549724</v>
      </c>
      <c r="I210" s="25"/>
      <c r="J210" s="22">
        <f>INDEX(Notes!$I$2:$N$11,MATCH(Notes!$B$2,Notes!$I$2:$I$11,0),4)*$C210</f>
        <v>2212864</v>
      </c>
      <c r="K210" s="22">
        <f>INDEX(Notes!$I$2:$N$11,MATCH(Notes!$B$2,Notes!$I$2:$I$11,0),5)*$D210</f>
        <v>1099450</v>
      </c>
      <c r="L210" s="22">
        <f>INDEX(Notes!$I$2:$N$11,MATCH(Notes!$B$2,Notes!$I$2:$I$11,0),6)*$E210</f>
        <v>1649178</v>
      </c>
      <c r="M210" s="22">
        <f>IF(Notes!$B$2="June",'Payment Total'!$F210,0)</f>
        <v>0</v>
      </c>
      <c r="N210" s="22">
        <f t="shared" si="12"/>
        <v>0</v>
      </c>
      <c r="P210" s="26" t="s">
        <v>1046</v>
      </c>
      <c r="Q210" s="26">
        <v>549726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429464</v>
      </c>
      <c r="E211" s="160">
        <f>INDEX(Data[],MATCH($A211,Data[Dist],0),MATCH(E$6,Data[#Headers],0))</f>
        <v>422164</v>
      </c>
      <c r="F211" s="160">
        <f>INDEX(Data[],MATCH($A211,Data[Dist],0),MATCH(F$6,Data[#Headers],0))</f>
        <v>422162</v>
      </c>
      <c r="G211" s="22">
        <f>INDEX(Data[],MATCH($A211,Data[Dist],0),MATCH(G$6,Data[#Headers],0))</f>
        <v>3851412</v>
      </c>
      <c r="H211" s="22">
        <f>INDEX(Data[],MATCH($A211,Data[Dist],0),MATCH(H$6,Data[#Headers],0))-G211</f>
        <v>422162</v>
      </c>
      <c r="I211" s="25"/>
      <c r="J211" s="22">
        <f>INDEX(Notes!$I$2:$N$11,MATCH(Notes!$B$2,Notes!$I$2:$I$11,0),4)*$C211</f>
        <v>1725992</v>
      </c>
      <c r="K211" s="22">
        <f>INDEX(Notes!$I$2:$N$11,MATCH(Notes!$B$2,Notes!$I$2:$I$11,0),5)*$D211</f>
        <v>858928</v>
      </c>
      <c r="L211" s="22">
        <f>INDEX(Notes!$I$2:$N$11,MATCH(Notes!$B$2,Notes!$I$2:$I$11,0),6)*$E211</f>
        <v>1266492</v>
      </c>
      <c r="M211" s="22">
        <f>IF(Notes!$B$2="June",'Payment Total'!$F211,0)</f>
        <v>0</v>
      </c>
      <c r="N211" s="22">
        <f t="shared" si="12"/>
        <v>0</v>
      </c>
      <c r="P211" s="26" t="s">
        <v>1047</v>
      </c>
      <c r="Q211" s="26">
        <v>422164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2318177</v>
      </c>
      <c r="E212" s="160">
        <f>INDEX(Data[],MATCH($A212,Data[Dist],0),MATCH(E$6,Data[#Headers],0))</f>
        <v>2318177</v>
      </c>
      <c r="F212" s="160">
        <f>INDEX(Data[],MATCH($A212,Data[Dist],0),MATCH(F$6,Data[#Headers],0))</f>
        <v>2318176</v>
      </c>
      <c r="G212" s="22">
        <f>INDEX(Data[],MATCH($A212,Data[Dist],0),MATCH(G$6,Data[#Headers],0))</f>
        <v>20907993</v>
      </c>
      <c r="H212" s="22">
        <f>INDEX(Data[],MATCH($A212,Data[Dist],0),MATCH(H$6,Data[#Headers],0))-G212</f>
        <v>2318176</v>
      </c>
      <c r="I212" s="25"/>
      <c r="J212" s="22">
        <f>INDEX(Notes!$I$2:$N$11,MATCH(Notes!$B$2,Notes!$I$2:$I$11,0),4)*$C212</f>
        <v>9317108</v>
      </c>
      <c r="K212" s="22">
        <f>INDEX(Notes!$I$2:$N$11,MATCH(Notes!$B$2,Notes!$I$2:$I$11,0),5)*$D212</f>
        <v>4636354</v>
      </c>
      <c r="L212" s="22">
        <f>INDEX(Notes!$I$2:$N$11,MATCH(Notes!$B$2,Notes!$I$2:$I$11,0),6)*$E212</f>
        <v>6954531</v>
      </c>
      <c r="M212" s="22">
        <f>IF(Notes!$B$2="June",'Payment Total'!$F212,0)</f>
        <v>0</v>
      </c>
      <c r="N212" s="22">
        <f t="shared" si="12"/>
        <v>0</v>
      </c>
      <c r="P212" s="26" t="s">
        <v>1048</v>
      </c>
      <c r="Q212" s="26">
        <v>2318177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528899</v>
      </c>
      <c r="E213" s="160">
        <f>INDEX(Data[],MATCH($A213,Data[Dist],0),MATCH(E$6,Data[#Headers],0))</f>
        <v>528899</v>
      </c>
      <c r="F213" s="160">
        <f>INDEX(Data[],MATCH($A213,Data[Dist],0),MATCH(F$6,Data[#Headers],0))</f>
        <v>528900</v>
      </c>
      <c r="G213" s="22">
        <f>INDEX(Data[],MATCH($A213,Data[Dist],0),MATCH(G$6,Data[#Headers],0))</f>
        <v>4772179</v>
      </c>
      <c r="H213" s="22">
        <f>INDEX(Data[],MATCH($A213,Data[Dist],0),MATCH(H$6,Data[#Headers],0))-G213</f>
        <v>528900</v>
      </c>
      <c r="I213" s="25"/>
      <c r="J213" s="22">
        <f>INDEX(Notes!$I$2:$N$11,MATCH(Notes!$B$2,Notes!$I$2:$I$11,0),4)*$C213</f>
        <v>2127684</v>
      </c>
      <c r="K213" s="22">
        <f>INDEX(Notes!$I$2:$N$11,MATCH(Notes!$B$2,Notes!$I$2:$I$11,0),5)*$D213</f>
        <v>1057798</v>
      </c>
      <c r="L213" s="22">
        <f>INDEX(Notes!$I$2:$N$11,MATCH(Notes!$B$2,Notes!$I$2:$I$11,0),6)*$E213</f>
        <v>1586697</v>
      </c>
      <c r="M213" s="22">
        <f>IF(Notes!$B$2="June",'Payment Total'!$F213,0)</f>
        <v>0</v>
      </c>
      <c r="N213" s="22">
        <f t="shared" si="12"/>
        <v>0</v>
      </c>
      <c r="P213" s="26" t="s">
        <v>1049</v>
      </c>
      <c r="Q213" s="26">
        <v>528899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348387</v>
      </c>
      <c r="E214" s="160">
        <f>INDEX(Data[],MATCH($A214,Data[Dist],0),MATCH(E$6,Data[#Headers],0))</f>
        <v>348387</v>
      </c>
      <c r="F214" s="160">
        <f>INDEX(Data[],MATCH($A214,Data[Dist],0),MATCH(F$6,Data[#Headers],0))</f>
        <v>348386</v>
      </c>
      <c r="G214" s="22">
        <f>INDEX(Data[],MATCH($A214,Data[Dist],0),MATCH(G$6,Data[#Headers],0))</f>
        <v>3143391</v>
      </c>
      <c r="H214" s="22">
        <f>INDEX(Data[],MATCH($A214,Data[Dist],0),MATCH(H$6,Data[#Headers],0))-G214</f>
        <v>348386</v>
      </c>
      <c r="I214" s="25"/>
      <c r="J214" s="22">
        <f>INDEX(Notes!$I$2:$N$11,MATCH(Notes!$B$2,Notes!$I$2:$I$11,0),4)*$C214</f>
        <v>1401456</v>
      </c>
      <c r="K214" s="22">
        <f>INDEX(Notes!$I$2:$N$11,MATCH(Notes!$B$2,Notes!$I$2:$I$11,0),5)*$D214</f>
        <v>696774</v>
      </c>
      <c r="L214" s="22">
        <f>INDEX(Notes!$I$2:$N$11,MATCH(Notes!$B$2,Notes!$I$2:$I$11,0),6)*$E214</f>
        <v>1045161</v>
      </c>
      <c r="M214" s="22">
        <f>IF(Notes!$B$2="June",'Payment Total'!$F214,0)</f>
        <v>0</v>
      </c>
      <c r="N214" s="22">
        <f t="shared" si="12"/>
        <v>0</v>
      </c>
      <c r="P214" s="26" t="s">
        <v>1050</v>
      </c>
      <c r="Q214" s="26">
        <v>348387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815897</v>
      </c>
      <c r="E215" s="160">
        <f>INDEX(Data[],MATCH($A215,Data[Dist],0),MATCH(E$6,Data[#Headers],0))</f>
        <v>815897</v>
      </c>
      <c r="F215" s="160">
        <f>INDEX(Data[],MATCH($A215,Data[Dist],0),MATCH(F$6,Data[#Headers],0))</f>
        <v>815897</v>
      </c>
      <c r="G215" s="22">
        <f>INDEX(Data[],MATCH($A215,Data[Dist],0),MATCH(G$6,Data[#Headers],0))</f>
        <v>7360157</v>
      </c>
      <c r="H215" s="22">
        <f>INDEX(Data[],MATCH($A215,Data[Dist],0),MATCH(H$6,Data[#Headers],0))-G215</f>
        <v>815897</v>
      </c>
      <c r="I215" s="25"/>
      <c r="J215" s="22">
        <f>INDEX(Notes!$I$2:$N$11,MATCH(Notes!$B$2,Notes!$I$2:$I$11,0),4)*$C215</f>
        <v>3280672</v>
      </c>
      <c r="K215" s="22">
        <f>INDEX(Notes!$I$2:$N$11,MATCH(Notes!$B$2,Notes!$I$2:$I$11,0),5)*$D215</f>
        <v>1631794</v>
      </c>
      <c r="L215" s="22">
        <f>INDEX(Notes!$I$2:$N$11,MATCH(Notes!$B$2,Notes!$I$2:$I$11,0),6)*$E215</f>
        <v>2447691</v>
      </c>
      <c r="M215" s="22">
        <f>IF(Notes!$B$2="June",'Payment Total'!$F215,0)</f>
        <v>0</v>
      </c>
      <c r="N215" s="22">
        <f t="shared" si="12"/>
        <v>0</v>
      </c>
      <c r="P215" s="26" t="s">
        <v>1051</v>
      </c>
      <c r="Q215" s="26">
        <v>815897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304939</v>
      </c>
      <c r="E216" s="160">
        <f>INDEX(Data[],MATCH($A216,Data[Dist],0),MATCH(E$6,Data[#Headers],0))</f>
        <v>304939</v>
      </c>
      <c r="F216" s="160">
        <f>INDEX(Data[],MATCH($A216,Data[Dist],0),MATCH(F$6,Data[#Headers],0))</f>
        <v>304937</v>
      </c>
      <c r="G216" s="22">
        <f>INDEX(Data[],MATCH($A216,Data[Dist],0),MATCH(G$6,Data[#Headers],0))</f>
        <v>2751783</v>
      </c>
      <c r="H216" s="22">
        <f>INDEX(Data[],MATCH($A216,Data[Dist],0),MATCH(H$6,Data[#Headers],0))-G216</f>
        <v>304937</v>
      </c>
      <c r="I216" s="25"/>
      <c r="J216" s="22">
        <f>INDEX(Notes!$I$2:$N$11,MATCH(Notes!$B$2,Notes!$I$2:$I$11,0),4)*$C216</f>
        <v>1227088</v>
      </c>
      <c r="K216" s="22">
        <f>INDEX(Notes!$I$2:$N$11,MATCH(Notes!$B$2,Notes!$I$2:$I$11,0),5)*$D216</f>
        <v>609878</v>
      </c>
      <c r="L216" s="22">
        <f>INDEX(Notes!$I$2:$N$11,MATCH(Notes!$B$2,Notes!$I$2:$I$11,0),6)*$E216</f>
        <v>914817</v>
      </c>
      <c r="M216" s="22">
        <f>IF(Notes!$B$2="June",'Payment Total'!$F216,0)</f>
        <v>0</v>
      </c>
      <c r="N216" s="22">
        <f t="shared" si="12"/>
        <v>0</v>
      </c>
      <c r="P216" s="26" t="s">
        <v>1052</v>
      </c>
      <c r="Q216" s="26">
        <v>304939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346612</v>
      </c>
      <c r="E217" s="160">
        <f>INDEX(Data[],MATCH($A217,Data[Dist],0),MATCH(E$6,Data[#Headers],0))</f>
        <v>346612</v>
      </c>
      <c r="F217" s="160">
        <f>INDEX(Data[],MATCH($A217,Data[Dist],0),MATCH(F$6,Data[#Headers],0))</f>
        <v>346611</v>
      </c>
      <c r="G217" s="22">
        <f>INDEX(Data[],MATCH($A217,Data[Dist],0),MATCH(G$6,Data[#Headers],0))</f>
        <v>3127868</v>
      </c>
      <c r="H217" s="22">
        <f>INDEX(Data[],MATCH($A217,Data[Dist],0),MATCH(H$6,Data[#Headers],0))-G217</f>
        <v>346611</v>
      </c>
      <c r="I217" s="25"/>
      <c r="J217" s="22">
        <f>INDEX(Notes!$I$2:$N$11,MATCH(Notes!$B$2,Notes!$I$2:$I$11,0),4)*$C217</f>
        <v>1394808</v>
      </c>
      <c r="K217" s="22">
        <f>INDEX(Notes!$I$2:$N$11,MATCH(Notes!$B$2,Notes!$I$2:$I$11,0),5)*$D217</f>
        <v>693224</v>
      </c>
      <c r="L217" s="22">
        <f>INDEX(Notes!$I$2:$N$11,MATCH(Notes!$B$2,Notes!$I$2:$I$11,0),6)*$E217</f>
        <v>1039836</v>
      </c>
      <c r="M217" s="22">
        <f>IF(Notes!$B$2="June",'Payment Total'!$F217,0)</f>
        <v>0</v>
      </c>
      <c r="N217" s="22">
        <f t="shared" si="12"/>
        <v>0</v>
      </c>
      <c r="P217" s="26" t="s">
        <v>1053</v>
      </c>
      <c r="Q217" s="26">
        <v>346612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73610</v>
      </c>
      <c r="E218" s="160">
        <f>INDEX(Data[],MATCH($A218,Data[Dist],0),MATCH(E$6,Data[#Headers],0))</f>
        <v>73610</v>
      </c>
      <c r="F218" s="160">
        <f>INDEX(Data[],MATCH($A218,Data[Dist],0),MATCH(F$6,Data[#Headers],0))</f>
        <v>73611</v>
      </c>
      <c r="G218" s="22">
        <f>INDEX(Data[],MATCH($A218,Data[Dist],0),MATCH(G$6,Data[#Headers],0))</f>
        <v>666042</v>
      </c>
      <c r="H218" s="22">
        <f>INDEX(Data[],MATCH($A218,Data[Dist],0),MATCH(H$6,Data[#Headers],0))-G218</f>
        <v>73611</v>
      </c>
      <c r="I218" s="25"/>
      <c r="J218" s="22">
        <f>INDEX(Notes!$I$2:$N$11,MATCH(Notes!$B$2,Notes!$I$2:$I$11,0),4)*$C218</f>
        <v>297992</v>
      </c>
      <c r="K218" s="22">
        <f>INDEX(Notes!$I$2:$N$11,MATCH(Notes!$B$2,Notes!$I$2:$I$11,0),5)*$D218</f>
        <v>147220</v>
      </c>
      <c r="L218" s="22">
        <f>INDEX(Notes!$I$2:$N$11,MATCH(Notes!$B$2,Notes!$I$2:$I$11,0),6)*$E218</f>
        <v>220830</v>
      </c>
      <c r="M218" s="22">
        <f>IF(Notes!$B$2="June",'Payment Total'!$F218,0)</f>
        <v>0</v>
      </c>
      <c r="N218" s="22">
        <f t="shared" si="12"/>
        <v>0</v>
      </c>
      <c r="P218" s="26" t="s">
        <v>1054</v>
      </c>
      <c r="Q218" s="26">
        <v>73610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1502998</v>
      </c>
      <c r="E219" s="160">
        <f>INDEX(Data[],MATCH($A219,Data[Dist],0),MATCH(E$6,Data[#Headers],0))</f>
        <v>1502998</v>
      </c>
      <c r="F219" s="160">
        <f>INDEX(Data[],MATCH($A219,Data[Dist],0),MATCH(F$6,Data[#Headers],0))</f>
        <v>1502999</v>
      </c>
      <c r="G219" s="22">
        <f>INDEX(Data[],MATCH($A219,Data[Dist],0),MATCH(G$6,Data[#Headers],0))</f>
        <v>13558402</v>
      </c>
      <c r="H219" s="22">
        <f>INDEX(Data[],MATCH($A219,Data[Dist],0),MATCH(H$6,Data[#Headers],0))-G219</f>
        <v>1502999</v>
      </c>
      <c r="I219" s="25"/>
      <c r="J219" s="22">
        <f>INDEX(Notes!$I$2:$N$11,MATCH(Notes!$B$2,Notes!$I$2:$I$11,0),4)*$C219</f>
        <v>6043412</v>
      </c>
      <c r="K219" s="22">
        <f>INDEX(Notes!$I$2:$N$11,MATCH(Notes!$B$2,Notes!$I$2:$I$11,0),5)*$D219</f>
        <v>3005996</v>
      </c>
      <c r="L219" s="22">
        <f>INDEX(Notes!$I$2:$N$11,MATCH(Notes!$B$2,Notes!$I$2:$I$11,0),6)*$E219</f>
        <v>4508994</v>
      </c>
      <c r="M219" s="22">
        <f>IF(Notes!$B$2="June",'Payment Total'!$F219,0)</f>
        <v>0</v>
      </c>
      <c r="N219" s="22">
        <f t="shared" si="12"/>
        <v>0</v>
      </c>
      <c r="P219" s="26" t="s">
        <v>1055</v>
      </c>
      <c r="Q219" s="26">
        <v>1502998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2042343</v>
      </c>
      <c r="E220" s="160">
        <f>INDEX(Data[],MATCH($A220,Data[Dist],0),MATCH(E$6,Data[#Headers],0))</f>
        <v>2042342</v>
      </c>
      <c r="F220" s="160">
        <f>INDEX(Data[],MATCH($A220,Data[Dist],0),MATCH(F$6,Data[#Headers],0))</f>
        <v>2042343</v>
      </c>
      <c r="G220" s="22">
        <f>INDEX(Data[],MATCH($A220,Data[Dist],0),MATCH(G$6,Data[#Headers],0))</f>
        <v>18427584</v>
      </c>
      <c r="H220" s="22">
        <f>INDEX(Data[],MATCH($A220,Data[Dist],0),MATCH(H$6,Data[#Headers],0))-G220</f>
        <v>2042343</v>
      </c>
      <c r="I220" s="25"/>
      <c r="J220" s="22">
        <f>INDEX(Notes!$I$2:$N$11,MATCH(Notes!$B$2,Notes!$I$2:$I$11,0),4)*$C220</f>
        <v>8215872</v>
      </c>
      <c r="K220" s="22">
        <f>INDEX(Notes!$I$2:$N$11,MATCH(Notes!$B$2,Notes!$I$2:$I$11,0),5)*$D220</f>
        <v>4084686</v>
      </c>
      <c r="L220" s="22">
        <f>INDEX(Notes!$I$2:$N$11,MATCH(Notes!$B$2,Notes!$I$2:$I$11,0),6)*$E220</f>
        <v>6127026</v>
      </c>
      <c r="M220" s="22">
        <f>IF(Notes!$B$2="June",'Payment Total'!$F220,0)</f>
        <v>0</v>
      </c>
      <c r="N220" s="22">
        <f t="shared" si="12"/>
        <v>0</v>
      </c>
      <c r="P220" s="26" t="s">
        <v>1056</v>
      </c>
      <c r="Q220" s="26">
        <v>2042342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269747</v>
      </c>
      <c r="E221" s="160">
        <f>INDEX(Data[],MATCH($A221,Data[Dist],0),MATCH(E$6,Data[#Headers],0))</f>
        <v>269748</v>
      </c>
      <c r="F221" s="160">
        <f>INDEX(Data[],MATCH($A221,Data[Dist],0),MATCH(F$6,Data[#Headers],0))</f>
        <v>269746</v>
      </c>
      <c r="G221" s="22">
        <f>INDEX(Data[],MATCH($A221,Data[Dist],0),MATCH(G$6,Data[#Headers],0))</f>
        <v>2434530</v>
      </c>
      <c r="H221" s="22">
        <f>INDEX(Data[],MATCH($A221,Data[Dist],0),MATCH(H$6,Data[#Headers],0))-G221</f>
        <v>269746</v>
      </c>
      <c r="I221" s="25"/>
      <c r="J221" s="22">
        <f>INDEX(Notes!$I$2:$N$11,MATCH(Notes!$B$2,Notes!$I$2:$I$11,0),4)*$C221</f>
        <v>1085792</v>
      </c>
      <c r="K221" s="22">
        <f>INDEX(Notes!$I$2:$N$11,MATCH(Notes!$B$2,Notes!$I$2:$I$11,0),5)*$D221</f>
        <v>539494</v>
      </c>
      <c r="L221" s="22">
        <f>INDEX(Notes!$I$2:$N$11,MATCH(Notes!$B$2,Notes!$I$2:$I$11,0),6)*$E221</f>
        <v>809244</v>
      </c>
      <c r="M221" s="22">
        <f>IF(Notes!$B$2="June",'Payment Total'!$F221,0)</f>
        <v>0</v>
      </c>
      <c r="N221" s="22">
        <f t="shared" si="12"/>
        <v>0</v>
      </c>
      <c r="P221" s="26" t="s">
        <v>1057</v>
      </c>
      <c r="Q221" s="26">
        <v>269748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335080</v>
      </c>
      <c r="E222" s="160">
        <f>INDEX(Data[],MATCH($A222,Data[Dist],0),MATCH(E$6,Data[#Headers],0))</f>
        <v>335080</v>
      </c>
      <c r="F222" s="160">
        <f>INDEX(Data[],MATCH($A222,Data[Dist],0),MATCH(F$6,Data[#Headers],0))</f>
        <v>335078</v>
      </c>
      <c r="G222" s="22">
        <f>INDEX(Data[],MATCH($A222,Data[Dist],0),MATCH(G$6,Data[#Headers],0))</f>
        <v>3023392</v>
      </c>
      <c r="H222" s="22">
        <f>INDEX(Data[],MATCH($A222,Data[Dist],0),MATCH(H$6,Data[#Headers],0))-G222</f>
        <v>335078</v>
      </c>
      <c r="I222" s="25"/>
      <c r="J222" s="22">
        <f>INDEX(Notes!$I$2:$N$11,MATCH(Notes!$B$2,Notes!$I$2:$I$11,0),4)*$C222</f>
        <v>1347992</v>
      </c>
      <c r="K222" s="22">
        <f>INDEX(Notes!$I$2:$N$11,MATCH(Notes!$B$2,Notes!$I$2:$I$11,0),5)*$D222</f>
        <v>670160</v>
      </c>
      <c r="L222" s="22">
        <f>INDEX(Notes!$I$2:$N$11,MATCH(Notes!$B$2,Notes!$I$2:$I$11,0),6)*$E222</f>
        <v>1005240</v>
      </c>
      <c r="M222" s="22">
        <f>IF(Notes!$B$2="June",'Payment Total'!$F222,0)</f>
        <v>0</v>
      </c>
      <c r="N222" s="22">
        <f t="shared" si="12"/>
        <v>0</v>
      </c>
      <c r="P222" s="26" t="s">
        <v>1058</v>
      </c>
      <c r="Q222" s="26">
        <v>335080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2681474</v>
      </c>
      <c r="E223" s="160">
        <f>INDEX(Data[],MATCH($A223,Data[Dist],0),MATCH(E$6,Data[#Headers],0))</f>
        <v>2681474</v>
      </c>
      <c r="F223" s="160">
        <f>INDEX(Data[],MATCH($A223,Data[Dist],0),MATCH(F$6,Data[#Headers],0))</f>
        <v>2681475</v>
      </c>
      <c r="G223" s="22">
        <f>INDEX(Data[],MATCH($A223,Data[Dist],0),MATCH(G$6,Data[#Headers],0))</f>
        <v>24184690</v>
      </c>
      <c r="H223" s="22">
        <f>INDEX(Data[],MATCH($A223,Data[Dist],0),MATCH(H$6,Data[#Headers],0))-G223</f>
        <v>2681475</v>
      </c>
      <c r="I223" s="25"/>
      <c r="J223" s="22">
        <f>INDEX(Notes!$I$2:$N$11,MATCH(Notes!$B$2,Notes!$I$2:$I$11,0),4)*$C223</f>
        <v>10777320</v>
      </c>
      <c r="K223" s="22">
        <f>INDEX(Notes!$I$2:$N$11,MATCH(Notes!$B$2,Notes!$I$2:$I$11,0),5)*$D223</f>
        <v>5362948</v>
      </c>
      <c r="L223" s="22">
        <f>INDEX(Notes!$I$2:$N$11,MATCH(Notes!$B$2,Notes!$I$2:$I$11,0),6)*$E223</f>
        <v>8044422</v>
      </c>
      <c r="M223" s="22">
        <f>IF(Notes!$B$2="June",'Payment Total'!$F223,0)</f>
        <v>0</v>
      </c>
      <c r="N223" s="22">
        <f t="shared" si="12"/>
        <v>0</v>
      </c>
      <c r="P223" s="26" t="s">
        <v>1059</v>
      </c>
      <c r="Q223" s="26">
        <v>2681474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442802</v>
      </c>
      <c r="E224" s="160">
        <f>INDEX(Data[],MATCH($A224,Data[Dist],0),MATCH(E$6,Data[#Headers],0))</f>
        <v>442801</v>
      </c>
      <c r="F224" s="160">
        <f>INDEX(Data[],MATCH($A224,Data[Dist],0),MATCH(F$6,Data[#Headers],0))</f>
        <v>442802</v>
      </c>
      <c r="G224" s="22">
        <f>INDEX(Data[],MATCH($A224,Data[Dist],0),MATCH(G$6,Data[#Headers],0))</f>
        <v>3995963</v>
      </c>
      <c r="H224" s="22">
        <f>INDEX(Data[],MATCH($A224,Data[Dist],0),MATCH(H$6,Data[#Headers],0))-G224</f>
        <v>442802</v>
      </c>
      <c r="I224" s="25"/>
      <c r="J224" s="22">
        <f>INDEX(Notes!$I$2:$N$11,MATCH(Notes!$B$2,Notes!$I$2:$I$11,0),4)*$C224</f>
        <v>1781956</v>
      </c>
      <c r="K224" s="22">
        <f>INDEX(Notes!$I$2:$N$11,MATCH(Notes!$B$2,Notes!$I$2:$I$11,0),5)*$D224</f>
        <v>885604</v>
      </c>
      <c r="L224" s="22">
        <f>INDEX(Notes!$I$2:$N$11,MATCH(Notes!$B$2,Notes!$I$2:$I$11,0),6)*$E224</f>
        <v>1328403</v>
      </c>
      <c r="M224" s="22">
        <f>IF(Notes!$B$2="June",'Payment Total'!$F224,0)</f>
        <v>0</v>
      </c>
      <c r="N224" s="22">
        <f t="shared" si="12"/>
        <v>0</v>
      </c>
      <c r="P224" s="26" t="s">
        <v>1060</v>
      </c>
      <c r="Q224" s="26">
        <v>442801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541876</v>
      </c>
      <c r="E225" s="160">
        <f>INDEX(Data[],MATCH($A225,Data[Dist],0),MATCH(E$6,Data[#Headers],0))</f>
        <v>541877</v>
      </c>
      <c r="F225" s="160">
        <f>INDEX(Data[],MATCH($A225,Data[Dist],0),MATCH(F$6,Data[#Headers],0))</f>
        <v>541875</v>
      </c>
      <c r="G225" s="22">
        <f>INDEX(Data[],MATCH($A225,Data[Dist],0),MATCH(G$6,Data[#Headers],0))</f>
        <v>4890779</v>
      </c>
      <c r="H225" s="22">
        <f>INDEX(Data[],MATCH($A225,Data[Dist],0),MATCH(H$6,Data[#Headers],0))-G225</f>
        <v>541875</v>
      </c>
      <c r="I225" s="25"/>
      <c r="J225" s="22">
        <f>INDEX(Notes!$I$2:$N$11,MATCH(Notes!$B$2,Notes!$I$2:$I$11,0),4)*$C225</f>
        <v>2181396</v>
      </c>
      <c r="K225" s="22">
        <f>INDEX(Notes!$I$2:$N$11,MATCH(Notes!$B$2,Notes!$I$2:$I$11,0),5)*$D225</f>
        <v>1083752</v>
      </c>
      <c r="L225" s="22">
        <f>INDEX(Notes!$I$2:$N$11,MATCH(Notes!$B$2,Notes!$I$2:$I$11,0),6)*$E225</f>
        <v>1625631</v>
      </c>
      <c r="M225" s="22">
        <f>IF(Notes!$B$2="June",'Payment Total'!$F225,0)</f>
        <v>0</v>
      </c>
      <c r="N225" s="22">
        <f t="shared" si="12"/>
        <v>0</v>
      </c>
      <c r="P225" s="26" t="s">
        <v>1061</v>
      </c>
      <c r="Q225" s="26">
        <v>541877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1097714</v>
      </c>
      <c r="E226" s="160">
        <f>INDEX(Data[],MATCH($A226,Data[Dist],0),MATCH(E$6,Data[#Headers],0))</f>
        <v>1097714</v>
      </c>
      <c r="F226" s="160">
        <f>INDEX(Data[],MATCH($A226,Data[Dist],0),MATCH(F$6,Data[#Headers],0))</f>
        <v>1097713</v>
      </c>
      <c r="G226" s="22">
        <f>INDEX(Data[],MATCH($A226,Data[Dist],0),MATCH(G$6,Data[#Headers],0))</f>
        <v>9899330</v>
      </c>
      <c r="H226" s="22">
        <f>INDEX(Data[],MATCH($A226,Data[Dist],0),MATCH(H$6,Data[#Headers],0))-G226</f>
        <v>1097713</v>
      </c>
      <c r="I226" s="25"/>
      <c r="J226" s="22">
        <f>INDEX(Notes!$I$2:$N$11,MATCH(Notes!$B$2,Notes!$I$2:$I$11,0),4)*$C226</f>
        <v>4410760</v>
      </c>
      <c r="K226" s="22">
        <f>INDEX(Notes!$I$2:$N$11,MATCH(Notes!$B$2,Notes!$I$2:$I$11,0),5)*$D226</f>
        <v>2195428</v>
      </c>
      <c r="L226" s="22">
        <f>INDEX(Notes!$I$2:$N$11,MATCH(Notes!$B$2,Notes!$I$2:$I$11,0),6)*$E226</f>
        <v>3293142</v>
      </c>
      <c r="M226" s="22">
        <f>IF(Notes!$B$2="June",'Payment Total'!$F226,0)</f>
        <v>0</v>
      </c>
      <c r="N226" s="22">
        <f t="shared" si="12"/>
        <v>0</v>
      </c>
      <c r="P226" s="26" t="s">
        <v>1062</v>
      </c>
      <c r="Q226" s="26">
        <v>1097714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331408</v>
      </c>
      <c r="E227" s="160">
        <f>INDEX(Data[],MATCH($A227,Data[Dist],0),MATCH(E$6,Data[#Headers],0))</f>
        <v>331409</v>
      </c>
      <c r="F227" s="160">
        <f>INDEX(Data[],MATCH($A227,Data[Dist],0),MATCH(F$6,Data[#Headers],0))</f>
        <v>331407</v>
      </c>
      <c r="G227" s="22">
        <f>INDEX(Data[],MATCH($A227,Data[Dist],0),MATCH(G$6,Data[#Headers],0))</f>
        <v>2991531</v>
      </c>
      <c r="H227" s="22">
        <f>INDEX(Data[],MATCH($A227,Data[Dist],0),MATCH(H$6,Data[#Headers],0))-G227</f>
        <v>331407</v>
      </c>
      <c r="I227" s="25"/>
      <c r="J227" s="22">
        <f>INDEX(Notes!$I$2:$N$11,MATCH(Notes!$B$2,Notes!$I$2:$I$11,0),4)*$C227</f>
        <v>1334488</v>
      </c>
      <c r="K227" s="22">
        <f>INDEX(Notes!$I$2:$N$11,MATCH(Notes!$B$2,Notes!$I$2:$I$11,0),5)*$D227</f>
        <v>662816</v>
      </c>
      <c r="L227" s="22">
        <f>INDEX(Notes!$I$2:$N$11,MATCH(Notes!$B$2,Notes!$I$2:$I$11,0),6)*$E227</f>
        <v>994227</v>
      </c>
      <c r="M227" s="22">
        <f>IF(Notes!$B$2="June",'Payment Total'!$F227,0)</f>
        <v>0</v>
      </c>
      <c r="N227" s="22">
        <f t="shared" si="12"/>
        <v>0</v>
      </c>
      <c r="P227" s="26" t="s">
        <v>1063</v>
      </c>
      <c r="Q227" s="26">
        <v>331409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78193</v>
      </c>
      <c r="E228" s="160">
        <f>INDEX(Data[],MATCH($A228,Data[Dist],0),MATCH(E$6,Data[#Headers],0))</f>
        <v>78192</v>
      </c>
      <c r="F228" s="160">
        <f>INDEX(Data[],MATCH($A228,Data[Dist],0),MATCH(F$6,Data[#Headers],0))</f>
        <v>78193</v>
      </c>
      <c r="G228" s="22">
        <f>INDEX(Data[],MATCH($A228,Data[Dist],0),MATCH(G$6,Data[#Headers],0))</f>
        <v>719734</v>
      </c>
      <c r="H228" s="22">
        <f>INDEX(Data[],MATCH($A228,Data[Dist],0),MATCH(H$6,Data[#Headers],0))-G228</f>
        <v>78193</v>
      </c>
      <c r="I228" s="25"/>
      <c r="J228" s="22">
        <f>INDEX(Notes!$I$2:$N$11,MATCH(Notes!$B$2,Notes!$I$2:$I$11,0),4)*$C228</f>
        <v>328772</v>
      </c>
      <c r="K228" s="22">
        <f>INDEX(Notes!$I$2:$N$11,MATCH(Notes!$B$2,Notes!$I$2:$I$11,0),5)*$D228</f>
        <v>156386</v>
      </c>
      <c r="L228" s="22">
        <f>INDEX(Notes!$I$2:$N$11,MATCH(Notes!$B$2,Notes!$I$2:$I$11,0),6)*$E228</f>
        <v>234576</v>
      </c>
      <c r="M228" s="22">
        <f>IF(Notes!$B$2="June",'Payment Total'!$F228,0)</f>
        <v>0</v>
      </c>
      <c r="N228" s="22">
        <f t="shared" si="12"/>
        <v>0</v>
      </c>
      <c r="P228" s="26" t="s">
        <v>1064</v>
      </c>
      <c r="Q228" s="26">
        <v>78192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146324</v>
      </c>
      <c r="E229" s="160">
        <f>INDEX(Data[],MATCH($A229,Data[Dist],0),MATCH(E$6,Data[#Headers],0))</f>
        <v>146324</v>
      </c>
      <c r="F229" s="160">
        <f>INDEX(Data[],MATCH($A229,Data[Dist],0),MATCH(F$6,Data[#Headers],0))</f>
        <v>146323</v>
      </c>
      <c r="G229" s="22">
        <f>INDEX(Data[],MATCH($A229,Data[Dist],0),MATCH(G$6,Data[#Headers],0))</f>
        <v>1320148</v>
      </c>
      <c r="H229" s="22">
        <f>INDEX(Data[],MATCH($A229,Data[Dist],0),MATCH(H$6,Data[#Headers],0))-G229</f>
        <v>146323</v>
      </c>
      <c r="I229" s="25"/>
      <c r="J229" s="22">
        <f>INDEX(Notes!$I$2:$N$11,MATCH(Notes!$B$2,Notes!$I$2:$I$11,0),4)*$C229</f>
        <v>588528</v>
      </c>
      <c r="K229" s="22">
        <f>INDEX(Notes!$I$2:$N$11,MATCH(Notes!$B$2,Notes!$I$2:$I$11,0),5)*$D229</f>
        <v>292648</v>
      </c>
      <c r="L229" s="22">
        <f>INDEX(Notes!$I$2:$N$11,MATCH(Notes!$B$2,Notes!$I$2:$I$11,0),6)*$E229</f>
        <v>438972</v>
      </c>
      <c r="M229" s="22">
        <f>IF(Notes!$B$2="June",'Payment Total'!$F229,0)</f>
        <v>0</v>
      </c>
      <c r="N229" s="22">
        <f t="shared" si="12"/>
        <v>0</v>
      </c>
      <c r="P229" s="26" t="s">
        <v>1065</v>
      </c>
      <c r="Q229" s="26">
        <v>146324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80211</v>
      </c>
      <c r="E230" s="160">
        <f>INDEX(Data[],MATCH($A230,Data[Dist],0),MATCH(E$6,Data[#Headers],0))</f>
        <v>80211</v>
      </c>
      <c r="F230" s="160">
        <f>INDEX(Data[],MATCH($A230,Data[Dist],0),MATCH(F$6,Data[#Headers],0))</f>
        <v>80212</v>
      </c>
      <c r="G230" s="22">
        <f>INDEX(Data[],MATCH($A230,Data[Dist],0),MATCH(G$6,Data[#Headers],0))</f>
        <v>724571</v>
      </c>
      <c r="H230" s="22">
        <f>INDEX(Data[],MATCH($A230,Data[Dist],0),MATCH(H$6,Data[#Headers],0))-G230</f>
        <v>80212</v>
      </c>
      <c r="I230" s="25"/>
      <c r="J230" s="22">
        <f>INDEX(Notes!$I$2:$N$11,MATCH(Notes!$B$2,Notes!$I$2:$I$11,0),4)*$C230</f>
        <v>323516</v>
      </c>
      <c r="K230" s="22">
        <f>INDEX(Notes!$I$2:$N$11,MATCH(Notes!$B$2,Notes!$I$2:$I$11,0),5)*$D230</f>
        <v>160422</v>
      </c>
      <c r="L230" s="22">
        <f>INDEX(Notes!$I$2:$N$11,MATCH(Notes!$B$2,Notes!$I$2:$I$11,0),6)*$E230</f>
        <v>240633</v>
      </c>
      <c r="M230" s="22">
        <f>IF(Notes!$B$2="June",'Payment Total'!$F230,0)</f>
        <v>0</v>
      </c>
      <c r="N230" s="22">
        <f t="shared" si="12"/>
        <v>0</v>
      </c>
      <c r="P230" s="26" t="s">
        <v>1066</v>
      </c>
      <c r="Q230" s="26">
        <v>80211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588585</v>
      </c>
      <c r="E231" s="160">
        <f>INDEX(Data[],MATCH($A231,Data[Dist],0),MATCH(E$6,Data[#Headers],0))</f>
        <v>588585</v>
      </c>
      <c r="F231" s="160">
        <f>INDEX(Data[],MATCH($A231,Data[Dist],0),MATCH(F$6,Data[#Headers],0))</f>
        <v>588584</v>
      </c>
      <c r="G231" s="22">
        <f>INDEX(Data[],MATCH($A231,Data[Dist],0),MATCH(G$6,Data[#Headers],0))</f>
        <v>5310669</v>
      </c>
      <c r="H231" s="22">
        <f>INDEX(Data[],MATCH($A231,Data[Dist],0),MATCH(H$6,Data[#Headers],0))-G231</f>
        <v>588584</v>
      </c>
      <c r="I231" s="25"/>
      <c r="J231" s="22">
        <f>INDEX(Notes!$I$2:$N$11,MATCH(Notes!$B$2,Notes!$I$2:$I$11,0),4)*$C231</f>
        <v>2367744</v>
      </c>
      <c r="K231" s="22">
        <f>INDEX(Notes!$I$2:$N$11,MATCH(Notes!$B$2,Notes!$I$2:$I$11,0),5)*$D231</f>
        <v>1177170</v>
      </c>
      <c r="L231" s="22">
        <f>INDEX(Notes!$I$2:$N$11,MATCH(Notes!$B$2,Notes!$I$2:$I$11,0),6)*$E231</f>
        <v>1765755</v>
      </c>
      <c r="M231" s="22">
        <f>IF(Notes!$B$2="June",'Payment Total'!$F231,0)</f>
        <v>0</v>
      </c>
      <c r="N231" s="22">
        <f t="shared" si="12"/>
        <v>0</v>
      </c>
      <c r="P231" s="26" t="s">
        <v>1067</v>
      </c>
      <c r="Q231" s="26">
        <v>588585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1692263</v>
      </c>
      <c r="E232" s="160">
        <f>INDEX(Data[],MATCH($A232,Data[Dist],0),MATCH(E$6,Data[#Headers],0))</f>
        <v>1692263</v>
      </c>
      <c r="F232" s="160">
        <f>INDEX(Data[],MATCH($A232,Data[Dist],0),MATCH(F$6,Data[#Headers],0))</f>
        <v>1692264</v>
      </c>
      <c r="G232" s="22">
        <f>INDEX(Data[],MATCH($A232,Data[Dist],0),MATCH(G$6,Data[#Headers],0))</f>
        <v>15264215</v>
      </c>
      <c r="H232" s="22">
        <f>INDEX(Data[],MATCH($A232,Data[Dist],0),MATCH(H$6,Data[#Headers],0))-G232</f>
        <v>1692264</v>
      </c>
      <c r="I232" s="25"/>
      <c r="J232" s="22">
        <f>INDEX(Notes!$I$2:$N$11,MATCH(Notes!$B$2,Notes!$I$2:$I$11,0),4)*$C232</f>
        <v>6802900</v>
      </c>
      <c r="K232" s="22">
        <f>INDEX(Notes!$I$2:$N$11,MATCH(Notes!$B$2,Notes!$I$2:$I$11,0),5)*$D232</f>
        <v>3384526</v>
      </c>
      <c r="L232" s="22">
        <f>INDEX(Notes!$I$2:$N$11,MATCH(Notes!$B$2,Notes!$I$2:$I$11,0),6)*$E232</f>
        <v>5076789</v>
      </c>
      <c r="M232" s="22">
        <f>IF(Notes!$B$2="June",'Payment Total'!$F232,0)</f>
        <v>0</v>
      </c>
      <c r="N232" s="22">
        <f t="shared" si="12"/>
        <v>0</v>
      </c>
      <c r="P232" s="26" t="s">
        <v>1068</v>
      </c>
      <c r="Q232" s="26">
        <v>1692263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4469980</v>
      </c>
      <c r="E233" s="160">
        <f>INDEX(Data[],MATCH($A233,Data[Dist],0),MATCH(E$6,Data[#Headers],0))</f>
        <v>4469980</v>
      </c>
      <c r="F233" s="160">
        <f>INDEX(Data[],MATCH($A233,Data[Dist],0),MATCH(F$6,Data[#Headers],0))</f>
        <v>4469981</v>
      </c>
      <c r="G233" s="22">
        <f>INDEX(Data[],MATCH($A233,Data[Dist],0),MATCH(G$6,Data[#Headers],0))</f>
        <v>40305892</v>
      </c>
      <c r="H233" s="22">
        <f>INDEX(Data[],MATCH($A233,Data[Dist],0),MATCH(H$6,Data[#Headers],0))-G233</f>
        <v>4469981</v>
      </c>
      <c r="I233" s="25"/>
      <c r="J233" s="22">
        <f>INDEX(Notes!$I$2:$N$11,MATCH(Notes!$B$2,Notes!$I$2:$I$11,0),4)*$C233</f>
        <v>17955992</v>
      </c>
      <c r="K233" s="22">
        <f>INDEX(Notes!$I$2:$N$11,MATCH(Notes!$B$2,Notes!$I$2:$I$11,0),5)*$D233</f>
        <v>8939960</v>
      </c>
      <c r="L233" s="22">
        <f>INDEX(Notes!$I$2:$N$11,MATCH(Notes!$B$2,Notes!$I$2:$I$11,0),6)*$E233</f>
        <v>13409940</v>
      </c>
      <c r="M233" s="22">
        <f>IF(Notes!$B$2="June",'Payment Total'!$F233,0)</f>
        <v>0</v>
      </c>
      <c r="N233" s="22">
        <f t="shared" si="12"/>
        <v>0</v>
      </c>
      <c r="P233" s="26" t="s">
        <v>1069</v>
      </c>
      <c r="Q233" s="26">
        <v>4469980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353899</v>
      </c>
      <c r="E234" s="160">
        <f>INDEX(Data[],MATCH($A234,Data[Dist],0),MATCH(E$6,Data[#Headers],0))</f>
        <v>353899</v>
      </c>
      <c r="F234" s="160">
        <f>INDEX(Data[],MATCH($A234,Data[Dist],0),MATCH(F$6,Data[#Headers],0))</f>
        <v>353899</v>
      </c>
      <c r="G234" s="22">
        <f>INDEX(Data[],MATCH($A234,Data[Dist],0),MATCH(G$6,Data[#Headers],0))</f>
        <v>3194743</v>
      </c>
      <c r="H234" s="22">
        <f>INDEX(Data[],MATCH($A234,Data[Dist],0),MATCH(H$6,Data[#Headers],0))-G234</f>
        <v>353899</v>
      </c>
      <c r="I234" s="25"/>
      <c r="J234" s="22">
        <f>INDEX(Notes!$I$2:$N$11,MATCH(Notes!$B$2,Notes!$I$2:$I$11,0),4)*$C234</f>
        <v>1425248</v>
      </c>
      <c r="K234" s="22">
        <f>INDEX(Notes!$I$2:$N$11,MATCH(Notes!$B$2,Notes!$I$2:$I$11,0),5)*$D234</f>
        <v>707798</v>
      </c>
      <c r="L234" s="22">
        <f>INDEX(Notes!$I$2:$N$11,MATCH(Notes!$B$2,Notes!$I$2:$I$11,0),6)*$E234</f>
        <v>1061697</v>
      </c>
      <c r="M234" s="22">
        <f>IF(Notes!$B$2="June",'Payment Total'!$F234,0)</f>
        <v>0</v>
      </c>
      <c r="N234" s="22">
        <f t="shared" si="12"/>
        <v>0</v>
      </c>
      <c r="P234" s="26" t="s">
        <v>1070</v>
      </c>
      <c r="Q234" s="26">
        <v>353899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100288</v>
      </c>
      <c r="E235" s="160">
        <f>INDEX(Data[],MATCH($A235,Data[Dist],0),MATCH(E$6,Data[#Headers],0))</f>
        <v>100288</v>
      </c>
      <c r="F235" s="160">
        <f>INDEX(Data[],MATCH($A235,Data[Dist],0),MATCH(F$6,Data[#Headers],0))</f>
        <v>100287</v>
      </c>
      <c r="G235" s="22">
        <f>INDEX(Data[],MATCH($A235,Data[Dist],0),MATCH(G$6,Data[#Headers],0))</f>
        <v>905392</v>
      </c>
      <c r="H235" s="22">
        <f>INDEX(Data[],MATCH($A235,Data[Dist],0),MATCH(H$6,Data[#Headers],0))-G235</f>
        <v>100287</v>
      </c>
      <c r="I235" s="25"/>
      <c r="J235" s="22">
        <f>INDEX(Notes!$I$2:$N$11,MATCH(Notes!$B$2,Notes!$I$2:$I$11,0),4)*$C235</f>
        <v>403952</v>
      </c>
      <c r="K235" s="22">
        <f>INDEX(Notes!$I$2:$N$11,MATCH(Notes!$B$2,Notes!$I$2:$I$11,0),5)*$D235</f>
        <v>200576</v>
      </c>
      <c r="L235" s="22">
        <f>INDEX(Notes!$I$2:$N$11,MATCH(Notes!$B$2,Notes!$I$2:$I$11,0),6)*$E235</f>
        <v>300864</v>
      </c>
      <c r="M235" s="22">
        <f>IF(Notes!$B$2="June",'Payment Total'!$F235,0)</f>
        <v>0</v>
      </c>
      <c r="N235" s="22">
        <f t="shared" si="12"/>
        <v>0</v>
      </c>
      <c r="P235" s="26" t="s">
        <v>1071</v>
      </c>
      <c r="Q235" s="26">
        <v>100288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175033</v>
      </c>
      <c r="E236" s="160">
        <f>INDEX(Data[],MATCH($A236,Data[Dist],0),MATCH(E$6,Data[#Headers],0))</f>
        <v>175033</v>
      </c>
      <c r="F236" s="160">
        <f>INDEX(Data[],MATCH($A236,Data[Dist],0),MATCH(F$6,Data[#Headers],0))</f>
        <v>175033</v>
      </c>
      <c r="G236" s="22">
        <f>INDEX(Data[],MATCH($A236,Data[Dist],0),MATCH(G$6,Data[#Headers],0))</f>
        <v>1583725</v>
      </c>
      <c r="H236" s="22">
        <f>INDEX(Data[],MATCH($A236,Data[Dist],0),MATCH(H$6,Data[#Headers],0))-G236</f>
        <v>175033</v>
      </c>
      <c r="I236" s="25"/>
      <c r="J236" s="22">
        <f>INDEX(Notes!$I$2:$N$11,MATCH(Notes!$B$2,Notes!$I$2:$I$11,0),4)*$C236</f>
        <v>708560</v>
      </c>
      <c r="K236" s="22">
        <f>INDEX(Notes!$I$2:$N$11,MATCH(Notes!$B$2,Notes!$I$2:$I$11,0),5)*$D236</f>
        <v>350066</v>
      </c>
      <c r="L236" s="22">
        <f>INDEX(Notes!$I$2:$N$11,MATCH(Notes!$B$2,Notes!$I$2:$I$11,0),6)*$E236</f>
        <v>525099</v>
      </c>
      <c r="M236" s="22">
        <f>IF(Notes!$B$2="June",'Payment Total'!$F236,0)</f>
        <v>0</v>
      </c>
      <c r="N236" s="22">
        <f t="shared" si="12"/>
        <v>0</v>
      </c>
      <c r="P236" s="26" t="s">
        <v>1072</v>
      </c>
      <c r="Q236" s="26">
        <v>175033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326081</v>
      </c>
      <c r="E237" s="160">
        <f>INDEX(Data[],MATCH($A237,Data[Dist],0),MATCH(E$6,Data[#Headers],0))</f>
        <v>326081</v>
      </c>
      <c r="F237" s="160">
        <f>INDEX(Data[],MATCH($A237,Data[Dist],0),MATCH(F$6,Data[#Headers],0))</f>
        <v>326082</v>
      </c>
      <c r="G237" s="22">
        <f>INDEX(Data[],MATCH($A237,Data[Dist],0),MATCH(G$6,Data[#Headers],0))</f>
        <v>2942973</v>
      </c>
      <c r="H237" s="22">
        <f>INDEX(Data[],MATCH($A237,Data[Dist],0),MATCH(H$6,Data[#Headers],0))-G237</f>
        <v>326082</v>
      </c>
      <c r="I237" s="25"/>
      <c r="J237" s="22">
        <f>INDEX(Notes!$I$2:$N$11,MATCH(Notes!$B$2,Notes!$I$2:$I$11,0),4)*$C237</f>
        <v>1312568</v>
      </c>
      <c r="K237" s="22">
        <f>INDEX(Notes!$I$2:$N$11,MATCH(Notes!$B$2,Notes!$I$2:$I$11,0),5)*$D237</f>
        <v>652162</v>
      </c>
      <c r="L237" s="22">
        <f>INDEX(Notes!$I$2:$N$11,MATCH(Notes!$B$2,Notes!$I$2:$I$11,0),6)*$E237</f>
        <v>978243</v>
      </c>
      <c r="M237" s="22">
        <f>IF(Notes!$B$2="June",'Payment Total'!$F237,0)</f>
        <v>0</v>
      </c>
      <c r="N237" s="22">
        <f t="shared" si="12"/>
        <v>0</v>
      </c>
      <c r="P237" s="26" t="s">
        <v>1073</v>
      </c>
      <c r="Q237" s="26">
        <v>326081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1364077</v>
      </c>
      <c r="E238" s="160">
        <f>INDEX(Data[],MATCH($A238,Data[Dist],0),MATCH(E$6,Data[#Headers],0))</f>
        <v>1364077</v>
      </c>
      <c r="F238" s="160">
        <f>INDEX(Data[],MATCH($A238,Data[Dist],0),MATCH(F$6,Data[#Headers],0))</f>
        <v>1364075</v>
      </c>
      <c r="G238" s="22">
        <f>INDEX(Data[],MATCH($A238,Data[Dist],0),MATCH(G$6,Data[#Headers],0))</f>
        <v>12309413</v>
      </c>
      <c r="H238" s="22">
        <f>INDEX(Data[],MATCH($A238,Data[Dist],0),MATCH(H$6,Data[#Headers],0))-G238</f>
        <v>1364075</v>
      </c>
      <c r="I238" s="25"/>
      <c r="J238" s="22">
        <f>INDEX(Notes!$I$2:$N$11,MATCH(Notes!$B$2,Notes!$I$2:$I$11,0),4)*$C238</f>
        <v>5489028</v>
      </c>
      <c r="K238" s="22">
        <f>INDEX(Notes!$I$2:$N$11,MATCH(Notes!$B$2,Notes!$I$2:$I$11,0),5)*$D238</f>
        <v>2728154</v>
      </c>
      <c r="L238" s="22">
        <f>INDEX(Notes!$I$2:$N$11,MATCH(Notes!$B$2,Notes!$I$2:$I$11,0),6)*$E238</f>
        <v>4092231</v>
      </c>
      <c r="M238" s="22">
        <f>IF(Notes!$B$2="June",'Payment Total'!$F238,0)</f>
        <v>0</v>
      </c>
      <c r="N238" s="22">
        <f t="shared" si="12"/>
        <v>0</v>
      </c>
      <c r="P238" s="26" t="s">
        <v>1074</v>
      </c>
      <c r="Q238" s="26">
        <v>1364077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1583208</v>
      </c>
      <c r="E239" s="160">
        <f>INDEX(Data[],MATCH($A239,Data[Dist],0),MATCH(E$6,Data[#Headers],0))</f>
        <v>1583208</v>
      </c>
      <c r="F239" s="160">
        <f>INDEX(Data[],MATCH($A239,Data[Dist],0),MATCH(F$6,Data[#Headers],0))</f>
        <v>1583206</v>
      </c>
      <c r="G239" s="22">
        <f>INDEX(Data[],MATCH($A239,Data[Dist],0),MATCH(G$6,Data[#Headers],0))</f>
        <v>14276704</v>
      </c>
      <c r="H239" s="22">
        <f>INDEX(Data[],MATCH($A239,Data[Dist],0),MATCH(H$6,Data[#Headers],0))-G239</f>
        <v>1583206</v>
      </c>
      <c r="I239" s="25"/>
      <c r="J239" s="22">
        <f>INDEX(Notes!$I$2:$N$11,MATCH(Notes!$B$2,Notes!$I$2:$I$11,0),4)*$C239</f>
        <v>6360664</v>
      </c>
      <c r="K239" s="22">
        <f>INDEX(Notes!$I$2:$N$11,MATCH(Notes!$B$2,Notes!$I$2:$I$11,0),5)*$D239</f>
        <v>3166416</v>
      </c>
      <c r="L239" s="22">
        <f>INDEX(Notes!$I$2:$N$11,MATCH(Notes!$B$2,Notes!$I$2:$I$11,0),6)*$E239</f>
        <v>4749624</v>
      </c>
      <c r="M239" s="22">
        <f>IF(Notes!$B$2="June",'Payment Total'!$F239,0)</f>
        <v>0</v>
      </c>
      <c r="N239" s="22">
        <f t="shared" si="12"/>
        <v>0</v>
      </c>
      <c r="P239" s="26" t="s">
        <v>1075</v>
      </c>
      <c r="Q239" s="26">
        <v>1583208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3691043</v>
      </c>
      <c r="E240" s="160">
        <f>INDEX(Data[],MATCH($A240,Data[Dist],0),MATCH(E$6,Data[#Headers],0))</f>
        <v>3691042</v>
      </c>
      <c r="F240" s="160">
        <f>INDEX(Data[],MATCH($A240,Data[Dist],0),MATCH(F$6,Data[#Headers],0))</f>
        <v>3691043</v>
      </c>
      <c r="G240" s="22">
        <f>INDEX(Data[],MATCH($A240,Data[Dist],0),MATCH(G$6,Data[#Headers],0))</f>
        <v>33302800</v>
      </c>
      <c r="H240" s="22">
        <f>INDEX(Data[],MATCH($A240,Data[Dist],0),MATCH(H$6,Data[#Headers],0))-G240</f>
        <v>3691043</v>
      </c>
      <c r="I240" s="25"/>
      <c r="J240" s="22">
        <f>INDEX(Notes!$I$2:$N$11,MATCH(Notes!$B$2,Notes!$I$2:$I$11,0),4)*$C240</f>
        <v>14847588</v>
      </c>
      <c r="K240" s="22">
        <f>INDEX(Notes!$I$2:$N$11,MATCH(Notes!$B$2,Notes!$I$2:$I$11,0),5)*$D240</f>
        <v>7382086</v>
      </c>
      <c r="L240" s="22">
        <f>INDEX(Notes!$I$2:$N$11,MATCH(Notes!$B$2,Notes!$I$2:$I$11,0),6)*$E240</f>
        <v>11073126</v>
      </c>
      <c r="M240" s="22">
        <f>IF(Notes!$B$2="June",'Payment Total'!$F240,0)</f>
        <v>0</v>
      </c>
      <c r="N240" s="22">
        <f t="shared" si="12"/>
        <v>0</v>
      </c>
      <c r="P240" s="26" t="s">
        <v>1076</v>
      </c>
      <c r="Q240" s="26">
        <v>3691042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558871</v>
      </c>
      <c r="E241" s="160">
        <f>INDEX(Data[],MATCH($A241,Data[Dist],0),MATCH(E$6,Data[#Headers],0))</f>
        <v>558872</v>
      </c>
      <c r="F241" s="160">
        <f>INDEX(Data[],MATCH($A241,Data[Dist],0),MATCH(F$6,Data[#Headers],0))</f>
        <v>558870</v>
      </c>
      <c r="G241" s="22">
        <f>INDEX(Data[],MATCH($A241,Data[Dist],0),MATCH(G$6,Data[#Headers],0))</f>
        <v>5040530</v>
      </c>
      <c r="H241" s="22">
        <f>INDEX(Data[],MATCH($A241,Data[Dist],0),MATCH(H$6,Data[#Headers],0))-G241</f>
        <v>558870</v>
      </c>
      <c r="I241" s="25"/>
      <c r="J241" s="22">
        <f>INDEX(Notes!$I$2:$N$11,MATCH(Notes!$B$2,Notes!$I$2:$I$11,0),4)*$C241</f>
        <v>2246172</v>
      </c>
      <c r="K241" s="22">
        <f>INDEX(Notes!$I$2:$N$11,MATCH(Notes!$B$2,Notes!$I$2:$I$11,0),5)*$D241</f>
        <v>1117742</v>
      </c>
      <c r="L241" s="22">
        <f>INDEX(Notes!$I$2:$N$11,MATCH(Notes!$B$2,Notes!$I$2:$I$11,0),6)*$E241</f>
        <v>1676616</v>
      </c>
      <c r="M241" s="22">
        <f>IF(Notes!$B$2="June",'Payment Total'!$F241,0)</f>
        <v>0</v>
      </c>
      <c r="N241" s="22">
        <f t="shared" si="12"/>
        <v>0</v>
      </c>
      <c r="P241" s="26" t="s">
        <v>1077</v>
      </c>
      <c r="Q241" s="26">
        <v>558872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257695</v>
      </c>
      <c r="E242" s="160">
        <f>INDEX(Data[],MATCH($A242,Data[Dist],0),MATCH(E$6,Data[#Headers],0))</f>
        <v>223125</v>
      </c>
      <c r="F242" s="160">
        <f>INDEX(Data[],MATCH($A242,Data[Dist],0),MATCH(F$6,Data[#Headers],0))</f>
        <v>223126</v>
      </c>
      <c r="G242" s="22">
        <f>INDEX(Data[],MATCH($A242,Data[Dist],0),MATCH(G$6,Data[#Headers],0))</f>
        <v>2225597</v>
      </c>
      <c r="H242" s="22">
        <f>INDEX(Data[],MATCH($A242,Data[Dist],0),MATCH(H$6,Data[#Headers],0))-G242</f>
        <v>223126</v>
      </c>
      <c r="I242" s="25"/>
      <c r="J242" s="22">
        <f>INDEX(Notes!$I$2:$N$11,MATCH(Notes!$B$2,Notes!$I$2:$I$11,0),4)*$C242</f>
        <v>1040832</v>
      </c>
      <c r="K242" s="22">
        <f>INDEX(Notes!$I$2:$N$11,MATCH(Notes!$B$2,Notes!$I$2:$I$11,0),5)*$D242</f>
        <v>515390</v>
      </c>
      <c r="L242" s="22">
        <f>INDEX(Notes!$I$2:$N$11,MATCH(Notes!$B$2,Notes!$I$2:$I$11,0),6)*$E242</f>
        <v>669375</v>
      </c>
      <c r="M242" s="22">
        <f>IF(Notes!$B$2="June",'Payment Total'!$F242,0)</f>
        <v>0</v>
      </c>
      <c r="N242" s="22">
        <f t="shared" si="12"/>
        <v>0</v>
      </c>
      <c r="P242" s="26" t="s">
        <v>1078</v>
      </c>
      <c r="Q242" s="26">
        <v>223125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575306</v>
      </c>
      <c r="E243" s="160">
        <f>INDEX(Data[],MATCH($A243,Data[Dist],0),MATCH(E$6,Data[#Headers],0))</f>
        <v>575306</v>
      </c>
      <c r="F243" s="160">
        <f>INDEX(Data[],MATCH($A243,Data[Dist],0),MATCH(F$6,Data[#Headers],0))</f>
        <v>575304</v>
      </c>
      <c r="G243" s="22">
        <f>INDEX(Data[],MATCH($A243,Data[Dist],0),MATCH(G$6,Data[#Headers],0))</f>
        <v>5188158</v>
      </c>
      <c r="H243" s="22">
        <f>INDEX(Data[],MATCH($A243,Data[Dist],0),MATCH(H$6,Data[#Headers],0))-G243</f>
        <v>575304</v>
      </c>
      <c r="I243" s="25"/>
      <c r="J243" s="22">
        <f>INDEX(Notes!$I$2:$N$11,MATCH(Notes!$B$2,Notes!$I$2:$I$11,0),4)*$C243</f>
        <v>2311628</v>
      </c>
      <c r="K243" s="22">
        <f>INDEX(Notes!$I$2:$N$11,MATCH(Notes!$B$2,Notes!$I$2:$I$11,0),5)*$D243</f>
        <v>1150612</v>
      </c>
      <c r="L243" s="22">
        <f>INDEX(Notes!$I$2:$N$11,MATCH(Notes!$B$2,Notes!$I$2:$I$11,0),6)*$E243</f>
        <v>1725918</v>
      </c>
      <c r="M243" s="22">
        <f>IF(Notes!$B$2="June",'Payment Total'!$F243,0)</f>
        <v>0</v>
      </c>
      <c r="N243" s="22">
        <f t="shared" si="12"/>
        <v>0</v>
      </c>
      <c r="P243" s="26" t="s">
        <v>1079</v>
      </c>
      <c r="Q243" s="26">
        <v>575306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723904</v>
      </c>
      <c r="E244" s="160">
        <f>INDEX(Data[],MATCH($A244,Data[Dist],0),MATCH(E$6,Data[#Headers],0))</f>
        <v>723903</v>
      </c>
      <c r="F244" s="160">
        <f>INDEX(Data[],MATCH($A244,Data[Dist],0),MATCH(F$6,Data[#Headers],0))</f>
        <v>723904</v>
      </c>
      <c r="G244" s="22">
        <f>INDEX(Data[],MATCH($A244,Data[Dist],0),MATCH(G$6,Data[#Headers],0))</f>
        <v>6530625</v>
      </c>
      <c r="H244" s="22">
        <f>INDEX(Data[],MATCH($A244,Data[Dist],0),MATCH(H$6,Data[#Headers],0))-G244</f>
        <v>723904</v>
      </c>
      <c r="I244" s="25"/>
      <c r="J244" s="22">
        <f>INDEX(Notes!$I$2:$N$11,MATCH(Notes!$B$2,Notes!$I$2:$I$11,0),4)*$C244</f>
        <v>2911108</v>
      </c>
      <c r="K244" s="22">
        <f>INDEX(Notes!$I$2:$N$11,MATCH(Notes!$B$2,Notes!$I$2:$I$11,0),5)*$D244</f>
        <v>1447808</v>
      </c>
      <c r="L244" s="22">
        <f>INDEX(Notes!$I$2:$N$11,MATCH(Notes!$B$2,Notes!$I$2:$I$11,0),6)*$E244</f>
        <v>2171709</v>
      </c>
      <c r="M244" s="22">
        <f>IF(Notes!$B$2="June",'Payment Total'!$F244,0)</f>
        <v>0</v>
      </c>
      <c r="N244" s="22">
        <f t="shared" si="12"/>
        <v>0</v>
      </c>
      <c r="P244" s="26" t="s">
        <v>1080</v>
      </c>
      <c r="Q244" s="26">
        <v>723903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751613</v>
      </c>
      <c r="E245" s="160">
        <f>INDEX(Data[],MATCH($A245,Data[Dist],0),MATCH(E$6,Data[#Headers],0))</f>
        <v>672437</v>
      </c>
      <c r="F245" s="160">
        <f>INDEX(Data[],MATCH($A245,Data[Dist],0),MATCH(F$6,Data[#Headers],0))</f>
        <v>672435</v>
      </c>
      <c r="G245" s="22">
        <f>INDEX(Data[],MATCH($A245,Data[Dist],0),MATCH(G$6,Data[#Headers],0))</f>
        <v>6542525</v>
      </c>
      <c r="H245" s="22">
        <f>INDEX(Data[],MATCH($A245,Data[Dist],0),MATCH(H$6,Data[#Headers],0))-G245</f>
        <v>672435</v>
      </c>
      <c r="I245" s="25"/>
      <c r="J245" s="22">
        <f>INDEX(Notes!$I$2:$N$11,MATCH(Notes!$B$2,Notes!$I$2:$I$11,0),4)*$C245</f>
        <v>3021988</v>
      </c>
      <c r="K245" s="22">
        <f>INDEX(Notes!$I$2:$N$11,MATCH(Notes!$B$2,Notes!$I$2:$I$11,0),5)*$D245</f>
        <v>1503226</v>
      </c>
      <c r="L245" s="22">
        <f>INDEX(Notes!$I$2:$N$11,MATCH(Notes!$B$2,Notes!$I$2:$I$11,0),6)*$E245</f>
        <v>2017311</v>
      </c>
      <c r="M245" s="22">
        <f>IF(Notes!$B$2="June",'Payment Total'!$F245,0)</f>
        <v>0</v>
      </c>
      <c r="N245" s="22">
        <f t="shared" si="12"/>
        <v>0</v>
      </c>
      <c r="P245" s="26" t="s">
        <v>1081</v>
      </c>
      <c r="Q245" s="26">
        <v>672437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147755</v>
      </c>
      <c r="E246" s="160">
        <f>INDEX(Data[],MATCH($A246,Data[Dist],0),MATCH(E$6,Data[#Headers],0))</f>
        <v>147755</v>
      </c>
      <c r="F246" s="160">
        <f>INDEX(Data[],MATCH($A246,Data[Dist],0),MATCH(F$6,Data[#Headers],0))</f>
        <v>147753</v>
      </c>
      <c r="G246" s="22">
        <f>INDEX(Data[],MATCH($A246,Data[Dist],0),MATCH(G$6,Data[#Headers],0))</f>
        <v>1334807</v>
      </c>
      <c r="H246" s="22">
        <f>INDEX(Data[],MATCH($A246,Data[Dist],0),MATCH(H$6,Data[#Headers],0))-G246</f>
        <v>147753</v>
      </c>
      <c r="I246" s="25"/>
      <c r="J246" s="22">
        <f>INDEX(Notes!$I$2:$N$11,MATCH(Notes!$B$2,Notes!$I$2:$I$11,0),4)*$C246</f>
        <v>596032</v>
      </c>
      <c r="K246" s="22">
        <f>INDEX(Notes!$I$2:$N$11,MATCH(Notes!$B$2,Notes!$I$2:$I$11,0),5)*$D246</f>
        <v>295510</v>
      </c>
      <c r="L246" s="22">
        <f>INDEX(Notes!$I$2:$N$11,MATCH(Notes!$B$2,Notes!$I$2:$I$11,0),6)*$E246</f>
        <v>443265</v>
      </c>
      <c r="M246" s="22">
        <f>IF(Notes!$B$2="June",'Payment Total'!$F246,0)</f>
        <v>0</v>
      </c>
      <c r="N246" s="22">
        <f t="shared" si="12"/>
        <v>0</v>
      </c>
      <c r="P246" s="26" t="s">
        <v>1082</v>
      </c>
      <c r="Q246" s="26">
        <v>147755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152948</v>
      </c>
      <c r="E247" s="160">
        <f>INDEX(Data[],MATCH($A247,Data[Dist],0),MATCH(E$6,Data[#Headers],0))</f>
        <v>152947</v>
      </c>
      <c r="F247" s="160">
        <f>INDEX(Data[],MATCH($A247,Data[Dist],0),MATCH(F$6,Data[#Headers],0))</f>
        <v>152948</v>
      </c>
      <c r="G247" s="22">
        <f>INDEX(Data[],MATCH($A247,Data[Dist],0),MATCH(G$6,Data[#Headers],0))</f>
        <v>1381501</v>
      </c>
      <c r="H247" s="22">
        <f>INDEX(Data[],MATCH($A247,Data[Dist],0),MATCH(H$6,Data[#Headers],0))-G247</f>
        <v>152948</v>
      </c>
      <c r="I247" s="25"/>
      <c r="J247" s="22">
        <f>INDEX(Notes!$I$2:$N$11,MATCH(Notes!$B$2,Notes!$I$2:$I$11,0),4)*$C247</f>
        <v>616764</v>
      </c>
      <c r="K247" s="22">
        <f>INDEX(Notes!$I$2:$N$11,MATCH(Notes!$B$2,Notes!$I$2:$I$11,0),5)*$D247</f>
        <v>305896</v>
      </c>
      <c r="L247" s="22">
        <f>INDEX(Notes!$I$2:$N$11,MATCH(Notes!$B$2,Notes!$I$2:$I$11,0),6)*$E247</f>
        <v>458841</v>
      </c>
      <c r="M247" s="22">
        <f>IF(Notes!$B$2="June",'Payment Total'!$F247,0)</f>
        <v>0</v>
      </c>
      <c r="N247" s="22">
        <f t="shared" si="12"/>
        <v>0</v>
      </c>
      <c r="P247" s="26" t="s">
        <v>1083</v>
      </c>
      <c r="Q247" s="26">
        <v>152947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594898</v>
      </c>
      <c r="E248" s="160">
        <f>INDEX(Data[],MATCH($A248,Data[Dist],0),MATCH(E$6,Data[#Headers],0))</f>
        <v>594898</v>
      </c>
      <c r="F248" s="160">
        <f>INDEX(Data[],MATCH($A248,Data[Dist],0),MATCH(F$6,Data[#Headers],0))</f>
        <v>594897</v>
      </c>
      <c r="G248" s="22">
        <f>INDEX(Data[],MATCH($A248,Data[Dist],0),MATCH(G$6,Data[#Headers],0))</f>
        <v>5366858</v>
      </c>
      <c r="H248" s="22">
        <f>INDEX(Data[],MATCH($A248,Data[Dist],0),MATCH(H$6,Data[#Headers],0))-G248</f>
        <v>594897</v>
      </c>
      <c r="I248" s="25"/>
      <c r="J248" s="22">
        <f>INDEX(Notes!$I$2:$N$11,MATCH(Notes!$B$2,Notes!$I$2:$I$11,0),4)*$C248</f>
        <v>2392368</v>
      </c>
      <c r="K248" s="22">
        <f>INDEX(Notes!$I$2:$N$11,MATCH(Notes!$B$2,Notes!$I$2:$I$11,0),5)*$D248</f>
        <v>1189796</v>
      </c>
      <c r="L248" s="22">
        <f>INDEX(Notes!$I$2:$N$11,MATCH(Notes!$B$2,Notes!$I$2:$I$11,0),6)*$E248</f>
        <v>1784694</v>
      </c>
      <c r="M248" s="22">
        <f>IF(Notes!$B$2="June",'Payment Total'!$F248,0)</f>
        <v>0</v>
      </c>
      <c r="N248" s="22">
        <f t="shared" si="12"/>
        <v>0</v>
      </c>
      <c r="P248" s="26" t="s">
        <v>1084</v>
      </c>
      <c r="Q248" s="26">
        <v>594898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677771</v>
      </c>
      <c r="E249" s="160">
        <f>INDEX(Data[],MATCH($A249,Data[Dist],0),MATCH(E$6,Data[#Headers],0))</f>
        <v>677770</v>
      </c>
      <c r="F249" s="160">
        <f>INDEX(Data[],MATCH($A249,Data[Dist],0),MATCH(F$6,Data[#Headers],0))</f>
        <v>677771</v>
      </c>
      <c r="G249" s="22">
        <f>INDEX(Data[],MATCH($A249,Data[Dist],0),MATCH(G$6,Data[#Headers],0))</f>
        <v>6115012</v>
      </c>
      <c r="H249" s="22">
        <f>INDEX(Data[],MATCH($A249,Data[Dist],0),MATCH(H$6,Data[#Headers],0))-G249</f>
        <v>677771</v>
      </c>
      <c r="I249" s="25"/>
      <c r="J249" s="22">
        <f>INDEX(Notes!$I$2:$N$11,MATCH(Notes!$B$2,Notes!$I$2:$I$11,0),4)*$C249</f>
        <v>2726160</v>
      </c>
      <c r="K249" s="22">
        <f>INDEX(Notes!$I$2:$N$11,MATCH(Notes!$B$2,Notes!$I$2:$I$11,0),5)*$D249</f>
        <v>1355542</v>
      </c>
      <c r="L249" s="22">
        <f>INDEX(Notes!$I$2:$N$11,MATCH(Notes!$B$2,Notes!$I$2:$I$11,0),6)*$E249</f>
        <v>2033310</v>
      </c>
      <c r="M249" s="22">
        <f>IF(Notes!$B$2="June",'Payment Total'!$F249,0)</f>
        <v>0</v>
      </c>
      <c r="N249" s="22">
        <f t="shared" si="12"/>
        <v>0</v>
      </c>
      <c r="P249" s="26" t="s">
        <v>1085</v>
      </c>
      <c r="Q249" s="26">
        <v>677770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267679</v>
      </c>
      <c r="E250" s="160">
        <f>INDEX(Data[],MATCH($A250,Data[Dist],0),MATCH(E$6,Data[#Headers],0))</f>
        <v>267679</v>
      </c>
      <c r="F250" s="160">
        <f>INDEX(Data[],MATCH($A250,Data[Dist],0),MATCH(F$6,Data[#Headers],0))</f>
        <v>267677</v>
      </c>
      <c r="G250" s="22">
        <f>INDEX(Data[],MATCH($A250,Data[Dist],0),MATCH(G$6,Data[#Headers],0))</f>
        <v>2415503</v>
      </c>
      <c r="H250" s="22">
        <f>INDEX(Data[],MATCH($A250,Data[Dist],0),MATCH(H$6,Data[#Headers],0))-G250</f>
        <v>267677</v>
      </c>
      <c r="I250" s="25"/>
      <c r="J250" s="22">
        <f>INDEX(Notes!$I$2:$N$11,MATCH(Notes!$B$2,Notes!$I$2:$I$11,0),4)*$C250</f>
        <v>1077108</v>
      </c>
      <c r="K250" s="22">
        <f>INDEX(Notes!$I$2:$N$11,MATCH(Notes!$B$2,Notes!$I$2:$I$11,0),5)*$D250</f>
        <v>535358</v>
      </c>
      <c r="L250" s="22">
        <f>INDEX(Notes!$I$2:$N$11,MATCH(Notes!$B$2,Notes!$I$2:$I$11,0),6)*$E250</f>
        <v>803037</v>
      </c>
      <c r="M250" s="22">
        <f>IF(Notes!$B$2="June",'Payment Total'!$F250,0)</f>
        <v>0</v>
      </c>
      <c r="N250" s="22">
        <f t="shared" si="12"/>
        <v>0</v>
      </c>
      <c r="P250" s="26" t="s">
        <v>1086</v>
      </c>
      <c r="Q250" s="26">
        <v>267679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125805</v>
      </c>
      <c r="E251" s="160">
        <f>INDEX(Data[],MATCH($A251,Data[Dist],0),MATCH(E$6,Data[#Headers],0))</f>
        <v>125805</v>
      </c>
      <c r="F251" s="160">
        <f>INDEX(Data[],MATCH($A251,Data[Dist],0),MATCH(F$6,Data[#Headers],0))</f>
        <v>125805</v>
      </c>
      <c r="G251" s="22">
        <f>INDEX(Data[],MATCH($A251,Data[Dist],0),MATCH(G$6,Data[#Headers],0))</f>
        <v>1135145</v>
      </c>
      <c r="H251" s="22">
        <f>INDEX(Data[],MATCH($A251,Data[Dist],0),MATCH(H$6,Data[#Headers],0))-G251</f>
        <v>125805</v>
      </c>
      <c r="I251" s="25"/>
      <c r="J251" s="22">
        <f>INDEX(Notes!$I$2:$N$11,MATCH(Notes!$B$2,Notes!$I$2:$I$11,0),4)*$C251</f>
        <v>506120</v>
      </c>
      <c r="K251" s="22">
        <f>INDEX(Notes!$I$2:$N$11,MATCH(Notes!$B$2,Notes!$I$2:$I$11,0),5)*$D251</f>
        <v>251610</v>
      </c>
      <c r="L251" s="22">
        <f>INDEX(Notes!$I$2:$N$11,MATCH(Notes!$B$2,Notes!$I$2:$I$11,0),6)*$E251</f>
        <v>377415</v>
      </c>
      <c r="M251" s="22">
        <f>IF(Notes!$B$2="June",'Payment Total'!$F251,0)</f>
        <v>0</v>
      </c>
      <c r="N251" s="22">
        <f t="shared" si="12"/>
        <v>0</v>
      </c>
      <c r="P251" s="26" t="s">
        <v>1087</v>
      </c>
      <c r="Q251" s="26">
        <v>125805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316960</v>
      </c>
      <c r="E252" s="160">
        <f>INDEX(Data[],MATCH($A252,Data[Dist],0),MATCH(E$6,Data[#Headers],0))</f>
        <v>316960</v>
      </c>
      <c r="F252" s="160">
        <f>INDEX(Data[],MATCH($A252,Data[Dist],0),MATCH(F$6,Data[#Headers],0))</f>
        <v>316960</v>
      </c>
      <c r="G252" s="22">
        <f>INDEX(Data[],MATCH($A252,Data[Dist],0),MATCH(G$6,Data[#Headers],0))</f>
        <v>2861208</v>
      </c>
      <c r="H252" s="22">
        <f>INDEX(Data[],MATCH($A252,Data[Dist],0),MATCH(H$6,Data[#Headers],0))-G252</f>
        <v>316960</v>
      </c>
      <c r="I252" s="25"/>
      <c r="J252" s="22">
        <f>INDEX(Notes!$I$2:$N$11,MATCH(Notes!$B$2,Notes!$I$2:$I$11,0),4)*$C252</f>
        <v>1276408</v>
      </c>
      <c r="K252" s="22">
        <f>INDEX(Notes!$I$2:$N$11,MATCH(Notes!$B$2,Notes!$I$2:$I$11,0),5)*$D252</f>
        <v>633920</v>
      </c>
      <c r="L252" s="22">
        <f>INDEX(Notes!$I$2:$N$11,MATCH(Notes!$B$2,Notes!$I$2:$I$11,0),6)*$E252</f>
        <v>950880</v>
      </c>
      <c r="M252" s="22">
        <f>IF(Notes!$B$2="June",'Payment Total'!$F252,0)</f>
        <v>0</v>
      </c>
      <c r="N252" s="22">
        <f t="shared" si="12"/>
        <v>0</v>
      </c>
      <c r="P252" s="26" t="s">
        <v>1088</v>
      </c>
      <c r="Q252" s="26">
        <v>316960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309364</v>
      </c>
      <c r="E253" s="160">
        <f>INDEX(Data[],MATCH($A253,Data[Dist],0),MATCH(E$6,Data[#Headers],0))</f>
        <v>309364</v>
      </c>
      <c r="F253" s="160">
        <f>INDEX(Data[],MATCH($A253,Data[Dist],0),MATCH(F$6,Data[#Headers],0))</f>
        <v>309364</v>
      </c>
      <c r="G253" s="22">
        <f>INDEX(Data[],MATCH($A253,Data[Dist],0),MATCH(G$6,Data[#Headers],0))</f>
        <v>2800296</v>
      </c>
      <c r="H253" s="22">
        <f>INDEX(Data[],MATCH($A253,Data[Dist],0),MATCH(H$6,Data[#Headers],0))-G253</f>
        <v>309364</v>
      </c>
      <c r="I253" s="25"/>
      <c r="J253" s="22">
        <f>INDEX(Notes!$I$2:$N$11,MATCH(Notes!$B$2,Notes!$I$2:$I$11,0),4)*$C253</f>
        <v>1253476</v>
      </c>
      <c r="K253" s="22">
        <f>INDEX(Notes!$I$2:$N$11,MATCH(Notes!$B$2,Notes!$I$2:$I$11,0),5)*$D253</f>
        <v>618728</v>
      </c>
      <c r="L253" s="22">
        <f>INDEX(Notes!$I$2:$N$11,MATCH(Notes!$B$2,Notes!$I$2:$I$11,0),6)*$E253</f>
        <v>928092</v>
      </c>
      <c r="M253" s="22">
        <f>IF(Notes!$B$2="June",'Payment Total'!$F253,0)</f>
        <v>0</v>
      </c>
      <c r="N253" s="22">
        <f t="shared" si="12"/>
        <v>0</v>
      </c>
      <c r="P253" s="26" t="s">
        <v>1089</v>
      </c>
      <c r="Q253" s="26">
        <v>309364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193264</v>
      </c>
      <c r="E254" s="160">
        <f>INDEX(Data[],MATCH($A254,Data[Dist],0),MATCH(E$6,Data[#Headers],0))</f>
        <v>193265</v>
      </c>
      <c r="F254" s="160">
        <f>INDEX(Data[],MATCH($A254,Data[Dist],0),MATCH(F$6,Data[#Headers],0))</f>
        <v>193263</v>
      </c>
      <c r="G254" s="22">
        <f>INDEX(Data[],MATCH($A254,Data[Dist],0),MATCH(G$6,Data[#Headers],0))</f>
        <v>1744727</v>
      </c>
      <c r="H254" s="22">
        <f>INDEX(Data[],MATCH($A254,Data[Dist],0),MATCH(H$6,Data[#Headers],0))-G254</f>
        <v>193263</v>
      </c>
      <c r="I254" s="25"/>
      <c r="J254" s="22">
        <f>INDEX(Notes!$I$2:$N$11,MATCH(Notes!$B$2,Notes!$I$2:$I$11,0),4)*$C254</f>
        <v>778404</v>
      </c>
      <c r="K254" s="22">
        <f>INDEX(Notes!$I$2:$N$11,MATCH(Notes!$B$2,Notes!$I$2:$I$11,0),5)*$D254</f>
        <v>386528</v>
      </c>
      <c r="L254" s="22">
        <f>INDEX(Notes!$I$2:$N$11,MATCH(Notes!$B$2,Notes!$I$2:$I$11,0),6)*$E254</f>
        <v>579795</v>
      </c>
      <c r="M254" s="22">
        <f>IF(Notes!$B$2="June",'Payment Total'!$F254,0)</f>
        <v>0</v>
      </c>
      <c r="N254" s="22">
        <f t="shared" si="12"/>
        <v>0</v>
      </c>
      <c r="P254" s="26" t="s">
        <v>1090</v>
      </c>
      <c r="Q254" s="26">
        <v>193265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95641</v>
      </c>
      <c r="E255" s="160">
        <f>INDEX(Data[],MATCH($A255,Data[Dist],0),MATCH(E$6,Data[#Headers],0))</f>
        <v>95642</v>
      </c>
      <c r="F255" s="160">
        <f>INDEX(Data[],MATCH($A255,Data[Dist],0),MATCH(F$6,Data[#Headers],0))</f>
        <v>95640</v>
      </c>
      <c r="G255" s="22">
        <f>INDEX(Data[],MATCH($A255,Data[Dist],0),MATCH(G$6,Data[#Headers],0))</f>
        <v>864016</v>
      </c>
      <c r="H255" s="22">
        <f>INDEX(Data[],MATCH($A255,Data[Dist],0),MATCH(H$6,Data[#Headers],0))-G255</f>
        <v>95640</v>
      </c>
      <c r="I255" s="25"/>
      <c r="J255" s="22">
        <f>INDEX(Notes!$I$2:$N$11,MATCH(Notes!$B$2,Notes!$I$2:$I$11,0),4)*$C255</f>
        <v>385808</v>
      </c>
      <c r="K255" s="22">
        <f>INDEX(Notes!$I$2:$N$11,MATCH(Notes!$B$2,Notes!$I$2:$I$11,0),5)*$D255</f>
        <v>191282</v>
      </c>
      <c r="L255" s="22">
        <f>INDEX(Notes!$I$2:$N$11,MATCH(Notes!$B$2,Notes!$I$2:$I$11,0),6)*$E255</f>
        <v>286926</v>
      </c>
      <c r="M255" s="22">
        <f>IF(Notes!$B$2="June",'Payment Total'!$F255,0)</f>
        <v>0</v>
      </c>
      <c r="N255" s="22">
        <f t="shared" si="12"/>
        <v>0</v>
      </c>
      <c r="P255" s="26" t="s">
        <v>1091</v>
      </c>
      <c r="Q255" s="26">
        <v>95642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842826</v>
      </c>
      <c r="E256" s="160">
        <f>INDEX(Data[],MATCH($A256,Data[Dist],0),MATCH(E$6,Data[#Headers],0))</f>
        <v>842826</v>
      </c>
      <c r="F256" s="160">
        <f>INDEX(Data[],MATCH($A256,Data[Dist],0),MATCH(F$6,Data[#Headers],0))</f>
        <v>842824</v>
      </c>
      <c r="G256" s="22">
        <f>INDEX(Data[],MATCH($A256,Data[Dist],0),MATCH(G$6,Data[#Headers],0))</f>
        <v>7606802</v>
      </c>
      <c r="H256" s="22">
        <f>INDEX(Data[],MATCH($A256,Data[Dist],0),MATCH(H$6,Data[#Headers],0))-G256</f>
        <v>842824</v>
      </c>
      <c r="I256" s="25"/>
      <c r="J256" s="22">
        <f>INDEX(Notes!$I$2:$N$11,MATCH(Notes!$B$2,Notes!$I$2:$I$11,0),4)*$C256</f>
        <v>3392672</v>
      </c>
      <c r="K256" s="22">
        <f>INDEX(Notes!$I$2:$N$11,MATCH(Notes!$B$2,Notes!$I$2:$I$11,0),5)*$D256</f>
        <v>1685652</v>
      </c>
      <c r="L256" s="22">
        <f>INDEX(Notes!$I$2:$N$11,MATCH(Notes!$B$2,Notes!$I$2:$I$11,0),6)*$E256</f>
        <v>2528478</v>
      </c>
      <c r="M256" s="22">
        <f>IF(Notes!$B$2="June",'Payment Total'!$F256,0)</f>
        <v>0</v>
      </c>
      <c r="N256" s="22">
        <f t="shared" si="12"/>
        <v>0</v>
      </c>
      <c r="P256" s="26" t="s">
        <v>1092</v>
      </c>
      <c r="Q256" s="26">
        <v>842826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149214</v>
      </c>
      <c r="E257" s="160">
        <f>INDEX(Data[],MATCH($A257,Data[Dist],0),MATCH(E$6,Data[#Headers],0))</f>
        <v>148273</v>
      </c>
      <c r="F257" s="160">
        <f>INDEX(Data[],MATCH($A257,Data[Dist],0),MATCH(F$6,Data[#Headers],0))</f>
        <v>148273</v>
      </c>
      <c r="G257" s="22">
        <f>INDEX(Data[],MATCH($A257,Data[Dist],0),MATCH(G$6,Data[#Headers],0))</f>
        <v>1343663</v>
      </c>
      <c r="H257" s="22">
        <f>INDEX(Data[],MATCH($A257,Data[Dist],0),MATCH(H$6,Data[#Headers],0))-G257</f>
        <v>148273</v>
      </c>
      <c r="I257" s="25"/>
      <c r="J257" s="22">
        <f>INDEX(Notes!$I$2:$N$11,MATCH(Notes!$B$2,Notes!$I$2:$I$11,0),4)*$C257</f>
        <v>600416</v>
      </c>
      <c r="K257" s="22">
        <f>INDEX(Notes!$I$2:$N$11,MATCH(Notes!$B$2,Notes!$I$2:$I$11,0),5)*$D257</f>
        <v>298428</v>
      </c>
      <c r="L257" s="22">
        <f>INDEX(Notes!$I$2:$N$11,MATCH(Notes!$B$2,Notes!$I$2:$I$11,0),6)*$E257</f>
        <v>444819</v>
      </c>
      <c r="M257" s="22">
        <f>IF(Notes!$B$2="June",'Payment Total'!$F257,0)</f>
        <v>0</v>
      </c>
      <c r="N257" s="22">
        <f t="shared" si="12"/>
        <v>0</v>
      </c>
      <c r="P257" s="26" t="s">
        <v>1093</v>
      </c>
      <c r="Q257" s="26">
        <v>148273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462705</v>
      </c>
      <c r="E258" s="160">
        <f>INDEX(Data[],MATCH($A258,Data[Dist],0),MATCH(E$6,Data[#Headers],0))</f>
        <v>462705</v>
      </c>
      <c r="F258" s="160">
        <f>INDEX(Data[],MATCH($A258,Data[Dist],0),MATCH(F$6,Data[#Headers],0))</f>
        <v>462703</v>
      </c>
      <c r="G258" s="22">
        <f>INDEX(Data[],MATCH($A258,Data[Dist],0),MATCH(G$6,Data[#Headers],0))</f>
        <v>4175809</v>
      </c>
      <c r="H258" s="22">
        <f>INDEX(Data[],MATCH($A258,Data[Dist],0),MATCH(H$6,Data[#Headers],0))-G258</f>
        <v>462703</v>
      </c>
      <c r="I258" s="25"/>
      <c r="J258" s="22">
        <f>INDEX(Notes!$I$2:$N$11,MATCH(Notes!$B$2,Notes!$I$2:$I$11,0),4)*$C258</f>
        <v>1862284</v>
      </c>
      <c r="K258" s="22">
        <f>INDEX(Notes!$I$2:$N$11,MATCH(Notes!$B$2,Notes!$I$2:$I$11,0),5)*$D258</f>
        <v>925410</v>
      </c>
      <c r="L258" s="22">
        <f>INDEX(Notes!$I$2:$N$11,MATCH(Notes!$B$2,Notes!$I$2:$I$11,0),6)*$E258</f>
        <v>1388115</v>
      </c>
      <c r="M258" s="22">
        <f>IF(Notes!$B$2="June",'Payment Total'!$F258,0)</f>
        <v>0</v>
      </c>
      <c r="N258" s="22">
        <f t="shared" si="12"/>
        <v>0</v>
      </c>
      <c r="P258" s="26" t="s">
        <v>1094</v>
      </c>
      <c r="Q258" s="26">
        <v>462705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787629</v>
      </c>
      <c r="E259" s="160">
        <f>INDEX(Data[],MATCH($A259,Data[Dist],0),MATCH(E$6,Data[#Headers],0))</f>
        <v>787628</v>
      </c>
      <c r="F259" s="160">
        <f>INDEX(Data[],MATCH($A259,Data[Dist],0),MATCH(F$6,Data[#Headers],0))</f>
        <v>787629</v>
      </c>
      <c r="G259" s="22">
        <f>INDEX(Data[],MATCH($A259,Data[Dist],0),MATCH(G$6,Data[#Headers],0))</f>
        <v>7105206</v>
      </c>
      <c r="H259" s="22">
        <f>INDEX(Data[],MATCH($A259,Data[Dist],0),MATCH(H$6,Data[#Headers],0))-G259</f>
        <v>787629</v>
      </c>
      <c r="I259" s="25"/>
      <c r="J259" s="22">
        <f>INDEX(Notes!$I$2:$N$11,MATCH(Notes!$B$2,Notes!$I$2:$I$11,0),4)*$C259</f>
        <v>3167064</v>
      </c>
      <c r="K259" s="22">
        <f>INDEX(Notes!$I$2:$N$11,MATCH(Notes!$B$2,Notes!$I$2:$I$11,0),5)*$D259</f>
        <v>1575258</v>
      </c>
      <c r="L259" s="22">
        <f>INDEX(Notes!$I$2:$N$11,MATCH(Notes!$B$2,Notes!$I$2:$I$11,0),6)*$E259</f>
        <v>2362884</v>
      </c>
      <c r="M259" s="22">
        <f>IF(Notes!$B$2="June",'Payment Total'!$F259,0)</f>
        <v>0</v>
      </c>
      <c r="N259" s="22">
        <f t="shared" si="12"/>
        <v>0</v>
      </c>
      <c r="P259" s="26" t="s">
        <v>1095</v>
      </c>
      <c r="Q259" s="26">
        <v>787628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705664</v>
      </c>
      <c r="E260" s="160">
        <f>INDEX(Data[],MATCH($A260,Data[Dist],0),MATCH(E$6,Data[#Headers],0))</f>
        <v>705664</v>
      </c>
      <c r="F260" s="160">
        <f>INDEX(Data[],MATCH($A260,Data[Dist],0),MATCH(F$6,Data[#Headers],0))</f>
        <v>705663</v>
      </c>
      <c r="G260" s="22">
        <f>INDEX(Data[],MATCH($A260,Data[Dist],0),MATCH(G$6,Data[#Headers],0))</f>
        <v>6366740</v>
      </c>
      <c r="H260" s="22">
        <f>INDEX(Data[],MATCH($A260,Data[Dist],0),MATCH(H$6,Data[#Headers],0))-G260</f>
        <v>705663</v>
      </c>
      <c r="I260" s="25"/>
      <c r="J260" s="22">
        <f>INDEX(Notes!$I$2:$N$11,MATCH(Notes!$B$2,Notes!$I$2:$I$11,0),4)*$C260</f>
        <v>2838420</v>
      </c>
      <c r="K260" s="22">
        <f>INDEX(Notes!$I$2:$N$11,MATCH(Notes!$B$2,Notes!$I$2:$I$11,0),5)*$D260</f>
        <v>1411328</v>
      </c>
      <c r="L260" s="22">
        <f>INDEX(Notes!$I$2:$N$11,MATCH(Notes!$B$2,Notes!$I$2:$I$11,0),6)*$E260</f>
        <v>2116992</v>
      </c>
      <c r="M260" s="22">
        <f>IF(Notes!$B$2="June",'Payment Total'!$F260,0)</f>
        <v>0</v>
      </c>
      <c r="N260" s="22">
        <f t="shared" si="12"/>
        <v>0</v>
      </c>
      <c r="P260" s="26" t="s">
        <v>1096</v>
      </c>
      <c r="Q260" s="26">
        <v>705664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442507</v>
      </c>
      <c r="E261" s="160">
        <f>INDEX(Data[],MATCH($A261,Data[Dist],0),MATCH(E$6,Data[#Headers],0))</f>
        <v>442507</v>
      </c>
      <c r="F261" s="160">
        <f>INDEX(Data[],MATCH($A261,Data[Dist],0),MATCH(F$6,Data[#Headers],0))</f>
        <v>442505</v>
      </c>
      <c r="G261" s="22">
        <f>INDEX(Data[],MATCH($A261,Data[Dist],0),MATCH(G$6,Data[#Headers],0))</f>
        <v>3992907</v>
      </c>
      <c r="H261" s="22">
        <f>INDEX(Data[],MATCH($A261,Data[Dist],0),MATCH(H$6,Data[#Headers],0))-G261</f>
        <v>442505</v>
      </c>
      <c r="I261" s="25"/>
      <c r="J261" s="22">
        <f>INDEX(Notes!$I$2:$N$11,MATCH(Notes!$B$2,Notes!$I$2:$I$11,0),4)*$C261</f>
        <v>1780372</v>
      </c>
      <c r="K261" s="22">
        <f>INDEX(Notes!$I$2:$N$11,MATCH(Notes!$B$2,Notes!$I$2:$I$11,0),5)*$D261</f>
        <v>885014</v>
      </c>
      <c r="L261" s="22">
        <f>INDEX(Notes!$I$2:$N$11,MATCH(Notes!$B$2,Notes!$I$2:$I$11,0),6)*$E261</f>
        <v>1327521</v>
      </c>
      <c r="M261" s="22">
        <f>IF(Notes!$B$2="June",'Payment Total'!$F261,0)</f>
        <v>0</v>
      </c>
      <c r="N261" s="22">
        <f t="shared" si="12"/>
        <v>0</v>
      </c>
      <c r="P261" s="26" t="s">
        <v>1097</v>
      </c>
      <c r="Q261" s="26">
        <v>442507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271801</v>
      </c>
      <c r="E262" s="160">
        <f>INDEX(Data[],MATCH($A262,Data[Dist],0),MATCH(E$6,Data[#Headers],0))</f>
        <v>271801</v>
      </c>
      <c r="F262" s="160">
        <f>INDEX(Data[],MATCH($A262,Data[Dist],0),MATCH(F$6,Data[#Headers],0))</f>
        <v>271799</v>
      </c>
      <c r="G262" s="22">
        <f>INDEX(Data[],MATCH($A262,Data[Dist],0),MATCH(G$6,Data[#Headers],0))</f>
        <v>2452001</v>
      </c>
      <c r="H262" s="22">
        <f>INDEX(Data[],MATCH($A262,Data[Dist],0),MATCH(H$6,Data[#Headers],0))-G262</f>
        <v>271799</v>
      </c>
      <c r="I262" s="25"/>
      <c r="J262" s="22">
        <f>INDEX(Notes!$I$2:$N$11,MATCH(Notes!$B$2,Notes!$I$2:$I$11,0),4)*$C262</f>
        <v>1092996</v>
      </c>
      <c r="K262" s="22">
        <f>INDEX(Notes!$I$2:$N$11,MATCH(Notes!$B$2,Notes!$I$2:$I$11,0),5)*$D262</f>
        <v>543602</v>
      </c>
      <c r="L262" s="22">
        <f>INDEX(Notes!$I$2:$N$11,MATCH(Notes!$B$2,Notes!$I$2:$I$11,0),6)*$E262</f>
        <v>815403</v>
      </c>
      <c r="M262" s="22">
        <f>IF(Notes!$B$2="June",'Payment Total'!$F262,0)</f>
        <v>0</v>
      </c>
      <c r="N262" s="22">
        <f t="shared" si="12"/>
        <v>0</v>
      </c>
      <c r="P262" s="26" t="s">
        <v>1098</v>
      </c>
      <c r="Q262" s="26">
        <v>271801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398294</v>
      </c>
      <c r="E263" s="160">
        <f>INDEX(Data[],MATCH($A263,Data[Dist],0),MATCH(E$6,Data[#Headers],0))</f>
        <v>398295</v>
      </c>
      <c r="F263" s="160">
        <f>INDEX(Data[],MATCH($A263,Data[Dist],0),MATCH(F$6,Data[#Headers],0))</f>
        <v>398293</v>
      </c>
      <c r="G263" s="22">
        <f>INDEX(Data[],MATCH($A263,Data[Dist],0),MATCH(G$6,Data[#Headers],0))</f>
        <v>3592941</v>
      </c>
      <c r="H263" s="22">
        <f>INDEX(Data[],MATCH($A263,Data[Dist],0),MATCH(H$6,Data[#Headers],0))-G263</f>
        <v>398293</v>
      </c>
      <c r="I263" s="25"/>
      <c r="J263" s="22">
        <f>INDEX(Notes!$I$2:$N$11,MATCH(Notes!$B$2,Notes!$I$2:$I$11,0),4)*$C263</f>
        <v>1601468</v>
      </c>
      <c r="K263" s="22">
        <f>INDEX(Notes!$I$2:$N$11,MATCH(Notes!$B$2,Notes!$I$2:$I$11,0),5)*$D263</f>
        <v>796588</v>
      </c>
      <c r="L263" s="22">
        <f>INDEX(Notes!$I$2:$N$11,MATCH(Notes!$B$2,Notes!$I$2:$I$11,0),6)*$E263</f>
        <v>1194885</v>
      </c>
      <c r="M263" s="22">
        <f>IF(Notes!$B$2="June",'Payment Total'!$F263,0)</f>
        <v>0</v>
      </c>
      <c r="N263" s="22">
        <f t="shared" si="12"/>
        <v>0</v>
      </c>
      <c r="P263" s="26" t="s">
        <v>1099</v>
      </c>
      <c r="Q263" s="26">
        <v>398295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1102446</v>
      </c>
      <c r="E264" s="160">
        <f>INDEX(Data[],MATCH($A264,Data[Dist],0),MATCH(E$6,Data[#Headers],0))</f>
        <v>1102446</v>
      </c>
      <c r="F264" s="160">
        <f>INDEX(Data[],MATCH($A264,Data[Dist],0),MATCH(F$6,Data[#Headers],0))</f>
        <v>1102447</v>
      </c>
      <c r="G264" s="22">
        <f>INDEX(Data[],MATCH($A264,Data[Dist],0),MATCH(G$6,Data[#Headers],0))</f>
        <v>9944538</v>
      </c>
      <c r="H264" s="22">
        <f>INDEX(Data[],MATCH($A264,Data[Dist],0),MATCH(H$6,Data[#Headers],0))-G264</f>
        <v>1102447</v>
      </c>
      <c r="I264" s="25"/>
      <c r="J264" s="22">
        <f>INDEX(Notes!$I$2:$N$11,MATCH(Notes!$B$2,Notes!$I$2:$I$11,0),4)*$C264</f>
        <v>4432308</v>
      </c>
      <c r="K264" s="22">
        <f>INDEX(Notes!$I$2:$N$11,MATCH(Notes!$B$2,Notes!$I$2:$I$11,0),5)*$D264</f>
        <v>2204892</v>
      </c>
      <c r="L264" s="22">
        <f>INDEX(Notes!$I$2:$N$11,MATCH(Notes!$B$2,Notes!$I$2:$I$11,0),6)*$E264</f>
        <v>3307338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1100</v>
      </c>
      <c r="Q264" s="26">
        <v>1102446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INDEX($A$7:$H$331,MATCH($S264,$A$7:$A$331,0),5)-Q264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12929124</v>
      </c>
      <c r="E265" s="160">
        <f>INDEX(Data[],MATCH($A265,Data[Dist],0),MATCH(E$6,Data[#Headers],0))</f>
        <v>12929124</v>
      </c>
      <c r="F265" s="160">
        <f>INDEX(Data[],MATCH($A265,Data[Dist],0),MATCH(F$6,Data[#Headers],0))</f>
        <v>12929125</v>
      </c>
      <c r="G265" s="22">
        <f>INDEX(Data[],MATCH($A265,Data[Dist],0),MATCH(G$6,Data[#Headers],0))</f>
        <v>116584888</v>
      </c>
      <c r="H265" s="22">
        <f>INDEX(Data[],MATCH($A265,Data[Dist],0),MATCH(H$6,Data[#Headers],0))-G265</f>
        <v>12929125</v>
      </c>
      <c r="I265" s="25"/>
      <c r="J265" s="22">
        <f>INDEX(Notes!$I$2:$N$11,MATCH(Notes!$B$2,Notes!$I$2:$I$11,0),4)*$C265</f>
        <v>51939268</v>
      </c>
      <c r="K265" s="22">
        <f>INDEX(Notes!$I$2:$N$11,MATCH(Notes!$B$2,Notes!$I$2:$I$11,0),5)*$D265</f>
        <v>25858248</v>
      </c>
      <c r="L265" s="22">
        <f>INDEX(Notes!$I$2:$N$11,MATCH(Notes!$B$2,Notes!$I$2:$I$11,0),6)*$E265</f>
        <v>38787372</v>
      </c>
      <c r="M265" s="22">
        <f>IF(Notes!$B$2="June",'Payment Total'!$F265,0)</f>
        <v>0</v>
      </c>
      <c r="N265" s="22">
        <f t="shared" si="16"/>
        <v>0</v>
      </c>
      <c r="P265" s="26" t="s">
        <v>1101</v>
      </c>
      <c r="Q265" s="26">
        <v>12929124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269174</v>
      </c>
      <c r="E266" s="160">
        <f>INDEX(Data[],MATCH($A266,Data[Dist],0),MATCH(E$6,Data[#Headers],0))</f>
        <v>269173</v>
      </c>
      <c r="F266" s="160">
        <f>INDEX(Data[],MATCH($A266,Data[Dist],0),MATCH(F$6,Data[#Headers],0))</f>
        <v>269174</v>
      </c>
      <c r="G266" s="22">
        <f>INDEX(Data[],MATCH($A266,Data[Dist],0),MATCH(G$6,Data[#Headers],0))</f>
        <v>2429183</v>
      </c>
      <c r="H266" s="22">
        <f>INDEX(Data[],MATCH($A266,Data[Dist],0),MATCH(H$6,Data[#Headers],0))-G266</f>
        <v>269174</v>
      </c>
      <c r="I266" s="25"/>
      <c r="J266" s="22">
        <f>INDEX(Notes!$I$2:$N$11,MATCH(Notes!$B$2,Notes!$I$2:$I$11,0),4)*$C266</f>
        <v>1083316</v>
      </c>
      <c r="K266" s="22">
        <f>INDEX(Notes!$I$2:$N$11,MATCH(Notes!$B$2,Notes!$I$2:$I$11,0),5)*$D266</f>
        <v>538348</v>
      </c>
      <c r="L266" s="22">
        <f>INDEX(Notes!$I$2:$N$11,MATCH(Notes!$B$2,Notes!$I$2:$I$11,0),6)*$E266</f>
        <v>807519</v>
      </c>
      <c r="M266" s="22">
        <f>IF(Notes!$B$2="June",'Payment Total'!$F266,0)</f>
        <v>0</v>
      </c>
      <c r="N266" s="22">
        <f t="shared" si="16"/>
        <v>0</v>
      </c>
      <c r="P266" s="26" t="s">
        <v>1102</v>
      </c>
      <c r="Q266" s="26">
        <v>269173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522064</v>
      </c>
      <c r="E267" s="160">
        <f>INDEX(Data[],MATCH($A267,Data[Dist],0),MATCH(E$6,Data[#Headers],0))</f>
        <v>522065</v>
      </c>
      <c r="F267" s="160">
        <f>INDEX(Data[],MATCH($A267,Data[Dist],0),MATCH(F$6,Data[#Headers],0))</f>
        <v>522063</v>
      </c>
      <c r="G267" s="22">
        <f>INDEX(Data[],MATCH($A267,Data[Dist],0),MATCH(G$6,Data[#Headers],0))</f>
        <v>4712519</v>
      </c>
      <c r="H267" s="22">
        <f>INDEX(Data[],MATCH($A267,Data[Dist],0),MATCH(H$6,Data[#Headers],0))-G267</f>
        <v>522063</v>
      </c>
      <c r="I267" s="25"/>
      <c r="J267" s="22">
        <f>INDEX(Notes!$I$2:$N$11,MATCH(Notes!$B$2,Notes!$I$2:$I$11,0),4)*$C267</f>
        <v>2102196</v>
      </c>
      <c r="K267" s="22">
        <f>INDEX(Notes!$I$2:$N$11,MATCH(Notes!$B$2,Notes!$I$2:$I$11,0),5)*$D267</f>
        <v>1044128</v>
      </c>
      <c r="L267" s="22">
        <f>INDEX(Notes!$I$2:$N$11,MATCH(Notes!$B$2,Notes!$I$2:$I$11,0),6)*$E267</f>
        <v>1566195</v>
      </c>
      <c r="M267" s="22">
        <f>IF(Notes!$B$2="June",'Payment Total'!$F267,0)</f>
        <v>0</v>
      </c>
      <c r="N267" s="22">
        <f t="shared" si="16"/>
        <v>0</v>
      </c>
      <c r="P267" s="26" t="s">
        <v>1103</v>
      </c>
      <c r="Q267" s="26">
        <v>522065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936802</v>
      </c>
      <c r="E268" s="160">
        <f>INDEX(Data[],MATCH($A268,Data[Dist],0),MATCH(E$6,Data[#Headers],0))</f>
        <v>936802</v>
      </c>
      <c r="F268" s="160">
        <f>INDEX(Data[],MATCH($A268,Data[Dist],0),MATCH(F$6,Data[#Headers],0))</f>
        <v>936801</v>
      </c>
      <c r="G268" s="22">
        <f>INDEX(Data[],MATCH($A268,Data[Dist],0),MATCH(G$6,Data[#Headers],0))</f>
        <v>8453006</v>
      </c>
      <c r="H268" s="22">
        <f>INDEX(Data[],MATCH($A268,Data[Dist],0),MATCH(H$6,Data[#Headers],0))-G268</f>
        <v>936801</v>
      </c>
      <c r="I268" s="25"/>
      <c r="J268" s="22">
        <f>INDEX(Notes!$I$2:$N$11,MATCH(Notes!$B$2,Notes!$I$2:$I$11,0),4)*$C268</f>
        <v>3768996</v>
      </c>
      <c r="K268" s="22">
        <f>INDEX(Notes!$I$2:$N$11,MATCH(Notes!$B$2,Notes!$I$2:$I$11,0),5)*$D268</f>
        <v>1873604</v>
      </c>
      <c r="L268" s="22">
        <f>INDEX(Notes!$I$2:$N$11,MATCH(Notes!$B$2,Notes!$I$2:$I$11,0),6)*$E268</f>
        <v>2810406</v>
      </c>
      <c r="M268" s="22">
        <f>IF(Notes!$B$2="June",'Payment Total'!$F268,0)</f>
        <v>0</v>
      </c>
      <c r="N268" s="22">
        <f t="shared" si="16"/>
        <v>0</v>
      </c>
      <c r="P268" s="26" t="s">
        <v>1104</v>
      </c>
      <c r="Q268" s="26">
        <v>936802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374974</v>
      </c>
      <c r="E269" s="160">
        <f>INDEX(Data[],MATCH($A269,Data[Dist],0),MATCH(E$6,Data[#Headers],0))</f>
        <v>374973</v>
      </c>
      <c r="F269" s="160">
        <f>INDEX(Data[],MATCH($A269,Data[Dist],0),MATCH(F$6,Data[#Headers],0))</f>
        <v>374974</v>
      </c>
      <c r="G269" s="22">
        <f>INDEX(Data[],MATCH($A269,Data[Dist],0),MATCH(G$6,Data[#Headers],0))</f>
        <v>3382355</v>
      </c>
      <c r="H269" s="22">
        <f>INDEX(Data[],MATCH($A269,Data[Dist],0),MATCH(H$6,Data[#Headers],0))-G269</f>
        <v>374974</v>
      </c>
      <c r="I269" s="25"/>
      <c r="J269" s="22">
        <f>INDEX(Notes!$I$2:$N$11,MATCH(Notes!$B$2,Notes!$I$2:$I$11,0),4)*$C269</f>
        <v>1507488</v>
      </c>
      <c r="K269" s="22">
        <f>INDEX(Notes!$I$2:$N$11,MATCH(Notes!$B$2,Notes!$I$2:$I$11,0),5)*$D269</f>
        <v>749948</v>
      </c>
      <c r="L269" s="22">
        <f>INDEX(Notes!$I$2:$N$11,MATCH(Notes!$B$2,Notes!$I$2:$I$11,0),6)*$E269</f>
        <v>1124919</v>
      </c>
      <c r="M269" s="22">
        <f>IF(Notes!$B$2="June",'Payment Total'!$F269,0)</f>
        <v>0</v>
      </c>
      <c r="N269" s="22">
        <f t="shared" si="16"/>
        <v>0</v>
      </c>
      <c r="P269" s="26" t="s">
        <v>1105</v>
      </c>
      <c r="Q269" s="26">
        <v>374973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363296</v>
      </c>
      <c r="E270" s="160">
        <f>INDEX(Data[],MATCH($A270,Data[Dist],0),MATCH(E$6,Data[#Headers],0))</f>
        <v>363295</v>
      </c>
      <c r="F270" s="160">
        <f>INDEX(Data[],MATCH($A270,Data[Dist],0),MATCH(F$6,Data[#Headers],0))</f>
        <v>363296</v>
      </c>
      <c r="G270" s="22">
        <f>INDEX(Data[],MATCH($A270,Data[Dist],0),MATCH(G$6,Data[#Headers],0))</f>
        <v>3279069</v>
      </c>
      <c r="H270" s="22">
        <f>INDEX(Data[],MATCH($A270,Data[Dist],0),MATCH(H$6,Data[#Headers],0))-G270</f>
        <v>363296</v>
      </c>
      <c r="I270" s="25"/>
      <c r="J270" s="22">
        <f>INDEX(Notes!$I$2:$N$11,MATCH(Notes!$B$2,Notes!$I$2:$I$11,0),4)*$C270</f>
        <v>1462592</v>
      </c>
      <c r="K270" s="22">
        <f>INDEX(Notes!$I$2:$N$11,MATCH(Notes!$B$2,Notes!$I$2:$I$11,0),5)*$D270</f>
        <v>726592</v>
      </c>
      <c r="L270" s="22">
        <f>INDEX(Notes!$I$2:$N$11,MATCH(Notes!$B$2,Notes!$I$2:$I$11,0),6)*$E270</f>
        <v>1089885</v>
      </c>
      <c r="M270" s="22">
        <f>IF(Notes!$B$2="June",'Payment Total'!$F270,0)</f>
        <v>0</v>
      </c>
      <c r="N270" s="22">
        <f t="shared" si="16"/>
        <v>0</v>
      </c>
      <c r="P270" s="26" t="s">
        <v>1106</v>
      </c>
      <c r="Q270" s="26">
        <v>363295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696955</v>
      </c>
      <c r="E271" s="160">
        <f>INDEX(Data[],MATCH($A271,Data[Dist],0),MATCH(E$6,Data[#Headers],0))</f>
        <v>696956</v>
      </c>
      <c r="F271" s="160">
        <f>INDEX(Data[],MATCH($A271,Data[Dist],0),MATCH(F$6,Data[#Headers],0))</f>
        <v>696954</v>
      </c>
      <c r="G271" s="22">
        <f>INDEX(Data[],MATCH($A271,Data[Dist],0),MATCH(G$6,Data[#Headers],0))</f>
        <v>6289018</v>
      </c>
      <c r="H271" s="22">
        <f>INDEX(Data[],MATCH($A271,Data[Dist],0),MATCH(H$6,Data[#Headers],0))-G271</f>
        <v>696954</v>
      </c>
      <c r="I271" s="25"/>
      <c r="J271" s="22">
        <f>INDEX(Notes!$I$2:$N$11,MATCH(Notes!$B$2,Notes!$I$2:$I$11,0),4)*$C271</f>
        <v>2804240</v>
      </c>
      <c r="K271" s="22">
        <f>INDEX(Notes!$I$2:$N$11,MATCH(Notes!$B$2,Notes!$I$2:$I$11,0),5)*$D271</f>
        <v>1393910</v>
      </c>
      <c r="L271" s="22">
        <f>INDEX(Notes!$I$2:$N$11,MATCH(Notes!$B$2,Notes!$I$2:$I$11,0),6)*$E271</f>
        <v>2090868</v>
      </c>
      <c r="M271" s="22">
        <f>IF(Notes!$B$2="June",'Payment Total'!$F271,0)</f>
        <v>0</v>
      </c>
      <c r="N271" s="22">
        <f t="shared" si="16"/>
        <v>0</v>
      </c>
      <c r="P271" s="26" t="s">
        <v>1107</v>
      </c>
      <c r="Q271" s="26">
        <v>696956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122314</v>
      </c>
      <c r="E272" s="160">
        <f>INDEX(Data[],MATCH($A272,Data[Dist],0),MATCH(E$6,Data[#Headers],0))</f>
        <v>122314</v>
      </c>
      <c r="F272" s="160">
        <f>INDEX(Data[],MATCH($A272,Data[Dist],0),MATCH(F$6,Data[#Headers],0))</f>
        <v>122315</v>
      </c>
      <c r="G272" s="22">
        <f>INDEX(Data[],MATCH($A272,Data[Dist],0),MATCH(G$6,Data[#Headers],0))</f>
        <v>1103730</v>
      </c>
      <c r="H272" s="22">
        <f>INDEX(Data[],MATCH($A272,Data[Dist],0),MATCH(H$6,Data[#Headers],0))-G272</f>
        <v>122315</v>
      </c>
      <c r="I272" s="25"/>
      <c r="J272" s="22">
        <f>INDEX(Notes!$I$2:$N$11,MATCH(Notes!$B$2,Notes!$I$2:$I$11,0),4)*$C272</f>
        <v>492160</v>
      </c>
      <c r="K272" s="22">
        <f>INDEX(Notes!$I$2:$N$11,MATCH(Notes!$B$2,Notes!$I$2:$I$11,0),5)*$D272</f>
        <v>244628</v>
      </c>
      <c r="L272" s="22">
        <f>INDEX(Notes!$I$2:$N$11,MATCH(Notes!$B$2,Notes!$I$2:$I$11,0),6)*$E272</f>
        <v>366942</v>
      </c>
      <c r="M272" s="22">
        <f>IF(Notes!$B$2="June",'Payment Total'!$F272,0)</f>
        <v>0</v>
      </c>
      <c r="N272" s="22">
        <f t="shared" si="16"/>
        <v>0</v>
      </c>
      <c r="P272" s="26" t="s">
        <v>1108</v>
      </c>
      <c r="Q272" s="26">
        <v>122314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1164623</v>
      </c>
      <c r="E273" s="160">
        <f>INDEX(Data[],MATCH($A273,Data[Dist],0),MATCH(E$6,Data[#Headers],0))</f>
        <v>954377</v>
      </c>
      <c r="F273" s="160">
        <f>INDEX(Data[],MATCH($A273,Data[Dist],0),MATCH(F$6,Data[#Headers],0))</f>
        <v>954376</v>
      </c>
      <c r="G273" s="22">
        <f>INDEX(Data[],MATCH($A273,Data[Dist],0),MATCH(G$6,Data[#Headers],0))</f>
        <v>9872601</v>
      </c>
      <c r="H273" s="22">
        <f>INDEX(Data[],MATCH($A273,Data[Dist],0),MATCH(H$6,Data[#Headers],0))-G273</f>
        <v>954376</v>
      </c>
      <c r="I273" s="25"/>
      <c r="J273" s="22">
        <f>INDEX(Notes!$I$2:$N$11,MATCH(Notes!$B$2,Notes!$I$2:$I$11,0),4)*$C273</f>
        <v>4680224</v>
      </c>
      <c r="K273" s="22">
        <f>INDEX(Notes!$I$2:$N$11,MATCH(Notes!$B$2,Notes!$I$2:$I$11,0),5)*$D273</f>
        <v>2329246</v>
      </c>
      <c r="L273" s="22">
        <f>INDEX(Notes!$I$2:$N$11,MATCH(Notes!$B$2,Notes!$I$2:$I$11,0),6)*$E273</f>
        <v>2863131</v>
      </c>
      <c r="M273" s="22">
        <f>IF(Notes!$B$2="June",'Payment Total'!$F273,0)</f>
        <v>0</v>
      </c>
      <c r="N273" s="22">
        <f t="shared" si="16"/>
        <v>0</v>
      </c>
      <c r="P273" s="26" t="s">
        <v>1109</v>
      </c>
      <c r="Q273" s="26">
        <v>954377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351057</v>
      </c>
      <c r="E274" s="160">
        <f>INDEX(Data[],MATCH($A274,Data[Dist],0),MATCH(E$6,Data[#Headers],0))</f>
        <v>351057</v>
      </c>
      <c r="F274" s="160">
        <f>INDEX(Data[],MATCH($A274,Data[Dist],0),MATCH(F$6,Data[#Headers],0))</f>
        <v>351055</v>
      </c>
      <c r="G274" s="22">
        <f>INDEX(Data[],MATCH($A274,Data[Dist],0),MATCH(G$6,Data[#Headers],0))</f>
        <v>3167269</v>
      </c>
      <c r="H274" s="22">
        <f>INDEX(Data[],MATCH($A274,Data[Dist],0),MATCH(H$6,Data[#Headers],0))-G274</f>
        <v>351055</v>
      </c>
      <c r="I274" s="25"/>
      <c r="J274" s="22">
        <f>INDEX(Notes!$I$2:$N$11,MATCH(Notes!$B$2,Notes!$I$2:$I$11,0),4)*$C274</f>
        <v>1411984</v>
      </c>
      <c r="K274" s="22">
        <f>INDEX(Notes!$I$2:$N$11,MATCH(Notes!$B$2,Notes!$I$2:$I$11,0),5)*$D274</f>
        <v>702114</v>
      </c>
      <c r="L274" s="22">
        <f>INDEX(Notes!$I$2:$N$11,MATCH(Notes!$B$2,Notes!$I$2:$I$11,0),6)*$E274</f>
        <v>1053171</v>
      </c>
      <c r="M274" s="22">
        <f>IF(Notes!$B$2="June",'Payment Total'!$F274,0)</f>
        <v>0</v>
      </c>
      <c r="N274" s="22">
        <f t="shared" si="16"/>
        <v>0</v>
      </c>
      <c r="P274" s="26" t="s">
        <v>1110</v>
      </c>
      <c r="Q274" s="26">
        <v>351057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5357676</v>
      </c>
      <c r="E275" s="160">
        <f>INDEX(Data[],MATCH($A275,Data[Dist],0),MATCH(E$6,Data[#Headers],0))</f>
        <v>5357676</v>
      </c>
      <c r="F275" s="160">
        <f>INDEX(Data[],MATCH($A275,Data[Dist],0),MATCH(F$6,Data[#Headers],0))</f>
        <v>5357674</v>
      </c>
      <c r="G275" s="22">
        <f>INDEX(Data[],MATCH($A275,Data[Dist],0),MATCH(G$6,Data[#Headers],0))</f>
        <v>48327336</v>
      </c>
      <c r="H275" s="22">
        <f>INDEX(Data[],MATCH($A275,Data[Dist],0),MATCH(H$6,Data[#Headers],0))-G275</f>
        <v>5357674</v>
      </c>
      <c r="I275" s="25"/>
      <c r="J275" s="22">
        <f>INDEX(Notes!$I$2:$N$11,MATCH(Notes!$B$2,Notes!$I$2:$I$11,0),4)*$C275</f>
        <v>21538956</v>
      </c>
      <c r="K275" s="22">
        <f>INDEX(Notes!$I$2:$N$11,MATCH(Notes!$B$2,Notes!$I$2:$I$11,0),5)*$D275</f>
        <v>10715352</v>
      </c>
      <c r="L275" s="22">
        <f>INDEX(Notes!$I$2:$N$11,MATCH(Notes!$B$2,Notes!$I$2:$I$11,0),6)*$E275</f>
        <v>16073028</v>
      </c>
      <c r="M275" s="22">
        <f>IF(Notes!$B$2="June",'Payment Total'!$F275,0)</f>
        <v>0</v>
      </c>
      <c r="N275" s="22">
        <f t="shared" si="16"/>
        <v>0</v>
      </c>
      <c r="P275" s="26" t="s">
        <v>1111</v>
      </c>
      <c r="Q275" s="26">
        <v>5357676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1558376</v>
      </c>
      <c r="E276" s="160">
        <f>INDEX(Data[],MATCH($A276,Data[Dist],0),MATCH(E$6,Data[#Headers],0))</f>
        <v>1558377</v>
      </c>
      <c r="F276" s="160">
        <f>INDEX(Data[],MATCH($A276,Data[Dist],0),MATCH(F$6,Data[#Headers],0))</f>
        <v>1558375</v>
      </c>
      <c r="G276" s="22">
        <f>INDEX(Data[],MATCH($A276,Data[Dist],0),MATCH(G$6,Data[#Headers],0))</f>
        <v>14055791</v>
      </c>
      <c r="H276" s="22">
        <f>INDEX(Data[],MATCH($A276,Data[Dist],0),MATCH(H$6,Data[#Headers],0))-G276</f>
        <v>1558375</v>
      </c>
      <c r="I276" s="25"/>
      <c r="J276" s="22">
        <f>INDEX(Notes!$I$2:$N$11,MATCH(Notes!$B$2,Notes!$I$2:$I$11,0),4)*$C276</f>
        <v>6263908</v>
      </c>
      <c r="K276" s="22">
        <f>INDEX(Notes!$I$2:$N$11,MATCH(Notes!$B$2,Notes!$I$2:$I$11,0),5)*$D276</f>
        <v>3116752</v>
      </c>
      <c r="L276" s="22">
        <f>INDEX(Notes!$I$2:$N$11,MATCH(Notes!$B$2,Notes!$I$2:$I$11,0),6)*$E276</f>
        <v>4675131</v>
      </c>
      <c r="M276" s="22">
        <f>IF(Notes!$B$2="June",'Payment Total'!$F276,0)</f>
        <v>0</v>
      </c>
      <c r="N276" s="22">
        <f t="shared" si="16"/>
        <v>0</v>
      </c>
      <c r="P276" s="26" t="s">
        <v>1112</v>
      </c>
      <c r="Q276" s="26">
        <v>1558377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305169</v>
      </c>
      <c r="E277" s="160">
        <f>INDEX(Data[],MATCH($A277,Data[Dist],0),MATCH(E$6,Data[#Headers],0))</f>
        <v>305169</v>
      </c>
      <c r="F277" s="160">
        <f>INDEX(Data[],MATCH($A277,Data[Dist],0),MATCH(F$6,Data[#Headers],0))</f>
        <v>305170</v>
      </c>
      <c r="G277" s="22">
        <f>INDEX(Data[],MATCH($A277,Data[Dist],0),MATCH(G$6,Data[#Headers],0))</f>
        <v>2764057</v>
      </c>
      <c r="H277" s="22">
        <f>INDEX(Data[],MATCH($A277,Data[Dist],0),MATCH(H$6,Data[#Headers],0))-G277</f>
        <v>305170</v>
      </c>
      <c r="I277" s="25"/>
      <c r="J277" s="22">
        <f>INDEX(Notes!$I$2:$N$11,MATCH(Notes!$B$2,Notes!$I$2:$I$11,0),4)*$C277</f>
        <v>1238212</v>
      </c>
      <c r="K277" s="22">
        <f>INDEX(Notes!$I$2:$N$11,MATCH(Notes!$B$2,Notes!$I$2:$I$11,0),5)*$D277</f>
        <v>610338</v>
      </c>
      <c r="L277" s="22">
        <f>INDEX(Notes!$I$2:$N$11,MATCH(Notes!$B$2,Notes!$I$2:$I$11,0),6)*$E277</f>
        <v>915507</v>
      </c>
      <c r="M277" s="22">
        <f>IF(Notes!$B$2="June",'Payment Total'!$F277,0)</f>
        <v>0</v>
      </c>
      <c r="N277" s="22">
        <f t="shared" si="16"/>
        <v>0</v>
      </c>
      <c r="P277" s="26" t="s">
        <v>1113</v>
      </c>
      <c r="Q277" s="26">
        <v>305169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283976</v>
      </c>
      <c r="E278" s="160">
        <f>INDEX(Data[],MATCH($A278,Data[Dist],0),MATCH(E$6,Data[#Headers],0))</f>
        <v>283975</v>
      </c>
      <c r="F278" s="160">
        <f>INDEX(Data[],MATCH($A278,Data[Dist],0),MATCH(F$6,Data[#Headers],0))</f>
        <v>283976</v>
      </c>
      <c r="G278" s="22">
        <f>INDEX(Data[],MATCH($A278,Data[Dist],0),MATCH(G$6,Data[#Headers],0))</f>
        <v>2561885</v>
      </c>
      <c r="H278" s="22">
        <f>INDEX(Data[],MATCH($A278,Data[Dist],0),MATCH(H$6,Data[#Headers],0))-G278</f>
        <v>283976</v>
      </c>
      <c r="I278" s="25"/>
      <c r="J278" s="22">
        <f>INDEX(Notes!$I$2:$N$11,MATCH(Notes!$B$2,Notes!$I$2:$I$11,0),4)*$C278</f>
        <v>1142008</v>
      </c>
      <c r="K278" s="22">
        <f>INDEX(Notes!$I$2:$N$11,MATCH(Notes!$B$2,Notes!$I$2:$I$11,0),5)*$D278</f>
        <v>567952</v>
      </c>
      <c r="L278" s="22">
        <f>INDEX(Notes!$I$2:$N$11,MATCH(Notes!$B$2,Notes!$I$2:$I$11,0),6)*$E278</f>
        <v>851925</v>
      </c>
      <c r="M278" s="22">
        <f>IF(Notes!$B$2="June",'Payment Total'!$F278,0)</f>
        <v>0</v>
      </c>
      <c r="N278" s="22">
        <f t="shared" si="16"/>
        <v>0</v>
      </c>
      <c r="P278" s="26" t="s">
        <v>1114</v>
      </c>
      <c r="Q278" s="26">
        <v>283975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150413</v>
      </c>
      <c r="E279" s="160">
        <f>INDEX(Data[],MATCH($A279,Data[Dist],0),MATCH(E$6,Data[#Headers],0))</f>
        <v>150413</v>
      </c>
      <c r="F279" s="160">
        <f>INDEX(Data[],MATCH($A279,Data[Dist],0),MATCH(F$6,Data[#Headers],0))</f>
        <v>150412</v>
      </c>
      <c r="G279" s="22">
        <f>INDEX(Data[],MATCH($A279,Data[Dist],0),MATCH(G$6,Data[#Headers],0))</f>
        <v>1356677</v>
      </c>
      <c r="H279" s="22">
        <f>INDEX(Data[],MATCH($A279,Data[Dist],0),MATCH(H$6,Data[#Headers],0))-G279</f>
        <v>150412</v>
      </c>
      <c r="I279" s="25"/>
      <c r="J279" s="22">
        <f>INDEX(Notes!$I$2:$N$11,MATCH(Notes!$B$2,Notes!$I$2:$I$11,0),4)*$C279</f>
        <v>604612</v>
      </c>
      <c r="K279" s="22">
        <f>INDEX(Notes!$I$2:$N$11,MATCH(Notes!$B$2,Notes!$I$2:$I$11,0),5)*$D279</f>
        <v>300826</v>
      </c>
      <c r="L279" s="22">
        <f>INDEX(Notes!$I$2:$N$11,MATCH(Notes!$B$2,Notes!$I$2:$I$11,0),6)*$E279</f>
        <v>451239</v>
      </c>
      <c r="M279" s="22">
        <f>IF(Notes!$B$2="June",'Payment Total'!$F279,0)</f>
        <v>0</v>
      </c>
      <c r="N279" s="22">
        <f t="shared" si="16"/>
        <v>0</v>
      </c>
      <c r="P279" s="26" t="s">
        <v>1115</v>
      </c>
      <c r="Q279" s="26">
        <v>150413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405897</v>
      </c>
      <c r="E280" s="160">
        <f>INDEX(Data[],MATCH($A280,Data[Dist],0),MATCH(E$6,Data[#Headers],0))</f>
        <v>399193</v>
      </c>
      <c r="F280" s="160">
        <f>INDEX(Data[],MATCH($A280,Data[Dist],0),MATCH(F$6,Data[#Headers],0))</f>
        <v>399192</v>
      </c>
      <c r="G280" s="22">
        <f>INDEX(Data[],MATCH($A280,Data[Dist],0),MATCH(G$6,Data[#Headers],0))</f>
        <v>3641733</v>
      </c>
      <c r="H280" s="22">
        <f>INDEX(Data[],MATCH($A280,Data[Dist],0),MATCH(H$6,Data[#Headers],0))-G280</f>
        <v>399192</v>
      </c>
      <c r="I280" s="25"/>
      <c r="J280" s="22">
        <f>INDEX(Notes!$I$2:$N$11,MATCH(Notes!$B$2,Notes!$I$2:$I$11,0),4)*$C280</f>
        <v>1632360</v>
      </c>
      <c r="K280" s="22">
        <f>INDEX(Notes!$I$2:$N$11,MATCH(Notes!$B$2,Notes!$I$2:$I$11,0),5)*$D280</f>
        <v>811794</v>
      </c>
      <c r="L280" s="22">
        <f>INDEX(Notes!$I$2:$N$11,MATCH(Notes!$B$2,Notes!$I$2:$I$11,0),6)*$E280</f>
        <v>1197579</v>
      </c>
      <c r="M280" s="22">
        <f>IF(Notes!$B$2="June",'Payment Total'!$F280,0)</f>
        <v>0</v>
      </c>
      <c r="N280" s="22">
        <f t="shared" si="16"/>
        <v>0</v>
      </c>
      <c r="P280" s="26" t="s">
        <v>1116</v>
      </c>
      <c r="Q280" s="26">
        <v>399193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2267755</v>
      </c>
      <c r="E281" s="160">
        <f>INDEX(Data[],MATCH($A281,Data[Dist],0),MATCH(E$6,Data[#Headers],0))</f>
        <v>2267754</v>
      </c>
      <c r="F281" s="160">
        <f>INDEX(Data[],MATCH($A281,Data[Dist],0),MATCH(F$6,Data[#Headers],0))</f>
        <v>2267755</v>
      </c>
      <c r="G281" s="22">
        <f>INDEX(Data[],MATCH($A281,Data[Dist],0),MATCH(G$6,Data[#Headers],0))</f>
        <v>20447800</v>
      </c>
      <c r="H281" s="22">
        <f>INDEX(Data[],MATCH($A281,Data[Dist],0),MATCH(H$6,Data[#Headers],0))-G281</f>
        <v>2267755</v>
      </c>
      <c r="I281" s="25"/>
      <c r="J281" s="22">
        <f>INDEX(Notes!$I$2:$N$11,MATCH(Notes!$B$2,Notes!$I$2:$I$11,0),4)*$C281</f>
        <v>9109028</v>
      </c>
      <c r="K281" s="22">
        <f>INDEX(Notes!$I$2:$N$11,MATCH(Notes!$B$2,Notes!$I$2:$I$11,0),5)*$D281</f>
        <v>4535510</v>
      </c>
      <c r="L281" s="22">
        <f>INDEX(Notes!$I$2:$N$11,MATCH(Notes!$B$2,Notes!$I$2:$I$11,0),6)*$E281</f>
        <v>6803262</v>
      </c>
      <c r="M281" s="22">
        <f>IF(Notes!$B$2="June",'Payment Total'!$F281,0)</f>
        <v>0</v>
      </c>
      <c r="N281" s="22">
        <f t="shared" si="16"/>
        <v>0</v>
      </c>
      <c r="P281" s="26" t="s">
        <v>1117</v>
      </c>
      <c r="Q281" s="26">
        <v>2267754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91162</v>
      </c>
      <c r="E282" s="160">
        <f>INDEX(Data[],MATCH($A282,Data[Dist],0),MATCH(E$6,Data[#Headers],0))</f>
        <v>91162</v>
      </c>
      <c r="F282" s="160">
        <f>INDEX(Data[],MATCH($A282,Data[Dist],0),MATCH(F$6,Data[#Headers],0))</f>
        <v>91163</v>
      </c>
      <c r="G282" s="22">
        <f>INDEX(Data[],MATCH($A282,Data[Dist],0),MATCH(G$6,Data[#Headers],0))</f>
        <v>822454</v>
      </c>
      <c r="H282" s="22">
        <f>INDEX(Data[],MATCH($A282,Data[Dist],0),MATCH(H$6,Data[#Headers],0))-G282</f>
        <v>91163</v>
      </c>
      <c r="I282" s="25"/>
      <c r="J282" s="22">
        <f>INDEX(Notes!$I$2:$N$11,MATCH(Notes!$B$2,Notes!$I$2:$I$11,0),4)*$C282</f>
        <v>366644</v>
      </c>
      <c r="K282" s="22">
        <f>INDEX(Notes!$I$2:$N$11,MATCH(Notes!$B$2,Notes!$I$2:$I$11,0),5)*$D282</f>
        <v>182324</v>
      </c>
      <c r="L282" s="22">
        <f>INDEX(Notes!$I$2:$N$11,MATCH(Notes!$B$2,Notes!$I$2:$I$11,0),6)*$E282</f>
        <v>273486</v>
      </c>
      <c r="M282" s="22">
        <f>IF(Notes!$B$2="June",'Payment Total'!$F282,0)</f>
        <v>0</v>
      </c>
      <c r="N282" s="22">
        <f t="shared" si="16"/>
        <v>0</v>
      </c>
      <c r="P282" s="26" t="s">
        <v>1118</v>
      </c>
      <c r="Q282" s="26">
        <v>91162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547531</v>
      </c>
      <c r="E283" s="160">
        <f>INDEX(Data[],MATCH($A283,Data[Dist],0),MATCH(E$6,Data[#Headers],0))</f>
        <v>547531</v>
      </c>
      <c r="F283" s="160">
        <f>INDEX(Data[],MATCH($A283,Data[Dist],0),MATCH(F$6,Data[#Headers],0))</f>
        <v>547531</v>
      </c>
      <c r="G283" s="22">
        <f>INDEX(Data[],MATCH($A283,Data[Dist],0),MATCH(G$6,Data[#Headers],0))</f>
        <v>4941999</v>
      </c>
      <c r="H283" s="22">
        <f>INDEX(Data[],MATCH($A283,Data[Dist],0),MATCH(H$6,Data[#Headers],0))-G283</f>
        <v>547531</v>
      </c>
      <c r="I283" s="25"/>
      <c r="J283" s="22">
        <f>INDEX(Notes!$I$2:$N$11,MATCH(Notes!$B$2,Notes!$I$2:$I$11,0),4)*$C283</f>
        <v>2204344</v>
      </c>
      <c r="K283" s="22">
        <f>INDEX(Notes!$I$2:$N$11,MATCH(Notes!$B$2,Notes!$I$2:$I$11,0),5)*$D283</f>
        <v>1095062</v>
      </c>
      <c r="L283" s="22">
        <f>INDEX(Notes!$I$2:$N$11,MATCH(Notes!$B$2,Notes!$I$2:$I$11,0),6)*$E283</f>
        <v>1642593</v>
      </c>
      <c r="M283" s="22">
        <f>IF(Notes!$B$2="June",'Payment Total'!$F283,0)</f>
        <v>0</v>
      </c>
      <c r="N283" s="22">
        <f t="shared" si="16"/>
        <v>0</v>
      </c>
      <c r="P283" s="26" t="s">
        <v>1119</v>
      </c>
      <c r="Q283" s="26">
        <v>547531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512592</v>
      </c>
      <c r="E284" s="160">
        <f>INDEX(Data[],MATCH($A284,Data[Dist],0),MATCH(E$6,Data[#Headers],0))</f>
        <v>512592</v>
      </c>
      <c r="F284" s="160">
        <f>INDEX(Data[],MATCH($A284,Data[Dist],0),MATCH(F$6,Data[#Headers],0))</f>
        <v>512592</v>
      </c>
      <c r="G284" s="22">
        <f>INDEX(Data[],MATCH($A284,Data[Dist],0),MATCH(G$6,Data[#Headers],0))</f>
        <v>4624880</v>
      </c>
      <c r="H284" s="22">
        <f>INDEX(Data[],MATCH($A284,Data[Dist],0),MATCH(H$6,Data[#Headers],0))-G284</f>
        <v>512592</v>
      </c>
      <c r="I284" s="25"/>
      <c r="J284" s="22">
        <f>INDEX(Notes!$I$2:$N$11,MATCH(Notes!$B$2,Notes!$I$2:$I$11,0),4)*$C284</f>
        <v>2061920</v>
      </c>
      <c r="K284" s="22">
        <f>INDEX(Notes!$I$2:$N$11,MATCH(Notes!$B$2,Notes!$I$2:$I$11,0),5)*$D284</f>
        <v>1025184</v>
      </c>
      <c r="L284" s="22">
        <f>INDEX(Notes!$I$2:$N$11,MATCH(Notes!$B$2,Notes!$I$2:$I$11,0),6)*$E284</f>
        <v>1537776</v>
      </c>
      <c r="M284" s="22">
        <f>IF(Notes!$B$2="June",'Payment Total'!$F284,0)</f>
        <v>0</v>
      </c>
      <c r="N284" s="22">
        <f t="shared" si="16"/>
        <v>0</v>
      </c>
      <c r="P284" s="26" t="s">
        <v>1120</v>
      </c>
      <c r="Q284" s="26">
        <v>512592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583086</v>
      </c>
      <c r="E285" s="160">
        <f>INDEX(Data[],MATCH($A285,Data[Dist],0),MATCH(E$6,Data[#Headers],0))</f>
        <v>583086</v>
      </c>
      <c r="F285" s="160">
        <f>INDEX(Data[],MATCH($A285,Data[Dist],0),MATCH(F$6,Data[#Headers],0))</f>
        <v>583086</v>
      </c>
      <c r="G285" s="22">
        <f>INDEX(Data[],MATCH($A285,Data[Dist],0),MATCH(G$6,Data[#Headers],0))</f>
        <v>5260214</v>
      </c>
      <c r="H285" s="22">
        <f>INDEX(Data[],MATCH($A285,Data[Dist],0),MATCH(H$6,Data[#Headers],0))-G285</f>
        <v>583086</v>
      </c>
      <c r="I285" s="25"/>
      <c r="J285" s="22">
        <f>INDEX(Notes!$I$2:$N$11,MATCH(Notes!$B$2,Notes!$I$2:$I$11,0),4)*$C285</f>
        <v>2344784</v>
      </c>
      <c r="K285" s="22">
        <f>INDEX(Notes!$I$2:$N$11,MATCH(Notes!$B$2,Notes!$I$2:$I$11,0),5)*$D285</f>
        <v>1166172</v>
      </c>
      <c r="L285" s="22">
        <f>INDEX(Notes!$I$2:$N$11,MATCH(Notes!$B$2,Notes!$I$2:$I$11,0),6)*$E285</f>
        <v>1749258</v>
      </c>
      <c r="M285" s="22">
        <f>IF(Notes!$B$2="June",'Payment Total'!$F285,0)</f>
        <v>0</v>
      </c>
      <c r="N285" s="22">
        <f t="shared" si="16"/>
        <v>0</v>
      </c>
      <c r="P285" s="26" t="s">
        <v>1121</v>
      </c>
      <c r="Q285" s="26">
        <v>583086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339196</v>
      </c>
      <c r="E286" s="160">
        <f>INDEX(Data[],MATCH($A286,Data[Dist],0),MATCH(E$6,Data[#Headers],0))</f>
        <v>339196</v>
      </c>
      <c r="F286" s="160">
        <f>INDEX(Data[],MATCH($A286,Data[Dist],0),MATCH(F$6,Data[#Headers],0))</f>
        <v>339195</v>
      </c>
      <c r="G286" s="22">
        <f>INDEX(Data[],MATCH($A286,Data[Dist],0),MATCH(G$6,Data[#Headers],0))</f>
        <v>3061400</v>
      </c>
      <c r="H286" s="22">
        <f>INDEX(Data[],MATCH($A286,Data[Dist],0),MATCH(H$6,Data[#Headers],0))-G286</f>
        <v>339195</v>
      </c>
      <c r="I286" s="25"/>
      <c r="J286" s="22">
        <f>INDEX(Notes!$I$2:$N$11,MATCH(Notes!$B$2,Notes!$I$2:$I$11,0),4)*$C286</f>
        <v>1365420</v>
      </c>
      <c r="K286" s="22">
        <f>INDEX(Notes!$I$2:$N$11,MATCH(Notes!$B$2,Notes!$I$2:$I$11,0),5)*$D286</f>
        <v>678392</v>
      </c>
      <c r="L286" s="22">
        <f>INDEX(Notes!$I$2:$N$11,MATCH(Notes!$B$2,Notes!$I$2:$I$11,0),6)*$E286</f>
        <v>1017588</v>
      </c>
      <c r="M286" s="22">
        <f>IF(Notes!$B$2="June",'Payment Total'!$F286,0)</f>
        <v>0</v>
      </c>
      <c r="N286" s="22">
        <f t="shared" si="16"/>
        <v>0</v>
      </c>
      <c r="P286" s="26" t="s">
        <v>1122</v>
      </c>
      <c r="Q286" s="26">
        <v>339196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453596</v>
      </c>
      <c r="E287" s="160">
        <f>INDEX(Data[],MATCH($A287,Data[Dist],0),MATCH(E$6,Data[#Headers],0))</f>
        <v>453596</v>
      </c>
      <c r="F287" s="160">
        <f>INDEX(Data[],MATCH($A287,Data[Dist],0),MATCH(F$6,Data[#Headers],0))</f>
        <v>453594</v>
      </c>
      <c r="G287" s="22">
        <f>INDEX(Data[],MATCH($A287,Data[Dist],0),MATCH(G$6,Data[#Headers],0))</f>
        <v>4092212</v>
      </c>
      <c r="H287" s="22">
        <f>INDEX(Data[],MATCH($A287,Data[Dist],0),MATCH(H$6,Data[#Headers],0))-G287</f>
        <v>453594</v>
      </c>
      <c r="I287" s="25"/>
      <c r="J287" s="22">
        <f>INDEX(Notes!$I$2:$N$11,MATCH(Notes!$B$2,Notes!$I$2:$I$11,0),4)*$C287</f>
        <v>1824232</v>
      </c>
      <c r="K287" s="22">
        <f>INDEX(Notes!$I$2:$N$11,MATCH(Notes!$B$2,Notes!$I$2:$I$11,0),5)*$D287</f>
        <v>907192</v>
      </c>
      <c r="L287" s="22">
        <f>INDEX(Notes!$I$2:$N$11,MATCH(Notes!$B$2,Notes!$I$2:$I$11,0),6)*$E287</f>
        <v>1360788</v>
      </c>
      <c r="M287" s="22">
        <f>IF(Notes!$B$2="June",'Payment Total'!$F287,0)</f>
        <v>0</v>
      </c>
      <c r="N287" s="22">
        <f t="shared" si="16"/>
        <v>0</v>
      </c>
      <c r="P287" s="26" t="s">
        <v>1123</v>
      </c>
      <c r="Q287" s="26">
        <v>453596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177402</v>
      </c>
      <c r="E288" s="160">
        <f>INDEX(Data[],MATCH($A288,Data[Dist],0),MATCH(E$6,Data[#Headers],0))</f>
        <v>177402</v>
      </c>
      <c r="F288" s="160">
        <f>INDEX(Data[],MATCH($A288,Data[Dist],0),MATCH(F$6,Data[#Headers],0))</f>
        <v>177401</v>
      </c>
      <c r="G288" s="22">
        <f>INDEX(Data[],MATCH($A288,Data[Dist],0),MATCH(G$6,Data[#Headers],0))</f>
        <v>1600610</v>
      </c>
      <c r="H288" s="22">
        <f>INDEX(Data[],MATCH($A288,Data[Dist],0),MATCH(H$6,Data[#Headers],0))-G288</f>
        <v>177401</v>
      </c>
      <c r="I288" s="25"/>
      <c r="J288" s="22">
        <f>INDEX(Notes!$I$2:$N$11,MATCH(Notes!$B$2,Notes!$I$2:$I$11,0),4)*$C288</f>
        <v>713600</v>
      </c>
      <c r="K288" s="22">
        <f>INDEX(Notes!$I$2:$N$11,MATCH(Notes!$B$2,Notes!$I$2:$I$11,0),5)*$D288</f>
        <v>354804</v>
      </c>
      <c r="L288" s="22">
        <f>INDEX(Notes!$I$2:$N$11,MATCH(Notes!$B$2,Notes!$I$2:$I$11,0),6)*$E288</f>
        <v>532206</v>
      </c>
      <c r="M288" s="22">
        <f>IF(Notes!$B$2="June",'Payment Total'!$F288,0)</f>
        <v>0</v>
      </c>
      <c r="N288" s="22">
        <f t="shared" si="16"/>
        <v>0</v>
      </c>
      <c r="P288" s="26" t="s">
        <v>1124</v>
      </c>
      <c r="Q288" s="26">
        <v>177402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276724</v>
      </c>
      <c r="E289" s="160">
        <f>INDEX(Data[],MATCH($A289,Data[Dist],0),MATCH(E$6,Data[#Headers],0))</f>
        <v>276724</v>
      </c>
      <c r="F289" s="160">
        <f>INDEX(Data[],MATCH($A289,Data[Dist],0),MATCH(F$6,Data[#Headers],0))</f>
        <v>276723</v>
      </c>
      <c r="G289" s="22">
        <f>INDEX(Data[],MATCH($A289,Data[Dist],0),MATCH(G$6,Data[#Headers],0))</f>
        <v>2496232</v>
      </c>
      <c r="H289" s="22">
        <f>INDEX(Data[],MATCH($A289,Data[Dist],0),MATCH(H$6,Data[#Headers],0))-G289</f>
        <v>276723</v>
      </c>
      <c r="I289" s="25"/>
      <c r="J289" s="22">
        <f>INDEX(Notes!$I$2:$N$11,MATCH(Notes!$B$2,Notes!$I$2:$I$11,0),4)*$C289</f>
        <v>1112612</v>
      </c>
      <c r="K289" s="22">
        <f>INDEX(Notes!$I$2:$N$11,MATCH(Notes!$B$2,Notes!$I$2:$I$11,0),5)*$D289</f>
        <v>553448</v>
      </c>
      <c r="L289" s="22">
        <f>INDEX(Notes!$I$2:$N$11,MATCH(Notes!$B$2,Notes!$I$2:$I$11,0),6)*$E289</f>
        <v>830172</v>
      </c>
      <c r="M289" s="22">
        <f>IF(Notes!$B$2="June",'Payment Total'!$F289,0)</f>
        <v>0</v>
      </c>
      <c r="N289" s="22">
        <f t="shared" si="16"/>
        <v>0</v>
      </c>
      <c r="P289" s="26" t="s">
        <v>1125</v>
      </c>
      <c r="Q289" s="26">
        <v>276724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220856</v>
      </c>
      <c r="E290" s="160">
        <f>INDEX(Data[],MATCH($A290,Data[Dist],0),MATCH(E$6,Data[#Headers],0))</f>
        <v>220856</v>
      </c>
      <c r="F290" s="160">
        <f>INDEX(Data[],MATCH($A290,Data[Dist],0),MATCH(F$6,Data[#Headers],0))</f>
        <v>220855</v>
      </c>
      <c r="G290" s="22">
        <f>INDEX(Data[],MATCH($A290,Data[Dist],0),MATCH(G$6,Data[#Headers],0))</f>
        <v>1993028</v>
      </c>
      <c r="H290" s="22">
        <f>INDEX(Data[],MATCH($A290,Data[Dist],0),MATCH(H$6,Data[#Headers],0))-G290</f>
        <v>220855</v>
      </c>
      <c r="I290" s="25"/>
      <c r="J290" s="22">
        <f>INDEX(Notes!$I$2:$N$11,MATCH(Notes!$B$2,Notes!$I$2:$I$11,0),4)*$C290</f>
        <v>888748</v>
      </c>
      <c r="K290" s="22">
        <f>INDEX(Notes!$I$2:$N$11,MATCH(Notes!$B$2,Notes!$I$2:$I$11,0),5)*$D290</f>
        <v>441712</v>
      </c>
      <c r="L290" s="22">
        <f>INDEX(Notes!$I$2:$N$11,MATCH(Notes!$B$2,Notes!$I$2:$I$11,0),6)*$E290</f>
        <v>662568</v>
      </c>
      <c r="M290" s="22">
        <f>IF(Notes!$B$2="June",'Payment Total'!$F290,0)</f>
        <v>0</v>
      </c>
      <c r="N290" s="22">
        <f t="shared" si="16"/>
        <v>0</v>
      </c>
      <c r="P290" s="26" t="s">
        <v>1126</v>
      </c>
      <c r="Q290" s="26">
        <v>220856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254667</v>
      </c>
      <c r="E291" s="160">
        <f>INDEX(Data[],MATCH($A291,Data[Dist],0),MATCH(E$6,Data[#Headers],0))</f>
        <v>254667</v>
      </c>
      <c r="F291" s="160">
        <f>INDEX(Data[],MATCH($A291,Data[Dist],0),MATCH(F$6,Data[#Headers],0))</f>
        <v>254668</v>
      </c>
      <c r="G291" s="22">
        <f>INDEX(Data[],MATCH($A291,Data[Dist],0),MATCH(G$6,Data[#Headers],0))</f>
        <v>2296851</v>
      </c>
      <c r="H291" s="22">
        <f>INDEX(Data[],MATCH($A291,Data[Dist],0),MATCH(H$6,Data[#Headers],0))-G291</f>
        <v>254668</v>
      </c>
      <c r="I291" s="25"/>
      <c r="J291" s="22">
        <f>INDEX(Notes!$I$2:$N$11,MATCH(Notes!$B$2,Notes!$I$2:$I$11,0),4)*$C291</f>
        <v>1023516</v>
      </c>
      <c r="K291" s="22">
        <f>INDEX(Notes!$I$2:$N$11,MATCH(Notes!$B$2,Notes!$I$2:$I$11,0),5)*$D291</f>
        <v>509334</v>
      </c>
      <c r="L291" s="22">
        <f>INDEX(Notes!$I$2:$N$11,MATCH(Notes!$B$2,Notes!$I$2:$I$11,0),6)*$E291</f>
        <v>764001</v>
      </c>
      <c r="M291" s="22">
        <f>IF(Notes!$B$2="June",'Payment Total'!$F291,0)</f>
        <v>0</v>
      </c>
      <c r="N291" s="22">
        <f t="shared" si="16"/>
        <v>0</v>
      </c>
      <c r="P291" s="26" t="s">
        <v>1127</v>
      </c>
      <c r="Q291" s="26">
        <v>254667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80379</v>
      </c>
      <c r="E292" s="160">
        <f>INDEX(Data[],MATCH($A292,Data[Dist],0),MATCH(E$6,Data[#Headers],0))</f>
        <v>80378</v>
      </c>
      <c r="F292" s="160">
        <f>INDEX(Data[],MATCH($A292,Data[Dist],0),MATCH(F$6,Data[#Headers],0))</f>
        <v>80379</v>
      </c>
      <c r="G292" s="22">
        <f>INDEX(Data[],MATCH($A292,Data[Dist],0),MATCH(G$6,Data[#Headers],0))</f>
        <v>725808</v>
      </c>
      <c r="H292" s="22">
        <f>INDEX(Data[],MATCH($A292,Data[Dist],0),MATCH(H$6,Data[#Headers],0))-G292</f>
        <v>80379</v>
      </c>
      <c r="I292" s="25"/>
      <c r="J292" s="22">
        <f>INDEX(Notes!$I$2:$N$11,MATCH(Notes!$B$2,Notes!$I$2:$I$11,0),4)*$C292</f>
        <v>323916</v>
      </c>
      <c r="K292" s="22">
        <f>INDEX(Notes!$I$2:$N$11,MATCH(Notes!$B$2,Notes!$I$2:$I$11,0),5)*$D292</f>
        <v>160758</v>
      </c>
      <c r="L292" s="22">
        <f>INDEX(Notes!$I$2:$N$11,MATCH(Notes!$B$2,Notes!$I$2:$I$11,0),6)*$E292</f>
        <v>241134</v>
      </c>
      <c r="M292" s="22">
        <f>IF(Notes!$B$2="June",'Payment Total'!$F292,0)</f>
        <v>0</v>
      </c>
      <c r="N292" s="22">
        <f t="shared" si="16"/>
        <v>0</v>
      </c>
      <c r="P292" s="26" t="s">
        <v>1128</v>
      </c>
      <c r="Q292" s="26">
        <v>80378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511710</v>
      </c>
      <c r="E293" s="160">
        <f>INDEX(Data[],MATCH($A293,Data[Dist],0),MATCH(E$6,Data[#Headers],0))</f>
        <v>511710</v>
      </c>
      <c r="F293" s="160">
        <f>INDEX(Data[],MATCH($A293,Data[Dist],0),MATCH(F$6,Data[#Headers],0))</f>
        <v>511709</v>
      </c>
      <c r="G293" s="22">
        <f>INDEX(Data[],MATCH($A293,Data[Dist],0),MATCH(G$6,Data[#Headers],0))</f>
        <v>4616870</v>
      </c>
      <c r="H293" s="22">
        <f>INDEX(Data[],MATCH($A293,Data[Dist],0),MATCH(H$6,Data[#Headers],0))-G293</f>
        <v>511709</v>
      </c>
      <c r="I293" s="25"/>
      <c r="J293" s="22">
        <f>INDEX(Notes!$I$2:$N$11,MATCH(Notes!$B$2,Notes!$I$2:$I$11,0),4)*$C293</f>
        <v>2058320</v>
      </c>
      <c r="K293" s="22">
        <f>INDEX(Notes!$I$2:$N$11,MATCH(Notes!$B$2,Notes!$I$2:$I$11,0),5)*$D293</f>
        <v>1023420</v>
      </c>
      <c r="L293" s="22">
        <f>INDEX(Notes!$I$2:$N$11,MATCH(Notes!$B$2,Notes!$I$2:$I$11,0),6)*$E293</f>
        <v>1535130</v>
      </c>
      <c r="M293" s="22">
        <f>IF(Notes!$B$2="June",'Payment Total'!$F293,0)</f>
        <v>0</v>
      </c>
      <c r="N293" s="22">
        <f t="shared" si="16"/>
        <v>0</v>
      </c>
      <c r="P293" s="26" t="s">
        <v>1129</v>
      </c>
      <c r="Q293" s="26">
        <v>511710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161820</v>
      </c>
      <c r="E294" s="160">
        <f>INDEX(Data[],MATCH($A294,Data[Dist],0),MATCH(E$6,Data[#Headers],0))</f>
        <v>161820</v>
      </c>
      <c r="F294" s="160">
        <f>INDEX(Data[],MATCH($A294,Data[Dist],0),MATCH(F$6,Data[#Headers],0))</f>
        <v>161819</v>
      </c>
      <c r="G294" s="22">
        <f>INDEX(Data[],MATCH($A294,Data[Dist],0),MATCH(G$6,Data[#Headers],0))</f>
        <v>1462176</v>
      </c>
      <c r="H294" s="22">
        <f>INDEX(Data[],MATCH($A294,Data[Dist],0),MATCH(H$6,Data[#Headers],0))-G294</f>
        <v>161819</v>
      </c>
      <c r="I294" s="25"/>
      <c r="J294" s="22">
        <f>INDEX(Notes!$I$2:$N$11,MATCH(Notes!$B$2,Notes!$I$2:$I$11,0),4)*$C294</f>
        <v>653076</v>
      </c>
      <c r="K294" s="22">
        <f>INDEX(Notes!$I$2:$N$11,MATCH(Notes!$B$2,Notes!$I$2:$I$11,0),5)*$D294</f>
        <v>323640</v>
      </c>
      <c r="L294" s="22">
        <f>INDEX(Notes!$I$2:$N$11,MATCH(Notes!$B$2,Notes!$I$2:$I$11,0),6)*$E294</f>
        <v>485460</v>
      </c>
      <c r="M294" s="22">
        <f>IF(Notes!$B$2="June",'Payment Total'!$F294,0)</f>
        <v>0</v>
      </c>
      <c r="N294" s="22">
        <f t="shared" si="16"/>
        <v>0</v>
      </c>
      <c r="P294" s="26" t="s">
        <v>1130</v>
      </c>
      <c r="Q294" s="26">
        <v>161820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2356980</v>
      </c>
      <c r="E295" s="160">
        <f>INDEX(Data[],MATCH($A295,Data[Dist],0),MATCH(E$6,Data[#Headers],0))</f>
        <v>2356980</v>
      </c>
      <c r="F295" s="160">
        <f>INDEX(Data[],MATCH($A295,Data[Dist],0),MATCH(F$6,Data[#Headers],0))</f>
        <v>2356978</v>
      </c>
      <c r="G295" s="22">
        <f>INDEX(Data[],MATCH($A295,Data[Dist],0),MATCH(G$6,Data[#Headers],0))</f>
        <v>21264580</v>
      </c>
      <c r="H295" s="22">
        <f>INDEX(Data[],MATCH($A295,Data[Dist],0),MATCH(H$6,Data[#Headers],0))-G295</f>
        <v>2356978</v>
      </c>
      <c r="I295" s="25"/>
      <c r="J295" s="22">
        <f>INDEX(Notes!$I$2:$N$11,MATCH(Notes!$B$2,Notes!$I$2:$I$11,0),4)*$C295</f>
        <v>9479680</v>
      </c>
      <c r="K295" s="22">
        <f>INDEX(Notes!$I$2:$N$11,MATCH(Notes!$B$2,Notes!$I$2:$I$11,0),5)*$D295</f>
        <v>4713960</v>
      </c>
      <c r="L295" s="22">
        <f>INDEX(Notes!$I$2:$N$11,MATCH(Notes!$B$2,Notes!$I$2:$I$11,0),6)*$E295</f>
        <v>7070940</v>
      </c>
      <c r="M295" s="22">
        <f>IF(Notes!$B$2="June",'Payment Total'!$F295,0)</f>
        <v>0</v>
      </c>
      <c r="N295" s="22">
        <f t="shared" si="16"/>
        <v>0</v>
      </c>
      <c r="P295" s="26" t="s">
        <v>1131</v>
      </c>
      <c r="Q295" s="26">
        <v>2356980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621227</v>
      </c>
      <c r="E296" s="160">
        <f>INDEX(Data[],MATCH($A296,Data[Dist],0),MATCH(E$6,Data[#Headers],0))</f>
        <v>621227</v>
      </c>
      <c r="F296" s="160">
        <f>INDEX(Data[],MATCH($A296,Data[Dist],0),MATCH(F$6,Data[#Headers],0))</f>
        <v>621227</v>
      </c>
      <c r="G296" s="22">
        <f>INDEX(Data[],MATCH($A296,Data[Dist],0),MATCH(G$6,Data[#Headers],0))</f>
        <v>5605559</v>
      </c>
      <c r="H296" s="22">
        <f>INDEX(Data[],MATCH($A296,Data[Dist],0),MATCH(H$6,Data[#Headers],0))-G296</f>
        <v>621227</v>
      </c>
      <c r="I296" s="25"/>
      <c r="J296" s="22">
        <f>INDEX(Notes!$I$2:$N$11,MATCH(Notes!$B$2,Notes!$I$2:$I$11,0),4)*$C296</f>
        <v>2499424</v>
      </c>
      <c r="K296" s="22">
        <f>INDEX(Notes!$I$2:$N$11,MATCH(Notes!$B$2,Notes!$I$2:$I$11,0),5)*$D296</f>
        <v>1242454</v>
      </c>
      <c r="L296" s="22">
        <f>INDEX(Notes!$I$2:$N$11,MATCH(Notes!$B$2,Notes!$I$2:$I$11,0),6)*$E296</f>
        <v>1863681</v>
      </c>
      <c r="M296" s="22">
        <f>IF(Notes!$B$2="June",'Payment Total'!$F296,0)</f>
        <v>0</v>
      </c>
      <c r="N296" s="22">
        <f t="shared" si="16"/>
        <v>0</v>
      </c>
      <c r="P296" s="26" t="s">
        <v>1132</v>
      </c>
      <c r="Q296" s="26">
        <v>621227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595322</v>
      </c>
      <c r="E297" s="160">
        <f>INDEX(Data[],MATCH($A297,Data[Dist],0),MATCH(E$6,Data[#Headers],0))</f>
        <v>595322</v>
      </c>
      <c r="F297" s="160">
        <f>INDEX(Data[],MATCH($A297,Data[Dist],0),MATCH(F$6,Data[#Headers],0))</f>
        <v>595323</v>
      </c>
      <c r="G297" s="22">
        <f>INDEX(Data[],MATCH($A297,Data[Dist],0),MATCH(G$6,Data[#Headers],0))</f>
        <v>5371326</v>
      </c>
      <c r="H297" s="22">
        <f>INDEX(Data[],MATCH($A297,Data[Dist],0),MATCH(H$6,Data[#Headers],0))-G297</f>
        <v>595323</v>
      </c>
      <c r="I297" s="25"/>
      <c r="J297" s="22">
        <f>INDEX(Notes!$I$2:$N$11,MATCH(Notes!$B$2,Notes!$I$2:$I$11,0),4)*$C297</f>
        <v>2394716</v>
      </c>
      <c r="K297" s="22">
        <f>INDEX(Notes!$I$2:$N$11,MATCH(Notes!$B$2,Notes!$I$2:$I$11,0),5)*$D297</f>
        <v>1190644</v>
      </c>
      <c r="L297" s="22">
        <f>INDEX(Notes!$I$2:$N$11,MATCH(Notes!$B$2,Notes!$I$2:$I$11,0),6)*$E297</f>
        <v>1785966</v>
      </c>
      <c r="M297" s="22">
        <f>IF(Notes!$B$2="June",'Payment Total'!$F297,0)</f>
        <v>0</v>
      </c>
      <c r="N297" s="22">
        <f t="shared" si="16"/>
        <v>0</v>
      </c>
      <c r="P297" s="26" t="s">
        <v>1133</v>
      </c>
      <c r="Q297" s="26">
        <v>595322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207644</v>
      </c>
      <c r="E298" s="160">
        <f>INDEX(Data[],MATCH($A298,Data[Dist],0),MATCH(E$6,Data[#Headers],0))</f>
        <v>207644</v>
      </c>
      <c r="F298" s="160">
        <f>INDEX(Data[],MATCH($A298,Data[Dist],0),MATCH(F$6,Data[#Headers],0))</f>
        <v>207643</v>
      </c>
      <c r="G298" s="22">
        <f>INDEX(Data[],MATCH($A298,Data[Dist],0),MATCH(G$6,Data[#Headers],0))</f>
        <v>1873468</v>
      </c>
      <c r="H298" s="22">
        <f>INDEX(Data[],MATCH($A298,Data[Dist],0),MATCH(H$6,Data[#Headers],0))-G298</f>
        <v>207643</v>
      </c>
      <c r="I298" s="25"/>
      <c r="J298" s="22">
        <f>INDEX(Notes!$I$2:$N$11,MATCH(Notes!$B$2,Notes!$I$2:$I$11,0),4)*$C298</f>
        <v>835248</v>
      </c>
      <c r="K298" s="22">
        <f>INDEX(Notes!$I$2:$N$11,MATCH(Notes!$B$2,Notes!$I$2:$I$11,0),5)*$D298</f>
        <v>415288</v>
      </c>
      <c r="L298" s="22">
        <f>INDEX(Notes!$I$2:$N$11,MATCH(Notes!$B$2,Notes!$I$2:$I$11,0),6)*$E298</f>
        <v>622932</v>
      </c>
      <c r="M298" s="22">
        <f>IF(Notes!$B$2="June",'Payment Total'!$F298,0)</f>
        <v>0</v>
      </c>
      <c r="N298" s="22">
        <f t="shared" si="16"/>
        <v>0</v>
      </c>
      <c r="P298" s="26" t="s">
        <v>1134</v>
      </c>
      <c r="Q298" s="26">
        <v>207644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1169113</v>
      </c>
      <c r="E299" s="160">
        <f>INDEX(Data[],MATCH($A299,Data[Dist],0),MATCH(E$6,Data[#Headers],0))</f>
        <v>1169113</v>
      </c>
      <c r="F299" s="160">
        <f>INDEX(Data[],MATCH($A299,Data[Dist],0),MATCH(F$6,Data[#Headers],0))</f>
        <v>1169111</v>
      </c>
      <c r="G299" s="22">
        <f>INDEX(Data[],MATCH($A299,Data[Dist],0),MATCH(G$6,Data[#Headers],0))</f>
        <v>10546357</v>
      </c>
      <c r="H299" s="22">
        <f>INDEX(Data[],MATCH($A299,Data[Dist],0),MATCH(H$6,Data[#Headers],0))-G299</f>
        <v>1169111</v>
      </c>
      <c r="I299" s="25"/>
      <c r="J299" s="22">
        <f>INDEX(Notes!$I$2:$N$11,MATCH(Notes!$B$2,Notes!$I$2:$I$11,0),4)*$C299</f>
        <v>4700792</v>
      </c>
      <c r="K299" s="22">
        <f>INDEX(Notes!$I$2:$N$11,MATCH(Notes!$B$2,Notes!$I$2:$I$11,0),5)*$D299</f>
        <v>2338226</v>
      </c>
      <c r="L299" s="22">
        <f>INDEX(Notes!$I$2:$N$11,MATCH(Notes!$B$2,Notes!$I$2:$I$11,0),6)*$E299</f>
        <v>3507339</v>
      </c>
      <c r="M299" s="22">
        <f>IF(Notes!$B$2="June",'Payment Total'!$F299,0)</f>
        <v>0</v>
      </c>
      <c r="N299" s="22">
        <f t="shared" si="16"/>
        <v>0</v>
      </c>
      <c r="P299" s="26" t="s">
        <v>1135</v>
      </c>
      <c r="Q299" s="26">
        <v>1169113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376230</v>
      </c>
      <c r="E300" s="160">
        <f>INDEX(Data[],MATCH($A300,Data[Dist],0),MATCH(E$6,Data[#Headers],0))</f>
        <v>376230</v>
      </c>
      <c r="F300" s="160">
        <f>INDEX(Data[],MATCH($A300,Data[Dist],0),MATCH(F$6,Data[#Headers],0))</f>
        <v>376231</v>
      </c>
      <c r="G300" s="22">
        <f>INDEX(Data[],MATCH($A300,Data[Dist],0),MATCH(G$6,Data[#Headers],0))</f>
        <v>3393418</v>
      </c>
      <c r="H300" s="22">
        <f>INDEX(Data[],MATCH($A300,Data[Dist],0),MATCH(H$6,Data[#Headers],0))-G300</f>
        <v>376231</v>
      </c>
      <c r="I300" s="25"/>
      <c r="J300" s="22">
        <f>INDEX(Notes!$I$2:$N$11,MATCH(Notes!$B$2,Notes!$I$2:$I$11,0),4)*$C300</f>
        <v>1512268</v>
      </c>
      <c r="K300" s="22">
        <f>INDEX(Notes!$I$2:$N$11,MATCH(Notes!$B$2,Notes!$I$2:$I$11,0),5)*$D300</f>
        <v>752460</v>
      </c>
      <c r="L300" s="22">
        <f>INDEX(Notes!$I$2:$N$11,MATCH(Notes!$B$2,Notes!$I$2:$I$11,0),6)*$E300</f>
        <v>1128690</v>
      </c>
      <c r="M300" s="22">
        <f>IF(Notes!$B$2="June",'Payment Total'!$F300,0)</f>
        <v>0</v>
      </c>
      <c r="N300" s="22">
        <f t="shared" si="16"/>
        <v>0</v>
      </c>
      <c r="P300" s="26" t="s">
        <v>1136</v>
      </c>
      <c r="Q300" s="26">
        <v>376230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510529</v>
      </c>
      <c r="E301" s="160">
        <f>INDEX(Data[],MATCH($A301,Data[Dist],0),MATCH(E$6,Data[#Headers],0))</f>
        <v>510528</v>
      </c>
      <c r="F301" s="160">
        <f>INDEX(Data[],MATCH($A301,Data[Dist],0),MATCH(F$6,Data[#Headers],0))</f>
        <v>510529</v>
      </c>
      <c r="G301" s="22">
        <f>INDEX(Data[],MATCH($A301,Data[Dist],0),MATCH(G$6,Data[#Headers],0))</f>
        <v>4607298</v>
      </c>
      <c r="H301" s="22">
        <f>INDEX(Data[],MATCH($A301,Data[Dist],0),MATCH(H$6,Data[#Headers],0))-G301</f>
        <v>510529</v>
      </c>
      <c r="I301" s="25"/>
      <c r="J301" s="22">
        <f>INDEX(Notes!$I$2:$N$11,MATCH(Notes!$B$2,Notes!$I$2:$I$11,0),4)*$C301</f>
        <v>2054656</v>
      </c>
      <c r="K301" s="22">
        <f>INDEX(Notes!$I$2:$N$11,MATCH(Notes!$B$2,Notes!$I$2:$I$11,0),5)*$D301</f>
        <v>1021058</v>
      </c>
      <c r="L301" s="22">
        <f>INDEX(Notes!$I$2:$N$11,MATCH(Notes!$B$2,Notes!$I$2:$I$11,0),6)*$E301</f>
        <v>1531584</v>
      </c>
      <c r="M301" s="22">
        <f>IF(Notes!$B$2="June",'Payment Total'!$F301,0)</f>
        <v>0</v>
      </c>
      <c r="N301" s="22">
        <f t="shared" si="16"/>
        <v>0</v>
      </c>
      <c r="P301" s="26" t="s">
        <v>1137</v>
      </c>
      <c r="Q301" s="26">
        <v>510528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372313</v>
      </c>
      <c r="E302" s="160">
        <f>INDEX(Data[],MATCH($A302,Data[Dist],0),MATCH(E$6,Data[#Headers],0))</f>
        <v>372313</v>
      </c>
      <c r="F302" s="160">
        <f>INDEX(Data[],MATCH($A302,Data[Dist],0),MATCH(F$6,Data[#Headers],0))</f>
        <v>372311</v>
      </c>
      <c r="G302" s="22">
        <f>INDEX(Data[],MATCH($A302,Data[Dist],0),MATCH(G$6,Data[#Headers],0))</f>
        <v>3358841</v>
      </c>
      <c r="H302" s="22">
        <f>INDEX(Data[],MATCH($A302,Data[Dist],0),MATCH(H$6,Data[#Headers],0))-G302</f>
        <v>372311</v>
      </c>
      <c r="I302" s="25"/>
      <c r="J302" s="22">
        <f>INDEX(Notes!$I$2:$N$11,MATCH(Notes!$B$2,Notes!$I$2:$I$11,0),4)*$C302</f>
        <v>1497276</v>
      </c>
      <c r="K302" s="22">
        <f>INDEX(Notes!$I$2:$N$11,MATCH(Notes!$B$2,Notes!$I$2:$I$11,0),5)*$D302</f>
        <v>744626</v>
      </c>
      <c r="L302" s="22">
        <f>INDEX(Notes!$I$2:$N$11,MATCH(Notes!$B$2,Notes!$I$2:$I$11,0),6)*$E302</f>
        <v>1116939</v>
      </c>
      <c r="M302" s="22">
        <f>IF(Notes!$B$2="June",'Payment Total'!$F302,0)</f>
        <v>0</v>
      </c>
      <c r="N302" s="22">
        <f t="shared" si="16"/>
        <v>0</v>
      </c>
      <c r="P302" s="26" t="s">
        <v>1138</v>
      </c>
      <c r="Q302" s="26">
        <v>372313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477659</v>
      </c>
      <c r="E303" s="160">
        <f>INDEX(Data[],MATCH($A303,Data[Dist],0),MATCH(E$6,Data[#Headers],0))</f>
        <v>477659</v>
      </c>
      <c r="F303" s="160">
        <f>INDEX(Data[],MATCH($A303,Data[Dist],0),MATCH(F$6,Data[#Headers],0))</f>
        <v>477657</v>
      </c>
      <c r="G303" s="22">
        <f>INDEX(Data[],MATCH($A303,Data[Dist],0),MATCH(G$6,Data[#Headers],0))</f>
        <v>4308803</v>
      </c>
      <c r="H303" s="22">
        <f>INDEX(Data[],MATCH($A303,Data[Dist],0),MATCH(H$6,Data[#Headers],0))-G303</f>
        <v>477657</v>
      </c>
      <c r="I303" s="25"/>
      <c r="J303" s="22">
        <f>INDEX(Notes!$I$2:$N$11,MATCH(Notes!$B$2,Notes!$I$2:$I$11,0),4)*$C303</f>
        <v>1920508</v>
      </c>
      <c r="K303" s="22">
        <f>INDEX(Notes!$I$2:$N$11,MATCH(Notes!$B$2,Notes!$I$2:$I$11,0),5)*$D303</f>
        <v>955318</v>
      </c>
      <c r="L303" s="22">
        <f>INDEX(Notes!$I$2:$N$11,MATCH(Notes!$B$2,Notes!$I$2:$I$11,0),6)*$E303</f>
        <v>1432977</v>
      </c>
      <c r="M303" s="22">
        <f>IF(Notes!$B$2="June",'Payment Total'!$F303,0)</f>
        <v>0</v>
      </c>
      <c r="N303" s="22">
        <f>SUM(J303:M303)-G303</f>
        <v>0</v>
      </c>
      <c r="P303" s="26" t="s">
        <v>1139</v>
      </c>
      <c r="Q303" s="26">
        <v>477659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1240318</v>
      </c>
      <c r="E304" s="160">
        <f>INDEX(Data[],MATCH($A304,Data[Dist],0),MATCH(E$6,Data[#Headers],0))</f>
        <v>1240318</v>
      </c>
      <c r="F304" s="160">
        <f>INDEX(Data[],MATCH($A304,Data[Dist],0),MATCH(F$6,Data[#Headers],0))</f>
        <v>1240316</v>
      </c>
      <c r="G304" s="22">
        <f>INDEX(Data[],MATCH($A304,Data[Dist],0),MATCH(G$6,Data[#Headers],0))</f>
        <v>11187270</v>
      </c>
      <c r="H304" s="22">
        <f>INDEX(Data[],MATCH($A304,Data[Dist],0),MATCH(H$6,Data[#Headers],0))-G304</f>
        <v>1240316</v>
      </c>
      <c r="I304" s="25"/>
      <c r="J304" s="22">
        <f>INDEX(Notes!$I$2:$N$11,MATCH(Notes!$B$2,Notes!$I$2:$I$11,0),4)*$C304</f>
        <v>4985680</v>
      </c>
      <c r="K304" s="22">
        <f>INDEX(Notes!$I$2:$N$11,MATCH(Notes!$B$2,Notes!$I$2:$I$11,0),5)*$D304</f>
        <v>2480636</v>
      </c>
      <c r="L304" s="22">
        <f>INDEX(Notes!$I$2:$N$11,MATCH(Notes!$B$2,Notes!$I$2:$I$11,0),6)*$E304</f>
        <v>3720954</v>
      </c>
      <c r="M304" s="22">
        <f>IF(Notes!$B$2="June",'Payment Total'!$F304,0)</f>
        <v>0</v>
      </c>
      <c r="N304" s="22">
        <f t="shared" si="16"/>
        <v>0</v>
      </c>
      <c r="P304" s="26" t="s">
        <v>1140</v>
      </c>
      <c r="Q304" s="26">
        <v>1240318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9246206</v>
      </c>
      <c r="E305" s="160">
        <f>INDEX(Data[],MATCH($A305,Data[Dist],0),MATCH(E$6,Data[#Headers],0))</f>
        <v>9246206</v>
      </c>
      <c r="F305" s="160">
        <f>INDEX(Data[],MATCH($A305,Data[Dist],0),MATCH(F$6,Data[#Headers],0))</f>
        <v>9246206</v>
      </c>
      <c r="G305" s="22">
        <f>INDEX(Data[],MATCH($A305,Data[Dist],0),MATCH(G$6,Data[#Headers],0))</f>
        <v>83376066</v>
      </c>
      <c r="H305" s="22">
        <f>INDEX(Data[],MATCH($A305,Data[Dist],0),MATCH(H$6,Data[#Headers],0))-G305</f>
        <v>9246206</v>
      </c>
      <c r="I305" s="25"/>
      <c r="J305" s="22">
        <f>INDEX(Notes!$I$2:$N$11,MATCH(Notes!$B$2,Notes!$I$2:$I$11,0),4)*$C305</f>
        <v>37145036</v>
      </c>
      <c r="K305" s="22">
        <f>INDEX(Notes!$I$2:$N$11,MATCH(Notes!$B$2,Notes!$I$2:$I$11,0),5)*$D305</f>
        <v>18492412</v>
      </c>
      <c r="L305" s="22">
        <f>INDEX(Notes!$I$2:$N$11,MATCH(Notes!$B$2,Notes!$I$2:$I$11,0),6)*$E305</f>
        <v>27738618</v>
      </c>
      <c r="M305" s="22">
        <f>IF(Notes!$B$2="June",'Payment Total'!$F305,0)</f>
        <v>0</v>
      </c>
      <c r="N305" s="22">
        <f t="shared" si="16"/>
        <v>0</v>
      </c>
      <c r="P305" s="26" t="s">
        <v>1141</v>
      </c>
      <c r="Q305" s="26">
        <v>9246206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8252487</v>
      </c>
      <c r="E306" s="160">
        <f>INDEX(Data[],MATCH($A306,Data[Dist],0),MATCH(E$6,Data[#Headers],0))</f>
        <v>8252488</v>
      </c>
      <c r="F306" s="160">
        <f>INDEX(Data[],MATCH($A306,Data[Dist],0),MATCH(F$6,Data[#Headers],0))</f>
        <v>8252486</v>
      </c>
      <c r="G306" s="22">
        <f>INDEX(Data[],MATCH($A306,Data[Dist],0),MATCH(G$6,Data[#Headers],0))</f>
        <v>74469858</v>
      </c>
      <c r="H306" s="22">
        <f>INDEX(Data[],MATCH($A306,Data[Dist],0),MATCH(H$6,Data[#Headers],0))-G306</f>
        <v>8252486</v>
      </c>
      <c r="I306" s="25"/>
      <c r="J306" s="22">
        <f>INDEX(Notes!$I$2:$N$11,MATCH(Notes!$B$2,Notes!$I$2:$I$11,0),4)*$C306</f>
        <v>33207420</v>
      </c>
      <c r="K306" s="22">
        <f>INDEX(Notes!$I$2:$N$11,MATCH(Notes!$B$2,Notes!$I$2:$I$11,0),5)*$D306</f>
        <v>16504974</v>
      </c>
      <c r="L306" s="22">
        <f>INDEX(Notes!$I$2:$N$11,MATCH(Notes!$B$2,Notes!$I$2:$I$11,0),6)*$E306</f>
        <v>24757464</v>
      </c>
      <c r="M306" s="22">
        <f>IF(Notes!$B$2="June",'Payment Total'!$F306,0)</f>
        <v>0</v>
      </c>
      <c r="N306" s="22">
        <f t="shared" si="16"/>
        <v>0</v>
      </c>
      <c r="P306" s="26" t="s">
        <v>1142</v>
      </c>
      <c r="Q306" s="26">
        <v>8252488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1562220</v>
      </c>
      <c r="E307" s="160">
        <f>INDEX(Data[],MATCH($A307,Data[Dist],0),MATCH(E$6,Data[#Headers],0))</f>
        <v>1562220</v>
      </c>
      <c r="F307" s="160">
        <f>INDEX(Data[],MATCH($A307,Data[Dist],0),MATCH(F$6,Data[#Headers],0))</f>
        <v>1562220</v>
      </c>
      <c r="G307" s="22">
        <f>INDEX(Data[],MATCH($A307,Data[Dist],0),MATCH(G$6,Data[#Headers],0))</f>
        <v>14092972</v>
      </c>
      <c r="H307" s="22">
        <f>INDEX(Data[],MATCH($A307,Data[Dist],0),MATCH(H$6,Data[#Headers],0))-G307</f>
        <v>1562220</v>
      </c>
      <c r="I307" s="25"/>
      <c r="J307" s="22">
        <f>INDEX(Notes!$I$2:$N$11,MATCH(Notes!$B$2,Notes!$I$2:$I$11,0),4)*$C307</f>
        <v>6281872</v>
      </c>
      <c r="K307" s="22">
        <f>INDEX(Notes!$I$2:$N$11,MATCH(Notes!$B$2,Notes!$I$2:$I$11,0),5)*$D307</f>
        <v>3124440</v>
      </c>
      <c r="L307" s="22">
        <f>INDEX(Notes!$I$2:$N$11,MATCH(Notes!$B$2,Notes!$I$2:$I$11,0),6)*$E307</f>
        <v>4686660</v>
      </c>
      <c r="M307" s="22">
        <f>IF(Notes!$B$2="June",'Payment Total'!$F307,0)</f>
        <v>0</v>
      </c>
      <c r="N307" s="22">
        <f t="shared" si="16"/>
        <v>0</v>
      </c>
      <c r="P307" s="26" t="s">
        <v>1143</v>
      </c>
      <c r="Q307" s="26">
        <v>1562220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364087</v>
      </c>
      <c r="E308" s="160">
        <f>INDEX(Data[],MATCH($A308,Data[Dist],0),MATCH(E$6,Data[#Headers],0))</f>
        <v>364087</v>
      </c>
      <c r="F308" s="160">
        <f>INDEX(Data[],MATCH($A308,Data[Dist],0),MATCH(F$6,Data[#Headers],0))</f>
        <v>364087</v>
      </c>
      <c r="G308" s="22">
        <f>INDEX(Data[],MATCH($A308,Data[Dist],0),MATCH(G$6,Data[#Headers],0))</f>
        <v>3285407</v>
      </c>
      <c r="H308" s="22">
        <f>INDEX(Data[],MATCH($A308,Data[Dist],0),MATCH(H$6,Data[#Headers],0))-G308</f>
        <v>364087</v>
      </c>
      <c r="I308" s="25"/>
      <c r="J308" s="22">
        <f>INDEX(Notes!$I$2:$N$11,MATCH(Notes!$B$2,Notes!$I$2:$I$11,0),4)*$C308</f>
        <v>1464972</v>
      </c>
      <c r="K308" s="22">
        <f>INDEX(Notes!$I$2:$N$11,MATCH(Notes!$B$2,Notes!$I$2:$I$11,0),5)*$D308</f>
        <v>728174</v>
      </c>
      <c r="L308" s="22">
        <f>INDEX(Notes!$I$2:$N$11,MATCH(Notes!$B$2,Notes!$I$2:$I$11,0),6)*$E308</f>
        <v>1092261</v>
      </c>
      <c r="M308" s="22">
        <f>IF(Notes!$B$2="June",'Payment Total'!$F308,0)</f>
        <v>0</v>
      </c>
      <c r="N308" s="22">
        <f t="shared" si="16"/>
        <v>0</v>
      </c>
      <c r="P308" s="26" t="s">
        <v>1144</v>
      </c>
      <c r="Q308" s="26">
        <v>364087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1173194</v>
      </c>
      <c r="E309" s="160">
        <f>INDEX(Data[],MATCH($A309,Data[Dist],0),MATCH(E$6,Data[#Headers],0))</f>
        <v>1173193</v>
      </c>
      <c r="F309" s="160">
        <f>INDEX(Data[],MATCH($A309,Data[Dist],0),MATCH(F$6,Data[#Headers],0))</f>
        <v>1173194</v>
      </c>
      <c r="G309" s="22">
        <f>INDEX(Data[],MATCH($A309,Data[Dist],0),MATCH(G$6,Data[#Headers],0))</f>
        <v>10584703</v>
      </c>
      <c r="H309" s="22">
        <f>INDEX(Data[],MATCH($A309,Data[Dist],0),MATCH(H$6,Data[#Headers],0))-G309</f>
        <v>1173194</v>
      </c>
      <c r="I309" s="25"/>
      <c r="J309" s="22">
        <f>INDEX(Notes!$I$2:$N$11,MATCH(Notes!$B$2,Notes!$I$2:$I$11,0),4)*$C309</f>
        <v>4718736</v>
      </c>
      <c r="K309" s="22">
        <f>INDEX(Notes!$I$2:$N$11,MATCH(Notes!$B$2,Notes!$I$2:$I$11,0),5)*$D309</f>
        <v>2346388</v>
      </c>
      <c r="L309" s="22">
        <f>INDEX(Notes!$I$2:$N$11,MATCH(Notes!$B$2,Notes!$I$2:$I$11,0),6)*$E309</f>
        <v>3519579</v>
      </c>
      <c r="M309" s="22">
        <f>IF(Notes!$B$2="June",'Payment Total'!$F309,0)</f>
        <v>0</v>
      </c>
      <c r="N309" s="22">
        <f t="shared" si="16"/>
        <v>0</v>
      </c>
      <c r="P309" s="26" t="s">
        <v>1145</v>
      </c>
      <c r="Q309" s="26">
        <v>1173193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170986</v>
      </c>
      <c r="E310" s="160">
        <f>INDEX(Data[],MATCH($A310,Data[Dist],0),MATCH(E$6,Data[#Headers],0))</f>
        <v>142559</v>
      </c>
      <c r="F310" s="160">
        <f>INDEX(Data[],MATCH($A310,Data[Dist],0),MATCH(F$6,Data[#Headers],0))</f>
        <v>142559</v>
      </c>
      <c r="G310" s="22">
        <f>INDEX(Data[],MATCH($A310,Data[Dist],0),MATCH(G$6,Data[#Headers],0))</f>
        <v>1458517</v>
      </c>
      <c r="H310" s="22">
        <f>INDEX(Data[],MATCH($A310,Data[Dist],0),MATCH(H$6,Data[#Headers],0))-G310</f>
        <v>142559</v>
      </c>
      <c r="I310" s="25"/>
      <c r="J310" s="22">
        <f>INDEX(Notes!$I$2:$N$11,MATCH(Notes!$B$2,Notes!$I$2:$I$11,0),4)*$C310</f>
        <v>688868</v>
      </c>
      <c r="K310" s="22">
        <f>INDEX(Notes!$I$2:$N$11,MATCH(Notes!$B$2,Notes!$I$2:$I$11,0),5)*$D310</f>
        <v>341972</v>
      </c>
      <c r="L310" s="22">
        <f>INDEX(Notes!$I$2:$N$11,MATCH(Notes!$B$2,Notes!$I$2:$I$11,0),6)*$E310</f>
        <v>427677</v>
      </c>
      <c r="M310" s="22">
        <f>IF(Notes!$B$2="June",'Payment Total'!$F310,0)</f>
        <v>0</v>
      </c>
      <c r="N310" s="22">
        <f t="shared" si="16"/>
        <v>0</v>
      </c>
      <c r="P310" s="26" t="s">
        <v>1146</v>
      </c>
      <c r="Q310" s="26">
        <v>142559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494678</v>
      </c>
      <c r="E311" s="160">
        <f>INDEX(Data[],MATCH($A311,Data[Dist],0),MATCH(E$6,Data[#Headers],0))</f>
        <v>494678</v>
      </c>
      <c r="F311" s="160">
        <f>INDEX(Data[],MATCH($A311,Data[Dist],0),MATCH(F$6,Data[#Headers],0))</f>
        <v>494679</v>
      </c>
      <c r="G311" s="22">
        <f>INDEX(Data[],MATCH($A311,Data[Dist],0),MATCH(G$6,Data[#Headers],0))</f>
        <v>4463902</v>
      </c>
      <c r="H311" s="22">
        <f>INDEX(Data[],MATCH($A311,Data[Dist],0),MATCH(H$6,Data[#Headers],0))-G311</f>
        <v>494679</v>
      </c>
      <c r="I311" s="25"/>
      <c r="J311" s="22">
        <f>INDEX(Notes!$I$2:$N$11,MATCH(Notes!$B$2,Notes!$I$2:$I$11,0),4)*$C311</f>
        <v>1990512</v>
      </c>
      <c r="K311" s="22">
        <f>INDEX(Notes!$I$2:$N$11,MATCH(Notes!$B$2,Notes!$I$2:$I$11,0),5)*$D311</f>
        <v>989356</v>
      </c>
      <c r="L311" s="22">
        <f>INDEX(Notes!$I$2:$N$11,MATCH(Notes!$B$2,Notes!$I$2:$I$11,0),6)*$E311</f>
        <v>1484034</v>
      </c>
      <c r="M311" s="22">
        <f>IF(Notes!$B$2="June",'Payment Total'!$F311,0)</f>
        <v>0</v>
      </c>
      <c r="N311" s="22">
        <f t="shared" si="16"/>
        <v>0</v>
      </c>
      <c r="P311" s="26" t="s">
        <v>1147</v>
      </c>
      <c r="Q311" s="26">
        <v>494678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278959</v>
      </c>
      <c r="E312" s="160">
        <f>INDEX(Data[],MATCH($A312,Data[Dist],0),MATCH(E$6,Data[#Headers],0))</f>
        <v>259305</v>
      </c>
      <c r="F312" s="160">
        <f>INDEX(Data[],MATCH($A312,Data[Dist],0),MATCH(F$6,Data[#Headers],0))</f>
        <v>259305</v>
      </c>
      <c r="G312" s="22">
        <f>INDEX(Data[],MATCH($A312,Data[Dist],0),MATCH(G$6,Data[#Headers],0))</f>
        <v>2457745</v>
      </c>
      <c r="H312" s="22">
        <f>INDEX(Data[],MATCH($A312,Data[Dist],0),MATCH(H$6,Data[#Headers],0))-G312</f>
        <v>259305</v>
      </c>
      <c r="I312" s="25"/>
      <c r="J312" s="22">
        <f>INDEX(Notes!$I$2:$N$11,MATCH(Notes!$B$2,Notes!$I$2:$I$11,0),4)*$C312</f>
        <v>1121912</v>
      </c>
      <c r="K312" s="22">
        <f>INDEX(Notes!$I$2:$N$11,MATCH(Notes!$B$2,Notes!$I$2:$I$11,0),5)*$D312</f>
        <v>557918</v>
      </c>
      <c r="L312" s="22">
        <f>INDEX(Notes!$I$2:$N$11,MATCH(Notes!$B$2,Notes!$I$2:$I$11,0),6)*$E312</f>
        <v>777915</v>
      </c>
      <c r="M312" s="22">
        <f>IF(Notes!$B$2="June",'Payment Total'!$F312,0)</f>
        <v>0</v>
      </c>
      <c r="N312" s="22">
        <f t="shared" si="16"/>
        <v>0</v>
      </c>
      <c r="P312" s="26" t="s">
        <v>1148</v>
      </c>
      <c r="Q312" s="26">
        <v>259305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161703</v>
      </c>
      <c r="E313" s="160">
        <f>INDEX(Data[],MATCH($A313,Data[Dist],0),MATCH(E$6,Data[#Headers],0))</f>
        <v>161703</v>
      </c>
      <c r="F313" s="160">
        <f>INDEX(Data[],MATCH($A313,Data[Dist],0),MATCH(F$6,Data[#Headers],0))</f>
        <v>161702</v>
      </c>
      <c r="G313" s="22">
        <f>INDEX(Data[],MATCH($A313,Data[Dist],0),MATCH(G$6,Data[#Headers],0))</f>
        <v>1459355</v>
      </c>
      <c r="H313" s="22">
        <f>INDEX(Data[],MATCH($A313,Data[Dist],0),MATCH(H$6,Data[#Headers],0))-G313</f>
        <v>161702</v>
      </c>
      <c r="I313" s="25"/>
      <c r="J313" s="22">
        <f>INDEX(Notes!$I$2:$N$11,MATCH(Notes!$B$2,Notes!$I$2:$I$11,0),4)*$C313</f>
        <v>650840</v>
      </c>
      <c r="K313" s="22">
        <f>INDEX(Notes!$I$2:$N$11,MATCH(Notes!$B$2,Notes!$I$2:$I$11,0),5)*$D313</f>
        <v>323406</v>
      </c>
      <c r="L313" s="22">
        <f>INDEX(Notes!$I$2:$N$11,MATCH(Notes!$B$2,Notes!$I$2:$I$11,0),6)*$E313</f>
        <v>485109</v>
      </c>
      <c r="M313" s="22">
        <f>IF(Notes!$B$2="June",'Payment Total'!$F313,0)</f>
        <v>0</v>
      </c>
      <c r="N313" s="22">
        <f t="shared" si="16"/>
        <v>0</v>
      </c>
      <c r="P313" s="26" t="s">
        <v>1149</v>
      </c>
      <c r="Q313" s="26">
        <v>161703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888436</v>
      </c>
      <c r="E314" s="160">
        <f>INDEX(Data[],MATCH($A314,Data[Dist],0),MATCH(E$6,Data[#Headers],0))</f>
        <v>888437</v>
      </c>
      <c r="F314" s="160">
        <f>INDEX(Data[],MATCH($A314,Data[Dist],0),MATCH(F$6,Data[#Headers],0))</f>
        <v>888435</v>
      </c>
      <c r="G314" s="22">
        <f>INDEX(Data[],MATCH($A314,Data[Dist],0),MATCH(G$6,Data[#Headers],0))</f>
        <v>8016399</v>
      </c>
      <c r="H314" s="22">
        <f>INDEX(Data[],MATCH($A314,Data[Dist],0),MATCH(H$6,Data[#Headers],0))-G314</f>
        <v>888435</v>
      </c>
      <c r="I314" s="25"/>
      <c r="J314" s="22">
        <f>INDEX(Notes!$I$2:$N$11,MATCH(Notes!$B$2,Notes!$I$2:$I$11,0),4)*$C314</f>
        <v>3574216</v>
      </c>
      <c r="K314" s="22">
        <f>INDEX(Notes!$I$2:$N$11,MATCH(Notes!$B$2,Notes!$I$2:$I$11,0),5)*$D314</f>
        <v>1776872</v>
      </c>
      <c r="L314" s="22">
        <f>INDEX(Notes!$I$2:$N$11,MATCH(Notes!$B$2,Notes!$I$2:$I$11,0),6)*$E314</f>
        <v>2665311</v>
      </c>
      <c r="M314" s="22">
        <f>IF(Notes!$B$2="June",'Payment Total'!$F314,0)</f>
        <v>0</v>
      </c>
      <c r="N314" s="22">
        <f t="shared" si="16"/>
        <v>0</v>
      </c>
      <c r="P314" s="26" t="s">
        <v>1150</v>
      </c>
      <c r="Q314" s="26">
        <v>888437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5073258</v>
      </c>
      <c r="E315" s="160">
        <f>INDEX(Data[],MATCH($A315,Data[Dist],0),MATCH(E$6,Data[#Headers],0))</f>
        <v>5073259</v>
      </c>
      <c r="F315" s="160">
        <f>INDEX(Data[],MATCH($A315,Data[Dist],0),MATCH(F$6,Data[#Headers],0))</f>
        <v>5073257</v>
      </c>
      <c r="G315" s="22">
        <f>INDEX(Data[],MATCH($A315,Data[Dist],0),MATCH(G$6,Data[#Headers],0))</f>
        <v>45789609</v>
      </c>
      <c r="H315" s="22">
        <f>INDEX(Data[],MATCH($A315,Data[Dist],0),MATCH(H$6,Data[#Headers],0))-G315</f>
        <v>5073257</v>
      </c>
      <c r="I315" s="25"/>
      <c r="J315" s="22">
        <f>INDEX(Notes!$I$2:$N$11,MATCH(Notes!$B$2,Notes!$I$2:$I$11,0),4)*$C315</f>
        <v>20423316</v>
      </c>
      <c r="K315" s="22">
        <f>INDEX(Notes!$I$2:$N$11,MATCH(Notes!$B$2,Notes!$I$2:$I$11,0),5)*$D315</f>
        <v>10146516</v>
      </c>
      <c r="L315" s="22">
        <f>INDEX(Notes!$I$2:$N$11,MATCH(Notes!$B$2,Notes!$I$2:$I$11,0),6)*$E315</f>
        <v>15219777</v>
      </c>
      <c r="M315" s="22">
        <f>IF(Notes!$B$2="June",'Payment Total'!$F315,0)</f>
        <v>0</v>
      </c>
      <c r="N315" s="22">
        <f t="shared" si="16"/>
        <v>0</v>
      </c>
      <c r="P315" s="26" t="s">
        <v>1151</v>
      </c>
      <c r="Q315" s="26">
        <v>5073259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2035792</v>
      </c>
      <c r="E316" s="160">
        <f>INDEX(Data[],MATCH($A316,Data[Dist],0),MATCH(E$6,Data[#Headers],0))</f>
        <v>2035791</v>
      </c>
      <c r="F316" s="160">
        <f>INDEX(Data[],MATCH($A316,Data[Dist],0),MATCH(F$6,Data[#Headers],0))</f>
        <v>2035792</v>
      </c>
      <c r="G316" s="22">
        <f>INDEX(Data[],MATCH($A316,Data[Dist],0),MATCH(G$6,Data[#Headers],0))</f>
        <v>18370165</v>
      </c>
      <c r="H316" s="22">
        <f>INDEX(Data[],MATCH($A316,Data[Dist],0),MATCH(H$6,Data[#Headers],0))-G316</f>
        <v>2035792</v>
      </c>
      <c r="I316" s="25"/>
      <c r="J316" s="22">
        <f>INDEX(Notes!$I$2:$N$11,MATCH(Notes!$B$2,Notes!$I$2:$I$11,0),4)*$C316</f>
        <v>8191208</v>
      </c>
      <c r="K316" s="22">
        <f>INDEX(Notes!$I$2:$N$11,MATCH(Notes!$B$2,Notes!$I$2:$I$11,0),5)*$D316</f>
        <v>4071584</v>
      </c>
      <c r="L316" s="22">
        <f>INDEX(Notes!$I$2:$N$11,MATCH(Notes!$B$2,Notes!$I$2:$I$11,0),6)*$E316</f>
        <v>6107373</v>
      </c>
      <c r="M316" s="22">
        <f>IF(Notes!$B$2="June",'Payment Total'!$F316,0)</f>
        <v>0</v>
      </c>
      <c r="N316" s="22">
        <f t="shared" si="16"/>
        <v>0</v>
      </c>
      <c r="P316" s="26" t="s">
        <v>1152</v>
      </c>
      <c r="Q316" s="26">
        <v>2035791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198243</v>
      </c>
      <c r="E317" s="160">
        <f>INDEX(Data[],MATCH($A317,Data[Dist],0),MATCH(E$6,Data[#Headers],0))</f>
        <v>198243</v>
      </c>
      <c r="F317" s="160">
        <f>INDEX(Data[],MATCH($A317,Data[Dist],0),MATCH(F$6,Data[#Headers],0))</f>
        <v>198242</v>
      </c>
      <c r="G317" s="22">
        <f>INDEX(Data[],MATCH($A317,Data[Dist],0),MATCH(G$6,Data[#Headers],0))</f>
        <v>1789535</v>
      </c>
      <c r="H317" s="22">
        <f>INDEX(Data[],MATCH($A317,Data[Dist],0),MATCH(H$6,Data[#Headers],0))-G317</f>
        <v>198242</v>
      </c>
      <c r="I317" s="25"/>
      <c r="J317" s="22">
        <f>INDEX(Notes!$I$2:$N$11,MATCH(Notes!$B$2,Notes!$I$2:$I$11,0),4)*$C317</f>
        <v>798320</v>
      </c>
      <c r="K317" s="22">
        <f>INDEX(Notes!$I$2:$N$11,MATCH(Notes!$B$2,Notes!$I$2:$I$11,0),5)*$D317</f>
        <v>396486</v>
      </c>
      <c r="L317" s="22">
        <f>INDEX(Notes!$I$2:$N$11,MATCH(Notes!$B$2,Notes!$I$2:$I$11,0),6)*$E317</f>
        <v>594729</v>
      </c>
      <c r="M317" s="22">
        <f>IF(Notes!$B$2="June",'Payment Total'!$F317,0)</f>
        <v>0</v>
      </c>
      <c r="N317" s="22">
        <f>SUM(J317:M317)-G317</f>
        <v>0</v>
      </c>
      <c r="P317" s="26" t="s">
        <v>1153</v>
      </c>
      <c r="Q317" s="26">
        <v>198243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977029</v>
      </c>
      <c r="E318" s="160">
        <f>INDEX(Data[],MATCH($A318,Data[Dist],0),MATCH(E$6,Data[#Headers],0))</f>
        <v>977030</v>
      </c>
      <c r="F318" s="160">
        <f>INDEX(Data[],MATCH($A318,Data[Dist],0),MATCH(F$6,Data[#Headers],0))</f>
        <v>977028</v>
      </c>
      <c r="G318" s="22">
        <f>INDEX(Data[],MATCH($A318,Data[Dist],0),MATCH(G$6,Data[#Headers],0))</f>
        <v>8811808</v>
      </c>
      <c r="H318" s="22">
        <f>INDEX(Data[],MATCH($A318,Data[Dist],0),MATCH(H$6,Data[#Headers],0))-G318</f>
        <v>977028</v>
      </c>
      <c r="I318" s="25"/>
      <c r="J318" s="22">
        <f>INDEX(Notes!$I$2:$N$11,MATCH(Notes!$B$2,Notes!$I$2:$I$11,0),4)*$C318</f>
        <v>3926660</v>
      </c>
      <c r="K318" s="22">
        <f>INDEX(Notes!$I$2:$N$11,MATCH(Notes!$B$2,Notes!$I$2:$I$11,0),5)*$D318</f>
        <v>1954058</v>
      </c>
      <c r="L318" s="22">
        <f>INDEX(Notes!$I$2:$N$11,MATCH(Notes!$B$2,Notes!$I$2:$I$11,0),6)*$E318</f>
        <v>2931090</v>
      </c>
      <c r="M318" s="22">
        <f>IF(Notes!$B$2="June",'Payment Total'!$F318,0)</f>
        <v>0</v>
      </c>
      <c r="N318" s="22">
        <f t="shared" si="16"/>
        <v>0</v>
      </c>
      <c r="P318" s="26" t="s">
        <v>1154</v>
      </c>
      <c r="Q318" s="26">
        <v>977030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560052</v>
      </c>
      <c r="E319" s="160">
        <f>INDEX(Data[],MATCH($A319,Data[Dist],0),MATCH(E$6,Data[#Headers],0))</f>
        <v>560052</v>
      </c>
      <c r="F319" s="160">
        <f>INDEX(Data[],MATCH($A319,Data[Dist],0),MATCH(F$6,Data[#Headers],0))</f>
        <v>560051</v>
      </c>
      <c r="G319" s="22">
        <f>INDEX(Data[],MATCH($A319,Data[Dist],0),MATCH(G$6,Data[#Headers],0))</f>
        <v>5054552</v>
      </c>
      <c r="H319" s="22">
        <f>INDEX(Data[],MATCH($A319,Data[Dist],0),MATCH(H$6,Data[#Headers],0))-G319</f>
        <v>560051</v>
      </c>
      <c r="I319" s="25"/>
      <c r="J319" s="22">
        <f>INDEX(Notes!$I$2:$N$11,MATCH(Notes!$B$2,Notes!$I$2:$I$11,0),4)*$C319</f>
        <v>2254292</v>
      </c>
      <c r="K319" s="22">
        <f>INDEX(Notes!$I$2:$N$11,MATCH(Notes!$B$2,Notes!$I$2:$I$11,0),5)*$D319</f>
        <v>1120104</v>
      </c>
      <c r="L319" s="22">
        <f>INDEX(Notes!$I$2:$N$11,MATCH(Notes!$B$2,Notes!$I$2:$I$11,0),6)*$E319</f>
        <v>1680156</v>
      </c>
      <c r="M319" s="22">
        <f>IF(Notes!$B$2="June",'Payment Total'!$F319,0)</f>
        <v>0</v>
      </c>
      <c r="N319" s="22">
        <f t="shared" si="16"/>
        <v>0</v>
      </c>
      <c r="P319" s="26" t="s">
        <v>1155</v>
      </c>
      <c r="Q319" s="26">
        <v>560052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517911</v>
      </c>
      <c r="E320" s="160">
        <f>INDEX(Data[],MATCH($A320,Data[Dist],0),MATCH(E$6,Data[#Headers],0))</f>
        <v>517911</v>
      </c>
      <c r="F320" s="160">
        <f>INDEX(Data[],MATCH($A320,Data[Dist],0),MATCH(F$6,Data[#Headers],0))</f>
        <v>517912</v>
      </c>
      <c r="G320" s="22">
        <f>INDEX(Data[],MATCH($A320,Data[Dist],0),MATCH(G$6,Data[#Headers],0))</f>
        <v>4673011</v>
      </c>
      <c r="H320" s="22">
        <f>INDEX(Data[],MATCH($A320,Data[Dist],0),MATCH(H$6,Data[#Headers],0))-G320</f>
        <v>517912</v>
      </c>
      <c r="I320" s="25"/>
      <c r="J320" s="22">
        <f>INDEX(Notes!$I$2:$N$11,MATCH(Notes!$B$2,Notes!$I$2:$I$11,0),4)*$C320</f>
        <v>2083456</v>
      </c>
      <c r="K320" s="22">
        <f>INDEX(Notes!$I$2:$N$11,MATCH(Notes!$B$2,Notes!$I$2:$I$11,0),5)*$D320</f>
        <v>1035822</v>
      </c>
      <c r="L320" s="22">
        <f>INDEX(Notes!$I$2:$N$11,MATCH(Notes!$B$2,Notes!$I$2:$I$11,0),6)*$E320</f>
        <v>1553733</v>
      </c>
      <c r="M320" s="22">
        <f>IF(Notes!$B$2="June",'Payment Total'!$F320,0)</f>
        <v>0</v>
      </c>
      <c r="N320" s="22">
        <f t="shared" si="16"/>
        <v>0</v>
      </c>
      <c r="P320" s="26" t="s">
        <v>1156</v>
      </c>
      <c r="Q320" s="26">
        <v>517911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399960</v>
      </c>
      <c r="E321" s="160">
        <f>INDEX(Data[],MATCH($A321,Data[Dist],0),MATCH(E$6,Data[#Headers],0))</f>
        <v>395196</v>
      </c>
      <c r="F321" s="160">
        <f>INDEX(Data[],MATCH($A321,Data[Dist],0),MATCH(F$6,Data[#Headers],0))</f>
        <v>395197</v>
      </c>
      <c r="G321" s="22">
        <f>INDEX(Data[],MATCH($A321,Data[Dist],0),MATCH(G$6,Data[#Headers],0))</f>
        <v>3594380</v>
      </c>
      <c r="H321" s="22">
        <f>INDEX(Data[],MATCH($A321,Data[Dist],0),MATCH(H$6,Data[#Headers],0))-G321</f>
        <v>395197</v>
      </c>
      <c r="I321" s="25"/>
      <c r="J321" s="22">
        <f>INDEX(Notes!$I$2:$N$11,MATCH(Notes!$B$2,Notes!$I$2:$I$11,0),4)*$C321</f>
        <v>1608872</v>
      </c>
      <c r="K321" s="22">
        <f>INDEX(Notes!$I$2:$N$11,MATCH(Notes!$B$2,Notes!$I$2:$I$11,0),5)*$D321</f>
        <v>799920</v>
      </c>
      <c r="L321" s="22">
        <f>INDEX(Notes!$I$2:$N$11,MATCH(Notes!$B$2,Notes!$I$2:$I$11,0),6)*$E321</f>
        <v>1185588</v>
      </c>
      <c r="M321" s="22">
        <f>IF(Notes!$B$2="June",'Payment Total'!$F321,0)</f>
        <v>0</v>
      </c>
      <c r="N321" s="22">
        <f t="shared" si="16"/>
        <v>0</v>
      </c>
      <c r="P321" s="26" t="s">
        <v>1157</v>
      </c>
      <c r="Q321" s="26">
        <v>395196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640738</v>
      </c>
      <c r="E322" s="160">
        <f>INDEX(Data[],MATCH($A322,Data[Dist],0),MATCH(E$6,Data[#Headers],0))</f>
        <v>640737</v>
      </c>
      <c r="F322" s="160">
        <f>INDEX(Data[],MATCH($A322,Data[Dist],0),MATCH(F$6,Data[#Headers],0))</f>
        <v>640738</v>
      </c>
      <c r="G322" s="22">
        <f>INDEX(Data[],MATCH($A322,Data[Dist],0),MATCH(G$6,Data[#Headers],0))</f>
        <v>5778571</v>
      </c>
      <c r="H322" s="22">
        <f>INDEX(Data[],MATCH($A322,Data[Dist],0),MATCH(H$6,Data[#Headers],0))-G322</f>
        <v>640738</v>
      </c>
      <c r="I322" s="25"/>
      <c r="J322" s="22">
        <f>INDEX(Notes!$I$2:$N$11,MATCH(Notes!$B$2,Notes!$I$2:$I$11,0),4)*$C322</f>
        <v>2574884</v>
      </c>
      <c r="K322" s="22">
        <f>INDEX(Notes!$I$2:$N$11,MATCH(Notes!$B$2,Notes!$I$2:$I$11,0),5)*$D322</f>
        <v>1281476</v>
      </c>
      <c r="L322" s="22">
        <f>INDEX(Notes!$I$2:$N$11,MATCH(Notes!$B$2,Notes!$I$2:$I$11,0),6)*$E322</f>
        <v>1922211</v>
      </c>
      <c r="M322" s="22">
        <f>IF(Notes!$B$2="June",'Payment Total'!$F322,0)</f>
        <v>0</v>
      </c>
      <c r="N322" s="22">
        <f t="shared" si="16"/>
        <v>0</v>
      </c>
      <c r="P322" s="26" t="s">
        <v>1158</v>
      </c>
      <c r="Q322" s="26">
        <v>640737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274374</v>
      </c>
      <c r="E323" s="160">
        <f>INDEX(Data[],MATCH($A323,Data[Dist],0),MATCH(E$6,Data[#Headers],0))</f>
        <v>274374</v>
      </c>
      <c r="F323" s="160">
        <f>INDEX(Data[],MATCH($A323,Data[Dist],0),MATCH(F$6,Data[#Headers],0))</f>
        <v>274372</v>
      </c>
      <c r="G323" s="22">
        <f>INDEX(Data[],MATCH($A323,Data[Dist],0),MATCH(G$6,Data[#Headers],0))</f>
        <v>2477346</v>
      </c>
      <c r="H323" s="22">
        <f>INDEX(Data[],MATCH($A323,Data[Dist],0),MATCH(H$6,Data[#Headers],0))-G323</f>
        <v>274372</v>
      </c>
      <c r="I323" s="25"/>
      <c r="J323" s="22">
        <f>INDEX(Notes!$I$2:$N$11,MATCH(Notes!$B$2,Notes!$I$2:$I$11,0),4)*$C323</f>
        <v>1105476</v>
      </c>
      <c r="K323" s="22">
        <f>INDEX(Notes!$I$2:$N$11,MATCH(Notes!$B$2,Notes!$I$2:$I$11,0),5)*$D323</f>
        <v>548748</v>
      </c>
      <c r="L323" s="22">
        <f>INDEX(Notes!$I$2:$N$11,MATCH(Notes!$B$2,Notes!$I$2:$I$11,0),6)*$E323</f>
        <v>823122</v>
      </c>
      <c r="M323" s="22">
        <f>IF(Notes!$B$2="June",'Payment Total'!$F323,0)</f>
        <v>0</v>
      </c>
      <c r="N323" s="22">
        <f t="shared" si="16"/>
        <v>0</v>
      </c>
      <c r="P323" s="26" t="s">
        <v>1159</v>
      </c>
      <c r="Q323" s="26">
        <v>274374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104528</v>
      </c>
      <c r="E324" s="160">
        <f>INDEX(Data[],MATCH($A324,Data[Dist],0),MATCH(E$6,Data[#Headers],0))</f>
        <v>104528</v>
      </c>
      <c r="F324" s="160">
        <f>INDEX(Data[],MATCH($A324,Data[Dist],0),MATCH(F$6,Data[#Headers],0))</f>
        <v>104527</v>
      </c>
      <c r="G324" s="22">
        <f>INDEX(Data[],MATCH($A324,Data[Dist],0),MATCH(G$6,Data[#Headers],0))</f>
        <v>943520</v>
      </c>
      <c r="H324" s="22">
        <f>INDEX(Data[],MATCH($A324,Data[Dist],0),MATCH(H$6,Data[#Headers],0))-G324</f>
        <v>104527</v>
      </c>
      <c r="I324" s="25"/>
      <c r="J324" s="22">
        <f>INDEX(Notes!$I$2:$N$11,MATCH(Notes!$B$2,Notes!$I$2:$I$11,0),4)*$C324</f>
        <v>420880</v>
      </c>
      <c r="K324" s="22">
        <f>INDEX(Notes!$I$2:$N$11,MATCH(Notes!$B$2,Notes!$I$2:$I$11,0),5)*$D324</f>
        <v>209056</v>
      </c>
      <c r="L324" s="22">
        <f>INDEX(Notes!$I$2:$N$11,MATCH(Notes!$B$2,Notes!$I$2:$I$11,0),6)*$E324</f>
        <v>313584</v>
      </c>
      <c r="M324" s="22">
        <f>IF(Notes!$B$2="June",'Payment Total'!$F324,0)</f>
        <v>0</v>
      </c>
      <c r="N324" s="22">
        <f t="shared" si="16"/>
        <v>0</v>
      </c>
      <c r="P324" s="26" t="s">
        <v>1160</v>
      </c>
      <c r="Q324" s="26">
        <v>104528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776776</v>
      </c>
      <c r="E325" s="160">
        <f>INDEX(Data[],MATCH($A325,Data[Dist],0),MATCH(E$6,Data[#Headers],0))</f>
        <v>776776</v>
      </c>
      <c r="F325" s="160">
        <f>INDEX(Data[],MATCH($A325,Data[Dist],0),MATCH(F$6,Data[#Headers],0))</f>
        <v>776777</v>
      </c>
      <c r="G325" s="22">
        <f>INDEX(Data[],MATCH($A325,Data[Dist],0),MATCH(G$6,Data[#Headers],0))</f>
        <v>7008404</v>
      </c>
      <c r="H325" s="22">
        <f>INDEX(Data[],MATCH($A325,Data[Dist],0),MATCH(H$6,Data[#Headers],0))-G325</f>
        <v>776777</v>
      </c>
      <c r="I325" s="25"/>
      <c r="J325" s="22">
        <f>INDEX(Notes!$I$2:$N$11,MATCH(Notes!$B$2,Notes!$I$2:$I$11,0),4)*$C325</f>
        <v>3124524</v>
      </c>
      <c r="K325" s="22">
        <f>INDEX(Notes!$I$2:$N$11,MATCH(Notes!$B$2,Notes!$I$2:$I$11,0),5)*$D325</f>
        <v>1553552</v>
      </c>
      <c r="L325" s="22">
        <f>INDEX(Notes!$I$2:$N$11,MATCH(Notes!$B$2,Notes!$I$2:$I$11,0),6)*$E325</f>
        <v>2330328</v>
      </c>
      <c r="M325" s="22">
        <f>IF(Notes!$B$2="June",'Payment Total'!$F325,0)</f>
        <v>0</v>
      </c>
      <c r="N325" s="22">
        <f t="shared" si="16"/>
        <v>0</v>
      </c>
      <c r="P325" s="26" t="s">
        <v>1161</v>
      </c>
      <c r="Q325" s="26">
        <v>776776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625383</v>
      </c>
      <c r="E326" s="160">
        <f>INDEX(Data[],MATCH($A326,Data[Dist],0),MATCH(E$6,Data[#Headers],0))</f>
        <v>625383</v>
      </c>
      <c r="F326" s="160">
        <f>INDEX(Data[],MATCH($A326,Data[Dist],0),MATCH(F$6,Data[#Headers],0))</f>
        <v>625384</v>
      </c>
      <c r="G326" s="22">
        <f>INDEX(Data[],MATCH($A326,Data[Dist],0),MATCH(G$6,Data[#Headers],0))</f>
        <v>5641239</v>
      </c>
      <c r="H326" s="22">
        <f>INDEX(Data[],MATCH($A326,Data[Dist],0),MATCH(H$6,Data[#Headers],0))-G326</f>
        <v>625384</v>
      </c>
      <c r="I326" s="25"/>
      <c r="J326" s="22">
        <f>INDEX(Notes!$I$2:$N$11,MATCH(Notes!$B$2,Notes!$I$2:$I$11,0),4)*$C326</f>
        <v>2514324</v>
      </c>
      <c r="K326" s="22">
        <f>INDEX(Notes!$I$2:$N$11,MATCH(Notes!$B$2,Notes!$I$2:$I$11,0),5)*$D326</f>
        <v>1250766</v>
      </c>
      <c r="L326" s="22">
        <f>INDEX(Notes!$I$2:$N$11,MATCH(Notes!$B$2,Notes!$I$2:$I$11,0),6)*$E326</f>
        <v>1876149</v>
      </c>
      <c r="M326" s="22">
        <f>IF(Notes!$B$2="June",'Payment Total'!$F326,0)</f>
        <v>0</v>
      </c>
      <c r="N326" s="22">
        <f t="shared" si="16"/>
        <v>0</v>
      </c>
      <c r="P326" s="26" t="s">
        <v>1162</v>
      </c>
      <c r="Q326" s="26">
        <v>625383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217098</v>
      </c>
      <c r="E327" s="160">
        <f>INDEX(Data[],MATCH($A327,Data[Dist],0),MATCH(E$6,Data[#Headers],0))</f>
        <v>217098</v>
      </c>
      <c r="F327" s="160">
        <f>INDEX(Data[],MATCH($A327,Data[Dist],0),MATCH(F$6,Data[#Headers],0))</f>
        <v>217098</v>
      </c>
      <c r="G327" s="22">
        <f>INDEX(Data[],MATCH($A327,Data[Dist],0),MATCH(G$6,Data[#Headers],0))</f>
        <v>1958482</v>
      </c>
      <c r="H327" s="22">
        <f>INDEX(Data[],MATCH($A327,Data[Dist],0),MATCH(H$6,Data[#Headers],0))-G327</f>
        <v>217098</v>
      </c>
      <c r="I327" s="25"/>
      <c r="J327" s="22">
        <f>INDEX(Notes!$I$2:$N$11,MATCH(Notes!$B$2,Notes!$I$2:$I$11,0),4)*$C327</f>
        <v>872992</v>
      </c>
      <c r="K327" s="22">
        <f>INDEX(Notes!$I$2:$N$11,MATCH(Notes!$B$2,Notes!$I$2:$I$11,0),5)*$D327</f>
        <v>434196</v>
      </c>
      <c r="L327" s="22">
        <f>INDEX(Notes!$I$2:$N$11,MATCH(Notes!$B$2,Notes!$I$2:$I$11,0),6)*$E327</f>
        <v>651294</v>
      </c>
      <c r="M327" s="22">
        <f>IF(Notes!$B$2="June",'Payment Total'!$F327,0)</f>
        <v>0</v>
      </c>
      <c r="N327" s="22">
        <f t="shared" si="16"/>
        <v>0</v>
      </c>
      <c r="P327" s="26" t="s">
        <v>1163</v>
      </c>
      <c r="Q327" s="26">
        <v>217098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1175397</v>
      </c>
      <c r="E328" s="160">
        <f>INDEX(Data[],MATCH($A328,Data[Dist],0),MATCH(E$6,Data[#Headers],0))</f>
        <v>1175397</v>
      </c>
      <c r="F328" s="160">
        <f>INDEX(Data[],MATCH($A328,Data[Dist],0),MATCH(F$6,Data[#Headers],0))</f>
        <v>1175398</v>
      </c>
      <c r="G328" s="22">
        <f>INDEX(Data[],MATCH($A328,Data[Dist],0),MATCH(G$6,Data[#Headers],0))</f>
        <v>10603601</v>
      </c>
      <c r="H328" s="22">
        <f>INDEX(Data[],MATCH($A328,Data[Dist],0),MATCH(H$6,Data[#Headers],0))-G328</f>
        <v>1175398</v>
      </c>
      <c r="I328" s="25"/>
      <c r="J328" s="22">
        <f>INDEX(Notes!$I$2:$N$11,MATCH(Notes!$B$2,Notes!$I$2:$I$11,0),4)*$C328</f>
        <v>4726616</v>
      </c>
      <c r="K328" s="22">
        <f>INDEX(Notes!$I$2:$N$11,MATCH(Notes!$B$2,Notes!$I$2:$I$11,0),5)*$D328</f>
        <v>2350794</v>
      </c>
      <c r="L328" s="22">
        <f>INDEX(Notes!$I$2:$N$11,MATCH(Notes!$B$2,Notes!$I$2:$I$11,0),6)*$E328</f>
        <v>3526191</v>
      </c>
      <c r="M328" s="22">
        <f>IF(Notes!$B$2="June",'Payment Total'!$F328,0)</f>
        <v>0</v>
      </c>
      <c r="N328" s="22">
        <f t="shared" ref="N328:N331" si="20">SUM(J328:M328)-G328</f>
        <v>0</v>
      </c>
      <c r="P328" s="26" t="s">
        <v>1164</v>
      </c>
      <c r="Q328" s="26">
        <v>1175397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INDEX($A$7:$H$331,MATCH($S328,$A$7:$A$331,0),5)-Q328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323550</v>
      </c>
      <c r="E329" s="160">
        <f>INDEX(Data[],MATCH($A329,Data[Dist],0),MATCH(E$6,Data[#Headers],0))</f>
        <v>323550</v>
      </c>
      <c r="F329" s="160">
        <f>INDEX(Data[],MATCH($A329,Data[Dist],0),MATCH(F$6,Data[#Headers],0))</f>
        <v>323548</v>
      </c>
      <c r="G329" s="22">
        <f>INDEX(Data[],MATCH($A329,Data[Dist],0),MATCH(G$6,Data[#Headers],0))</f>
        <v>2918942</v>
      </c>
      <c r="H329" s="22">
        <f>INDEX(Data[],MATCH($A329,Data[Dist],0),MATCH(H$6,Data[#Headers],0))-G329</f>
        <v>323548</v>
      </c>
      <c r="I329" s="25"/>
      <c r="J329" s="22">
        <f>INDEX(Notes!$I$2:$N$11,MATCH(Notes!$B$2,Notes!$I$2:$I$11,0),4)*$C329</f>
        <v>1301192</v>
      </c>
      <c r="K329" s="22">
        <f>INDEX(Notes!$I$2:$N$11,MATCH(Notes!$B$2,Notes!$I$2:$I$11,0),5)*$D329</f>
        <v>647100</v>
      </c>
      <c r="L329" s="22">
        <f>INDEX(Notes!$I$2:$N$11,MATCH(Notes!$B$2,Notes!$I$2:$I$11,0),6)*$E329</f>
        <v>970650</v>
      </c>
      <c r="M329" s="22">
        <f>IF(Notes!$B$2="June",'Payment Total'!$F329,0)</f>
        <v>0</v>
      </c>
      <c r="N329" s="22">
        <f t="shared" si="20"/>
        <v>0</v>
      </c>
      <c r="P329" s="26" t="s">
        <v>1165</v>
      </c>
      <c r="Q329" s="26">
        <v>323550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363266</v>
      </c>
      <c r="E330" s="160">
        <f>INDEX(Data[],MATCH($A330,Data[Dist],0),MATCH(E$6,Data[#Headers],0))</f>
        <v>363266</v>
      </c>
      <c r="F330" s="160">
        <f>INDEX(Data[],MATCH($A330,Data[Dist],0),MATCH(F$6,Data[#Headers],0))</f>
        <v>363264</v>
      </c>
      <c r="G330" s="22">
        <f>INDEX(Data[],MATCH($A330,Data[Dist],0),MATCH(G$6,Data[#Headers],0))</f>
        <v>3277150</v>
      </c>
      <c r="H330" s="22">
        <f>INDEX(Data[],MATCH($A330,Data[Dist],0),MATCH(H$6,Data[#Headers],0))-G330</f>
        <v>363264</v>
      </c>
      <c r="I330" s="25"/>
      <c r="J330" s="22">
        <f>INDEX(Notes!$I$2:$N$11,MATCH(Notes!$B$2,Notes!$I$2:$I$11,0),4)*$C330</f>
        <v>1460820</v>
      </c>
      <c r="K330" s="22">
        <f>INDEX(Notes!$I$2:$N$11,MATCH(Notes!$B$2,Notes!$I$2:$I$11,0),5)*$D330</f>
        <v>726532</v>
      </c>
      <c r="L330" s="22">
        <f>INDEX(Notes!$I$2:$N$11,MATCH(Notes!$B$2,Notes!$I$2:$I$11,0),6)*$E330</f>
        <v>1089798</v>
      </c>
      <c r="M330" s="22">
        <f>IF(Notes!$B$2="June",'Payment Total'!$F330,0)</f>
        <v>0</v>
      </c>
      <c r="N330" s="22">
        <f t="shared" si="20"/>
        <v>0</v>
      </c>
      <c r="P330" s="26" t="s">
        <v>1166</v>
      </c>
      <c r="Q330" s="26">
        <v>363266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736974</v>
      </c>
      <c r="E331" s="160">
        <f>INDEX(Data[],MATCH($A331,Data[Dist],0),MATCH(E$6,Data[#Headers],0))</f>
        <v>736974</v>
      </c>
      <c r="F331" s="160">
        <f>INDEX(Data[],MATCH($A331,Data[Dist],0),MATCH(F$6,Data[#Headers],0))</f>
        <v>736974</v>
      </c>
      <c r="G331" s="22">
        <f>INDEX(Data[],MATCH($A331,Data[Dist],0),MATCH(G$6,Data[#Headers],0))</f>
        <v>6648726</v>
      </c>
      <c r="H331" s="22">
        <f>INDEX(Data[],MATCH($A331,Data[Dist],0),MATCH(H$6,Data[#Headers],0))-G331</f>
        <v>736974</v>
      </c>
      <c r="I331" s="25"/>
      <c r="J331" s="22">
        <f>INDEX(Notes!$I$2:$N$11,MATCH(Notes!$B$2,Notes!$I$2:$I$11,0),4)*$C331</f>
        <v>2963856</v>
      </c>
      <c r="K331" s="22">
        <f>INDEX(Notes!$I$2:$N$11,MATCH(Notes!$B$2,Notes!$I$2:$I$11,0),5)*$D331</f>
        <v>1473948</v>
      </c>
      <c r="L331" s="22">
        <f>INDEX(Notes!$I$2:$N$11,MATCH(Notes!$B$2,Notes!$I$2:$I$11,0),6)*$E331</f>
        <v>2210922</v>
      </c>
      <c r="M331" s="22">
        <f>IF(Notes!$B$2="June",'Payment Total'!$F331,0)</f>
        <v>0</v>
      </c>
      <c r="N331" s="22">
        <f t="shared" si="20"/>
        <v>0</v>
      </c>
      <c r="P331" s="26" t="s">
        <v>1167</v>
      </c>
      <c r="Q331" s="26">
        <v>736974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345552711</v>
      </c>
      <c r="E332" s="161">
        <f t="shared" si="24"/>
        <v>344600393</v>
      </c>
      <c r="F332" s="161">
        <f t="shared" si="24"/>
        <v>344600212</v>
      </c>
      <c r="G332" s="24">
        <f t="shared" si="24"/>
        <v>3114420449</v>
      </c>
      <c r="H332" s="24">
        <f t="shared" si="24"/>
        <v>344600212</v>
      </c>
      <c r="Q332" s="21">
        <f>SUM(Q7:Q331)</f>
        <v>344600393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(May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801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755</v>
      </c>
      <c r="Q3" s="153" t="s">
        <v>707</v>
      </c>
      <c r="R3" s="153" t="s">
        <v>361</v>
      </c>
      <c r="S3" s="153" t="s">
        <v>362</v>
      </c>
      <c r="T3" s="153" t="s">
        <v>754</v>
      </c>
      <c r="U3" s="153" t="s">
        <v>756</v>
      </c>
      <c r="V3" s="153"/>
      <c r="W3" s="153"/>
    </row>
    <row r="4" spans="1:24" s="14" customFormat="1" ht="38.25" x14ac:dyDescent="0.2">
      <c r="A4" s="13"/>
      <c r="C4" s="33" t="s">
        <v>755</v>
      </c>
      <c r="D4" s="33" t="s">
        <v>707</v>
      </c>
      <c r="E4" s="34" t="s">
        <v>361</v>
      </c>
      <c r="F4" s="33" t="s">
        <v>362</v>
      </c>
      <c r="G4" s="33" t="s">
        <v>754</v>
      </c>
      <c r="H4" s="34" t="s">
        <v>756</v>
      </c>
      <c r="I4" s="34" t="s">
        <v>359</v>
      </c>
      <c r="K4" s="68" t="s">
        <v>743</v>
      </c>
      <c r="L4" s="219"/>
      <c r="M4" s="219"/>
      <c r="N4" s="219"/>
      <c r="O4" s="219"/>
      <c r="P4" s="153" t="s">
        <v>771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May Payment</v>
      </c>
      <c r="K5" s="67" t="s">
        <v>744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17484</v>
      </c>
      <c r="D6" s="22">
        <f>IF(Notes!$B$2="June",ROUND('Budget by Source'!D6/10,0)+Q6,ROUND('Budget by Source'!D6/10,0))</f>
        <v>46843</v>
      </c>
      <c r="E6" s="22">
        <f>IF(Notes!$B$2="June",ROUND('Budget by Source'!E6/10,0)+R6,ROUND('Budget by Source'!E6/10,0))</f>
        <v>4571</v>
      </c>
      <c r="F6" s="22">
        <f>IF(Notes!$B$2="June",ROUND('Budget by Source'!F6/10,0)+S6,ROUND('Budget by Source'!F6/10,0))</f>
        <v>5081</v>
      </c>
      <c r="G6" s="22">
        <f>IF(Notes!$B$2="June",ROUND('Budget by Source'!G6/10,0)+T6,ROUND('Budget by Source'!G6/10,0))</f>
        <v>25296</v>
      </c>
      <c r="H6" s="22">
        <f>I6-SUM(C6:G6)</f>
        <v>287402</v>
      </c>
      <c r="I6" s="22">
        <f>INDEX(Data[],MATCH($A6,Data[Dist],0),MATCH(I$5,Data[#Headers],0))</f>
        <v>386677</v>
      </c>
      <c r="K6" s="69">
        <f>INDEX('Payment Total'!$A$7:$H$331,MATCH('Payment by Source'!$A6,'Payment Total'!$A$7:$A$331,0),5)-I6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2884322</v>
      </c>
      <c r="V6" s="152">
        <f>ROUND(U6/10,0)</f>
        <v>288432</v>
      </c>
      <c r="W6" s="152">
        <f>V6*10</f>
        <v>2884320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6842</v>
      </c>
      <c r="D7" s="22">
        <f>IF(Notes!$B$2="June",ROUND('Budget by Source'!D7/10,0)+Q7,ROUND('Budget by Source'!D7/10,0))</f>
        <v>21664</v>
      </c>
      <c r="E7" s="22">
        <f>IF(Notes!$B$2="June",ROUND('Budget by Source'!E7/10,0)+R7,ROUND('Budget by Source'!E7/10,0))</f>
        <v>2416</v>
      </c>
      <c r="F7" s="22">
        <f>IF(Notes!$B$2="June",ROUND('Budget by Source'!F7/10,0)+S7,ROUND('Budget by Source'!F7/10,0))</f>
        <v>2191</v>
      </c>
      <c r="G7" s="22">
        <f>IF(Notes!$B$2="June",ROUND('Budget by Source'!G7/10,0)+T7,ROUND('Budget by Source'!G7/10,0))</f>
        <v>11288</v>
      </c>
      <c r="H7" s="22">
        <f t="shared" ref="H7:H70" si="0">I7-SUM(C7:G7)</f>
        <v>147841</v>
      </c>
      <c r="I7" s="22">
        <f>INDEX(Data[],MATCH($A7,Data[Dist],0),MATCH(I$5,Data[#Headers],0))</f>
        <v>192242</v>
      </c>
      <c r="K7" s="69">
        <f>INDEX('Payment Total'!$A$7:$H$331,MATCH('Payment by Source'!$A7,'Payment Total'!$A$7:$A$331,0),5)-I7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1483012</v>
      </c>
      <c r="V7" s="152">
        <f t="shared" ref="V7:V70" si="1">ROUND(U7/10,0)</f>
        <v>148301</v>
      </c>
      <c r="W7" s="152">
        <f t="shared" ref="W7:W70" si="2">V7*10</f>
        <v>1483010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12923</v>
      </c>
      <c r="D8" s="22">
        <f>IF(Notes!$B$2="June",ROUND('Budget by Source'!D8/10,0)+Q8,ROUND('Budget by Source'!D8/10,0))</f>
        <v>141909</v>
      </c>
      <c r="E8" s="22">
        <f>IF(Notes!$B$2="June",ROUND('Budget by Source'!E8/10,0)+R8,ROUND('Budget by Source'!E8/10,0))</f>
        <v>16139</v>
      </c>
      <c r="F8" s="22">
        <f>IF(Notes!$B$2="June",ROUND('Budget by Source'!F8/10,0)+S8,ROUND('Budget by Source'!F8/10,0))</f>
        <v>15436</v>
      </c>
      <c r="G8" s="22">
        <f>IF(Notes!$B$2="June",ROUND('Budget by Source'!G8/10,0)+T8,ROUND('Budget by Source'!G8/10,0))</f>
        <v>78530</v>
      </c>
      <c r="H8" s="22">
        <f t="shared" si="0"/>
        <v>1285188</v>
      </c>
      <c r="I8" s="22">
        <f>INDEX(Data[],MATCH($A8,Data[Dist],0),MATCH(I$5,Data[#Headers],0))</f>
        <v>1550125</v>
      </c>
      <c r="K8" s="69">
        <f>INDEX('Payment Total'!$A$7:$H$331,MATCH('Payment by Source'!$A8,'Payment Total'!$A$7:$A$331,0),5)-I8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12883863</v>
      </c>
      <c r="V8" s="152">
        <f t="shared" si="1"/>
        <v>1288386</v>
      </c>
      <c r="W8" s="152">
        <f t="shared" si="2"/>
        <v>12883860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9122</v>
      </c>
      <c r="D9" s="22">
        <f>IF(Notes!$B$2="June",ROUND('Budget by Source'!D9/10,0)+Q9,ROUND('Budget by Source'!D9/10,0))</f>
        <v>38665</v>
      </c>
      <c r="E9" s="22">
        <f>IF(Notes!$B$2="June",ROUND('Budget by Source'!E9/10,0)+R9,ROUND('Budget by Source'!E9/10,0))</f>
        <v>4325</v>
      </c>
      <c r="F9" s="22">
        <f>IF(Notes!$B$2="June",ROUND('Budget by Source'!F9/10,0)+S9,ROUND('Budget by Source'!F9/10,0))</f>
        <v>4423</v>
      </c>
      <c r="G9" s="22">
        <f>IF(Notes!$B$2="June",ROUND('Budget by Source'!G9/10,0)+T9,ROUND('Budget by Source'!G9/10,0))</f>
        <v>20461</v>
      </c>
      <c r="H9" s="22">
        <f t="shared" si="0"/>
        <v>319543</v>
      </c>
      <c r="I9" s="22">
        <f>INDEX(Data[],MATCH($A9,Data[Dist],0),MATCH(I$5,Data[#Headers],0))</f>
        <v>396539</v>
      </c>
      <c r="K9" s="69">
        <f>INDEX('Payment Total'!$A$7:$H$331,MATCH('Payment by Source'!$A9,'Payment Total'!$A$7:$A$331,0),5)-I9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3203771</v>
      </c>
      <c r="V9" s="152">
        <f t="shared" si="1"/>
        <v>320377</v>
      </c>
      <c r="W9" s="152">
        <f t="shared" si="2"/>
        <v>3203770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4561</v>
      </c>
      <c r="D10" s="22">
        <f>IF(Notes!$B$2="June",ROUND('Budget by Source'!D10/10,0)+Q10,ROUND('Budget by Source'!D10/10,0))</f>
        <v>12038</v>
      </c>
      <c r="E10" s="22">
        <f>IF(Notes!$B$2="June",ROUND('Budget by Source'!E10/10,0)+R10,ROUND('Budget by Source'!E10/10,0))</f>
        <v>1114</v>
      </c>
      <c r="F10" s="22">
        <f>IF(Notes!$B$2="June",ROUND('Budget by Source'!F10/10,0)+S10,ROUND('Budget by Source'!F10/10,0))</f>
        <v>1065</v>
      </c>
      <c r="G10" s="22">
        <f>IF(Notes!$B$2="June",ROUND('Budget by Source'!G10/10,0)+T10,ROUND('Budget by Source'!G10/10,0))</f>
        <v>7724</v>
      </c>
      <c r="H10" s="22">
        <f t="shared" si="0"/>
        <v>75074</v>
      </c>
      <c r="I10" s="22">
        <f>INDEX(Data[],MATCH($A10,Data[Dist],0),MATCH(I$5,Data[#Headers],0))</f>
        <v>101576</v>
      </c>
      <c r="K10" s="69">
        <f>INDEX('Payment Total'!$A$7:$H$331,MATCH('Payment by Source'!$A10,'Payment Total'!$A$7:$A$331,0),5)-I10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753880</v>
      </c>
      <c r="V10" s="152">
        <f t="shared" si="1"/>
        <v>75388</v>
      </c>
      <c r="W10" s="152">
        <f t="shared" si="2"/>
        <v>753880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19385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675160</v>
      </c>
      <c r="I11" s="22">
        <f>INDEX(Data[],MATCH($A11,Data[Dist],0),MATCH(I$5,Data[#Headers],0))</f>
        <v>822724</v>
      </c>
      <c r="K11" s="69">
        <f>INDEX('Payment Total'!$A$7:$H$331,MATCH('Payment by Source'!$A11,'Payment Total'!$A$7:$A$331,0),5)-I11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6768107</v>
      </c>
      <c r="V11" s="152">
        <f t="shared" si="1"/>
        <v>676811</v>
      </c>
      <c r="W11" s="152">
        <f t="shared" si="2"/>
        <v>6768110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12163</v>
      </c>
      <c r="D12" s="22">
        <f>IF(Notes!$B$2="June",ROUND('Budget by Source'!D12/10,0)+Q12,ROUND('Budget by Source'!D12/10,0))</f>
        <v>34855</v>
      </c>
      <c r="E12" s="22">
        <f>IF(Notes!$B$2="June",ROUND('Budget by Source'!E12/10,0)+R12,ROUND('Budget by Source'!E12/10,0))</f>
        <v>3462</v>
      </c>
      <c r="F12" s="22">
        <f>IF(Notes!$B$2="June",ROUND('Budget by Source'!F12/10,0)+S12,ROUND('Budget by Source'!F12/10,0))</f>
        <v>4015</v>
      </c>
      <c r="G12" s="22">
        <f>IF(Notes!$B$2="June",ROUND('Budget by Source'!G12/10,0)+T12,ROUND('Budget by Source'!G12/10,0))</f>
        <v>19403</v>
      </c>
      <c r="H12" s="22">
        <f t="shared" si="0"/>
        <v>256311</v>
      </c>
      <c r="I12" s="22">
        <f>INDEX(Data[],MATCH($A12,Data[Dist],0),MATCH(I$5,Data[#Headers],0))</f>
        <v>330209</v>
      </c>
      <c r="K12" s="69">
        <f>INDEX('Payment Total'!$A$7:$H$331,MATCH('Payment by Source'!$A12,'Payment Total'!$A$7:$A$331,0),5)-I12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2571022</v>
      </c>
      <c r="V12" s="152">
        <f t="shared" si="1"/>
        <v>257102</v>
      </c>
      <c r="W12" s="152">
        <f t="shared" si="2"/>
        <v>2571020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3041</v>
      </c>
      <c r="D13" s="22">
        <f>IF(Notes!$B$2="June",ROUND('Budget by Source'!D13/10,0)+Q13,ROUND('Budget by Source'!D13/10,0))</f>
        <v>19118</v>
      </c>
      <c r="E13" s="22">
        <f>IF(Notes!$B$2="June",ROUND('Budget by Source'!E13/10,0)+R13,ROUND('Budget by Source'!E13/10,0))</f>
        <v>2369</v>
      </c>
      <c r="F13" s="22">
        <f>IF(Notes!$B$2="June",ROUND('Budget by Source'!F13/10,0)+S13,ROUND('Budget by Source'!F13/10,0))</f>
        <v>1853</v>
      </c>
      <c r="G13" s="22">
        <f>IF(Notes!$B$2="June",ROUND('Budget by Source'!G13/10,0)+T13,ROUND('Budget by Source'!G13/10,0))</f>
        <v>10087</v>
      </c>
      <c r="H13" s="22">
        <f t="shared" si="0"/>
        <v>124157</v>
      </c>
      <c r="I13" s="22">
        <f>INDEX(Data[],MATCH($A13,Data[Dist],0),MATCH(I$5,Data[#Headers],0))</f>
        <v>160625</v>
      </c>
      <c r="K13" s="69">
        <f>INDEX('Payment Total'!$A$7:$H$331,MATCH('Payment by Source'!$A13,'Payment Total'!$A$7:$A$331,0),5)-I13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1245688</v>
      </c>
      <c r="V13" s="152">
        <f t="shared" si="1"/>
        <v>124569</v>
      </c>
      <c r="W13" s="152">
        <f t="shared" si="2"/>
        <v>1245690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41810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9577</v>
      </c>
      <c r="F14" s="22">
        <f>IF(Notes!$B$2="June",ROUND('Budget by Source'!F14/10,0)+S14,ROUND('Budget by Source'!F14/10,0))</f>
        <v>11500</v>
      </c>
      <c r="G14" s="22">
        <f>IF(Notes!$B$2="June",ROUND('Budget by Source'!G14/10,0)+T14,ROUND('Budget by Source'!G14/10,0))</f>
        <v>53304</v>
      </c>
      <c r="H14" s="22">
        <f t="shared" si="0"/>
        <v>668701</v>
      </c>
      <c r="I14" s="22">
        <f>INDEX(Data[],MATCH($A14,Data[Dist],0),MATCH(I$5,Data[#Headers],0))</f>
        <v>881850</v>
      </c>
      <c r="K14" s="69">
        <f>INDEX('Payment Total'!$A$7:$H$331,MATCH('Payment by Source'!$A14,'Payment Total'!$A$7:$A$331,0),5)-I14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6708720</v>
      </c>
      <c r="V14" s="152">
        <f t="shared" si="1"/>
        <v>670872</v>
      </c>
      <c r="W14" s="152">
        <f t="shared" si="2"/>
        <v>6708720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31548</v>
      </c>
      <c r="D15" s="22">
        <f>IF(Notes!$B$2="June",ROUND('Budget by Source'!D15/10,0)+Q15,ROUND('Budget by Source'!D15/10,0))</f>
        <v>70224</v>
      </c>
      <c r="E15" s="22">
        <f>IF(Notes!$B$2="June",ROUND('Budget by Source'!E15/10,0)+R15,ROUND('Budget by Source'!E15/10,0))</f>
        <v>8222</v>
      </c>
      <c r="F15" s="22">
        <f>IF(Notes!$B$2="June",ROUND('Budget by Source'!F15/10,0)+S15,ROUND('Budget by Source'!F15/10,0))</f>
        <v>7491</v>
      </c>
      <c r="G15" s="22">
        <f>IF(Notes!$B$2="June",ROUND('Budget by Source'!G15/10,0)+T15,ROUND('Budget by Source'!G15/10,0))</f>
        <v>40074</v>
      </c>
      <c r="H15" s="22">
        <f t="shared" si="0"/>
        <v>573461</v>
      </c>
      <c r="I15" s="22">
        <f>INDEX(Data[],MATCH($A15,Data[Dist],0),MATCH(I$5,Data[#Headers],0))</f>
        <v>731020</v>
      </c>
      <c r="K15" s="69">
        <f>INDEX('Payment Total'!$A$7:$H$331,MATCH('Payment by Source'!$A15,'Payment Total'!$A$7:$A$331,0),5)-I15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5750928</v>
      </c>
      <c r="V15" s="152">
        <f t="shared" si="1"/>
        <v>575093</v>
      </c>
      <c r="W15" s="152">
        <f t="shared" si="2"/>
        <v>5750930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11023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271221</v>
      </c>
      <c r="I16" s="22">
        <f>INDEX(Data[],MATCH($A16,Data[Dist],0),MATCH(I$5,Data[#Headers],0))</f>
        <v>351864</v>
      </c>
      <c r="K16" s="69">
        <f>INDEX('Payment Total'!$A$7:$H$331,MATCH('Payment by Source'!$A16,'Payment Total'!$A$7:$A$331,0),5)-I16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2720275</v>
      </c>
      <c r="V16" s="152">
        <f t="shared" si="1"/>
        <v>272028</v>
      </c>
      <c r="W16" s="152">
        <f t="shared" si="2"/>
        <v>2720280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14444</v>
      </c>
      <c r="D17" s="22">
        <f>IF(Notes!$B$2="June",ROUND('Budget by Source'!D17/10,0)+Q17,ROUND('Budget by Source'!D17/10,0))</f>
        <v>62237</v>
      </c>
      <c r="E17" s="22">
        <f>IF(Notes!$B$2="June",ROUND('Budget by Source'!E17/10,0)+R17,ROUND('Budget by Source'!E17/10,0))</f>
        <v>7580</v>
      </c>
      <c r="F17" s="22">
        <f>IF(Notes!$B$2="June",ROUND('Budget by Source'!F17/10,0)+S17,ROUND('Budget by Source'!F17/10,0))</f>
        <v>7105</v>
      </c>
      <c r="G17" s="22">
        <f>IF(Notes!$B$2="June",ROUND('Budget by Source'!G17/10,0)+T17,ROUND('Budget by Source'!G17/10,0))</f>
        <v>32165</v>
      </c>
      <c r="H17" s="22">
        <f t="shared" si="0"/>
        <v>384394</v>
      </c>
      <c r="I17" s="22">
        <f>INDEX(Data[],MATCH($A17,Data[Dist],0),MATCH(I$5,Data[#Headers],0))</f>
        <v>507925</v>
      </c>
      <c r="K17" s="69">
        <f>INDEX('Payment Total'!$A$7:$H$331,MATCH('Payment by Source'!$A17,'Payment Total'!$A$7:$A$331,0),5)-I17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3857044</v>
      </c>
      <c r="V17" s="152">
        <f t="shared" si="1"/>
        <v>385704</v>
      </c>
      <c r="W17" s="152">
        <f t="shared" si="2"/>
        <v>3857040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82480</v>
      </c>
      <c r="D18" s="22">
        <f>IF(Notes!$B$2="June",ROUND('Budget by Source'!D18/10,0)+Q18,ROUND('Budget by Source'!D18/10,0))</f>
        <v>290621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35353</v>
      </c>
      <c r="G18" s="22">
        <f>IF(Notes!$B$2="June",ROUND('Budget by Source'!G18/10,0)+T18,ROUND('Budget by Source'!G18/10,0))</f>
        <v>163613</v>
      </c>
      <c r="H18" s="22">
        <f t="shared" si="0"/>
        <v>1768017</v>
      </c>
      <c r="I18" s="22">
        <f>INDEX(Data[],MATCH($A18,Data[Dist],0),MATCH(I$5,Data[#Headers],0))</f>
        <v>2372795</v>
      </c>
      <c r="K18" s="69">
        <f>INDEX('Payment Total'!$A$7:$H$331,MATCH('Payment by Source'!$A18,'Payment Total'!$A$7:$A$331,0),5)-I18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17746823</v>
      </c>
      <c r="V18" s="152">
        <f t="shared" si="1"/>
        <v>1774682</v>
      </c>
      <c r="W18" s="152">
        <f t="shared" si="2"/>
        <v>17746820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27367</v>
      </c>
      <c r="D19" s="22">
        <f>IF(Notes!$B$2="June",ROUND('Budget by Source'!D19/10,0)+Q19,ROUND('Budget by Source'!D19/10,0))</f>
        <v>85768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10147</v>
      </c>
      <c r="G19" s="22">
        <f>IF(Notes!$B$2="June",ROUND('Budget by Source'!G19/10,0)+T19,ROUND('Budget by Source'!G19/10,0))</f>
        <v>46291</v>
      </c>
      <c r="H19" s="22">
        <f t="shared" si="0"/>
        <v>705801</v>
      </c>
      <c r="I19" s="22">
        <f>INDEX(Data[],MATCH($A19,Data[Dist],0),MATCH(I$5,Data[#Headers],0))</f>
        <v>884531</v>
      </c>
      <c r="K19" s="69">
        <f>INDEX('Payment Total'!$A$7:$H$331,MATCH('Payment by Source'!$A19,'Payment Total'!$A$7:$A$331,0),5)-I19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7076871</v>
      </c>
      <c r="V19" s="152">
        <f t="shared" si="1"/>
        <v>707687</v>
      </c>
      <c r="W19" s="152">
        <f t="shared" si="2"/>
        <v>7076870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4181</v>
      </c>
      <c r="D20" s="22">
        <f>IF(Notes!$B$2="June",ROUND('Budget by Source'!D20/10,0)+Q20,ROUND('Budget by Source'!D20/10,0))</f>
        <v>16289</v>
      </c>
      <c r="E20" s="22">
        <f>IF(Notes!$B$2="June",ROUND('Budget by Source'!E20/10,0)+R20,ROUND('Budget by Source'!E20/10,0))</f>
        <v>2051</v>
      </c>
      <c r="F20" s="22">
        <f>IF(Notes!$B$2="June",ROUND('Budget by Source'!F20/10,0)+S20,ROUND('Budget by Source'!F20/10,0))</f>
        <v>1800</v>
      </c>
      <c r="G20" s="22">
        <f>IF(Notes!$B$2="June",ROUND('Budget by Source'!G20/10,0)+T20,ROUND('Budget by Source'!G20/10,0))</f>
        <v>8587</v>
      </c>
      <c r="H20" s="22">
        <f t="shared" si="0"/>
        <v>125377</v>
      </c>
      <c r="I20" s="22">
        <f>INDEX(Data[],MATCH($A20,Data[Dist],0),MATCH(I$5,Data[#Headers],0))</f>
        <v>158285</v>
      </c>
      <c r="K20" s="69">
        <f>INDEX('Payment Total'!$A$7:$H$331,MATCH('Payment by Source'!$A20,'Payment Total'!$A$7:$A$331,0),5)-I20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1257270</v>
      </c>
      <c r="V20" s="152">
        <f t="shared" si="1"/>
        <v>125727</v>
      </c>
      <c r="W20" s="152">
        <f t="shared" si="2"/>
        <v>1257270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100724</v>
      </c>
      <c r="D21" s="22">
        <f>IF(Notes!$B$2="June",ROUND('Budget by Source'!D21/10,0)+Q21,ROUND('Budget by Source'!D21/10,0))</f>
        <v>764516</v>
      </c>
      <c r="E21" s="22">
        <f>IF(Notes!$B$2="June",ROUND('Budget by Source'!E21/10,0)+R21,ROUND('Budget by Source'!E21/10,0))</f>
        <v>89029</v>
      </c>
      <c r="F21" s="22">
        <f>IF(Notes!$B$2="June",ROUND('Budget by Source'!F21/10,0)+S21,ROUND('Budget by Source'!F21/10,0))</f>
        <v>84506</v>
      </c>
      <c r="G21" s="22">
        <f>IF(Notes!$B$2="June",ROUND('Budget by Source'!G21/10,0)+T21,ROUND('Budget by Source'!G21/10,0))</f>
        <v>466979</v>
      </c>
      <c r="H21" s="22">
        <f t="shared" si="0"/>
        <v>7027514</v>
      </c>
      <c r="I21" s="22">
        <f>INDEX(Data[],MATCH($A21,Data[Dist],0),MATCH(I$5,Data[#Headers],0))</f>
        <v>8533268</v>
      </c>
      <c r="K21" s="69">
        <f>INDEX('Payment Total'!$A$7:$H$331,MATCH('Payment by Source'!$A21,'Payment Total'!$A$7:$A$331,0),5)-I21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70465363</v>
      </c>
      <c r="V21" s="152">
        <f t="shared" si="1"/>
        <v>7046536</v>
      </c>
      <c r="W21" s="152">
        <f t="shared" si="2"/>
        <v>70465360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12923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7212</v>
      </c>
      <c r="F22" s="22">
        <f>IF(Notes!$B$2="June",ROUND('Budget by Source'!F22/10,0)+S22,ROUND('Budget by Source'!F22/10,0))</f>
        <v>6189</v>
      </c>
      <c r="G22" s="22">
        <f>IF(Notes!$B$2="June",ROUND('Budget by Source'!G22/10,0)+T22,ROUND('Budget by Source'!G22/10,0))</f>
        <v>29969</v>
      </c>
      <c r="H22" s="22">
        <f t="shared" si="0"/>
        <v>455665</v>
      </c>
      <c r="I22" s="22">
        <f>INDEX(Data[],MATCH($A22,Data[Dist],0),MATCH(I$5,Data[#Headers],0))</f>
        <v>567354</v>
      </c>
      <c r="K22" s="69">
        <f>INDEX('Payment Total'!$A$7:$H$331,MATCH('Payment by Source'!$A22,'Payment Total'!$A$7:$A$331,0),5)-I22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4610883</v>
      </c>
      <c r="V22" s="152">
        <f t="shared" si="1"/>
        <v>461088</v>
      </c>
      <c r="W22" s="152">
        <f t="shared" si="2"/>
        <v>4610880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7222</v>
      </c>
      <c r="D23" s="22">
        <f>IF(Notes!$B$2="June",ROUND('Budget by Source'!D23/10,0)+Q23,ROUND('Budget by Source'!D23/10,0))</f>
        <v>30244</v>
      </c>
      <c r="E23" s="22">
        <f>IF(Notes!$B$2="June",ROUND('Budget by Source'!E23/10,0)+R23,ROUND('Budget by Source'!E23/10,0))</f>
        <v>3672</v>
      </c>
      <c r="F23" s="22">
        <f>IF(Notes!$B$2="June",ROUND('Budget by Source'!F23/10,0)+S23,ROUND('Budget by Source'!F23/10,0))</f>
        <v>3405</v>
      </c>
      <c r="G23" s="22">
        <f>IF(Notes!$B$2="June",ROUND('Budget by Source'!G23/10,0)+T23,ROUND('Budget by Source'!G23/10,0))</f>
        <v>14815</v>
      </c>
      <c r="H23" s="22">
        <f t="shared" si="0"/>
        <v>107924</v>
      </c>
      <c r="I23" s="22">
        <f>INDEX(Data[],MATCH($A23,Data[Dist],0),MATCH(I$5,Data[#Headers],0))</f>
        <v>167282</v>
      </c>
      <c r="K23" s="69">
        <f>INDEX('Payment Total'!$A$7:$H$331,MATCH('Payment by Source'!$A23,'Payment Total'!$A$7:$A$331,0),5)-I23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1085272</v>
      </c>
      <c r="V23" s="152">
        <f t="shared" si="1"/>
        <v>108527</v>
      </c>
      <c r="W23" s="152">
        <f t="shared" si="2"/>
        <v>1085270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6462</v>
      </c>
      <c r="D24" s="22">
        <f>IF(Notes!$B$2="June",ROUND('Budget by Source'!D24/10,0)+Q24,ROUND('Budget by Source'!D24/10,0))</f>
        <v>18872</v>
      </c>
      <c r="E24" s="22">
        <f>IF(Notes!$B$2="June",ROUND('Budget by Source'!E24/10,0)+R24,ROUND('Budget by Source'!E24/10,0))</f>
        <v>1941</v>
      </c>
      <c r="F24" s="22">
        <f>IF(Notes!$B$2="June",ROUND('Budget by Source'!F24/10,0)+S24,ROUND('Budget by Source'!F24/10,0))</f>
        <v>1883</v>
      </c>
      <c r="G24" s="22">
        <f>IF(Notes!$B$2="June",ROUND('Budget by Source'!G24/10,0)+T24,ROUND('Budget by Source'!G24/10,0))</f>
        <v>10179</v>
      </c>
      <c r="H24" s="22">
        <f t="shared" si="0"/>
        <v>78307</v>
      </c>
      <c r="I24" s="22">
        <f>INDEX(Data[],MATCH($A24,Data[Dist],0),MATCH(I$5,Data[#Headers],0))</f>
        <v>117644</v>
      </c>
      <c r="K24" s="69">
        <f>INDEX('Payment Total'!$A$7:$H$331,MATCH('Payment by Source'!$A24,'Payment Total'!$A$7:$A$331,0),5)-I24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788177</v>
      </c>
      <c r="V24" s="152">
        <f t="shared" si="1"/>
        <v>78818</v>
      </c>
      <c r="W24" s="152">
        <f t="shared" si="2"/>
        <v>788180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31928</v>
      </c>
      <c r="D25" s="22">
        <f>IF(Notes!$B$2="June",ROUND('Budget by Source'!D25/10,0)+Q25,ROUND('Budget by Source'!D25/10,0))</f>
        <v>93993</v>
      </c>
      <c r="E25" s="22">
        <f>IF(Notes!$B$2="June",ROUND('Budget by Source'!E25/10,0)+R25,ROUND('Budget by Source'!E25/10,0))</f>
        <v>12258</v>
      </c>
      <c r="F25" s="22">
        <f>IF(Notes!$B$2="June",ROUND('Budget by Source'!F25/10,0)+S25,ROUND('Budget by Source'!F25/10,0))</f>
        <v>10977</v>
      </c>
      <c r="G25" s="22">
        <f>IF(Notes!$B$2="June",ROUND('Budget by Source'!G25/10,0)+T25,ROUND('Budget by Source'!G25/10,0))</f>
        <v>51664</v>
      </c>
      <c r="H25" s="22">
        <f t="shared" si="0"/>
        <v>868354</v>
      </c>
      <c r="I25" s="22">
        <f>INDEX(Data[],MATCH($A25,Data[Dist],0),MATCH(I$5,Data[#Headers],0))</f>
        <v>1069174</v>
      </c>
      <c r="K25" s="69">
        <f>INDEX('Payment Total'!$A$7:$H$331,MATCH('Payment by Source'!$A25,'Payment Total'!$A$7:$A$331,0),5)-I25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8704574</v>
      </c>
      <c r="V25" s="152">
        <f t="shared" si="1"/>
        <v>870457</v>
      </c>
      <c r="W25" s="152">
        <f t="shared" si="2"/>
        <v>8704570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14444</v>
      </c>
      <c r="D26" s="22">
        <f>IF(Notes!$B$2="June",ROUND('Budget by Source'!D26/10,0)+Q26,ROUND('Budget by Source'!D26/10,0))</f>
        <v>34786</v>
      </c>
      <c r="E26" s="22">
        <f>IF(Notes!$B$2="June",ROUND('Budget by Source'!E26/10,0)+R26,ROUND('Budget by Source'!E26/10,0))</f>
        <v>3635</v>
      </c>
      <c r="F26" s="22">
        <f>IF(Notes!$B$2="June",ROUND('Budget by Source'!F26/10,0)+S26,ROUND('Budget by Source'!F26/10,0))</f>
        <v>3964</v>
      </c>
      <c r="G26" s="22">
        <f>IF(Notes!$B$2="June",ROUND('Budget by Source'!G26/10,0)+T26,ROUND('Budget by Source'!G26/10,0))</f>
        <v>18817</v>
      </c>
      <c r="H26" s="22">
        <f t="shared" si="0"/>
        <v>255138</v>
      </c>
      <c r="I26" s="22">
        <f>INDEX(Data[],MATCH($A26,Data[Dist],0),MATCH(I$5,Data[#Headers],0))</f>
        <v>330784</v>
      </c>
      <c r="K26" s="69">
        <f>INDEX('Payment Total'!$A$7:$H$331,MATCH('Payment by Source'!$A26,'Payment Total'!$A$7:$A$331,0),5)-I26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2559054</v>
      </c>
      <c r="V26" s="152">
        <f t="shared" si="1"/>
        <v>255905</v>
      </c>
      <c r="W26" s="152">
        <f t="shared" si="2"/>
        <v>2559050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15964</v>
      </c>
      <c r="D27" s="22">
        <f>IF(Notes!$B$2="June",ROUND('Budget by Source'!D27/10,0)+Q27,ROUND('Budget by Source'!D27/10,0))</f>
        <v>49051</v>
      </c>
      <c r="E27" s="22">
        <f>IF(Notes!$B$2="June",ROUND('Budget by Source'!E27/10,0)+R27,ROUND('Budget by Source'!E27/10,0))</f>
        <v>5547</v>
      </c>
      <c r="F27" s="22">
        <f>IF(Notes!$B$2="June",ROUND('Budget by Source'!F27/10,0)+S27,ROUND('Budget by Source'!F27/10,0))</f>
        <v>4997</v>
      </c>
      <c r="G27" s="22">
        <f>IF(Notes!$B$2="June",ROUND('Budget by Source'!G27/10,0)+T27,ROUND('Budget by Source'!G27/10,0))</f>
        <v>29210</v>
      </c>
      <c r="H27" s="22">
        <f t="shared" si="0"/>
        <v>309718</v>
      </c>
      <c r="I27" s="22">
        <f>INDEX(Data[],MATCH($A27,Data[Dist],0),MATCH(I$5,Data[#Headers],0))</f>
        <v>414487</v>
      </c>
      <c r="K27" s="69">
        <f>INDEX('Payment Total'!$A$7:$H$331,MATCH('Payment by Source'!$A27,'Payment Total'!$A$7:$A$331,0),5)-I27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3109089</v>
      </c>
      <c r="V27" s="152">
        <f t="shared" si="1"/>
        <v>310909</v>
      </c>
      <c r="W27" s="152">
        <f t="shared" si="2"/>
        <v>3109090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45231</v>
      </c>
      <c r="D28" s="22">
        <f>IF(Notes!$B$2="June",ROUND('Budget by Source'!D28/10,0)+Q28,ROUND('Budget by Source'!D28/10,0))</f>
        <v>107350</v>
      </c>
      <c r="E28" s="22">
        <f>IF(Notes!$B$2="June",ROUND('Budget by Source'!E28/10,0)+R28,ROUND('Budget by Source'!E28/10,0))</f>
        <v>13477</v>
      </c>
      <c r="F28" s="22">
        <f>IF(Notes!$B$2="June",ROUND('Budget by Source'!F28/10,0)+S28,ROUND('Budget by Source'!F28/10,0))</f>
        <v>11537</v>
      </c>
      <c r="G28" s="22">
        <f>IF(Notes!$B$2="June",ROUND('Budget by Source'!G28/10,0)+T28,ROUND('Budget by Source'!G28/10,0))</f>
        <v>64832</v>
      </c>
      <c r="H28" s="22">
        <f t="shared" si="0"/>
        <v>1104806</v>
      </c>
      <c r="I28" s="22">
        <f>INDEX(Data[],MATCH($A28,Data[Dist],0),MATCH(I$5,Data[#Headers],0))</f>
        <v>1347233</v>
      </c>
      <c r="K28" s="69">
        <f>INDEX('Payment Total'!$A$7:$H$331,MATCH('Payment by Source'!$A28,'Payment Total'!$A$7:$A$331,0),5)-I28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11074470</v>
      </c>
      <c r="V28" s="152">
        <f t="shared" si="1"/>
        <v>1107447</v>
      </c>
      <c r="W28" s="152">
        <f t="shared" si="2"/>
        <v>11074470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9122</v>
      </c>
      <c r="D29" s="22">
        <f>IF(Notes!$B$2="June",ROUND('Budget by Source'!D29/10,0)+Q29,ROUND('Budget by Source'!D29/10,0))</f>
        <v>25017</v>
      </c>
      <c r="E29" s="22">
        <f>IF(Notes!$B$2="June",ROUND('Budget by Source'!E29/10,0)+R29,ROUND('Budget by Source'!E29/10,0))</f>
        <v>2730</v>
      </c>
      <c r="F29" s="22">
        <f>IF(Notes!$B$2="June",ROUND('Budget by Source'!F29/10,0)+S29,ROUND('Budget by Source'!F29/10,0))</f>
        <v>2542</v>
      </c>
      <c r="G29" s="22">
        <f>IF(Notes!$B$2="June",ROUND('Budget by Source'!G29/10,0)+T29,ROUND('Budget by Source'!G29/10,0))</f>
        <v>13293</v>
      </c>
      <c r="H29" s="22">
        <f t="shared" si="0"/>
        <v>219122</v>
      </c>
      <c r="I29" s="22">
        <f>INDEX(Data[],MATCH($A29,Data[Dist],0),MATCH(I$5,Data[#Headers],0))</f>
        <v>271826</v>
      </c>
      <c r="K29" s="69">
        <f>INDEX('Payment Total'!$A$7:$H$331,MATCH('Payment by Source'!$A29,'Payment Total'!$A$7:$A$331,0),5)-I29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2196637</v>
      </c>
      <c r="V29" s="152">
        <f t="shared" si="1"/>
        <v>219664</v>
      </c>
      <c r="W29" s="152">
        <f t="shared" si="2"/>
        <v>2196640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10263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188599</v>
      </c>
      <c r="I30" s="22">
        <f>INDEX(Data[],MATCH($A30,Data[Dist],0),MATCH(I$5,Data[#Headers],0))</f>
        <v>254526</v>
      </c>
      <c r="K30" s="69">
        <f>INDEX('Payment Total'!$A$7:$H$331,MATCH('Payment by Source'!$A30,'Payment Total'!$A$7:$A$331,0),5)-I30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1892915</v>
      </c>
      <c r="V30" s="152">
        <f t="shared" si="1"/>
        <v>189292</v>
      </c>
      <c r="W30" s="152">
        <f t="shared" si="2"/>
        <v>1892920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10263</v>
      </c>
      <c r="D31" s="22">
        <f>IF(Notes!$B$2="June",ROUND('Budget by Source'!D31/10,0)+Q31,ROUND('Budget by Source'!D31/10,0))</f>
        <v>34951</v>
      </c>
      <c r="E31" s="22">
        <f>IF(Notes!$B$2="June",ROUND('Budget by Source'!E31/10,0)+R31,ROUND('Budget by Source'!E31/10,0))</f>
        <v>4095</v>
      </c>
      <c r="F31" s="22">
        <f>IF(Notes!$B$2="June",ROUND('Budget by Source'!F31/10,0)+S31,ROUND('Budget by Source'!F31/10,0))</f>
        <v>3730</v>
      </c>
      <c r="G31" s="22">
        <f>IF(Notes!$B$2="June",ROUND('Budget by Source'!G31/10,0)+T31,ROUND('Budget by Source'!G31/10,0))</f>
        <v>18493</v>
      </c>
      <c r="H31" s="22">
        <f t="shared" si="0"/>
        <v>261708</v>
      </c>
      <c r="I31" s="22">
        <f>INDEX(Data[],MATCH($A31,Data[Dist],0),MATCH(I$5,Data[#Headers],0))</f>
        <v>333240</v>
      </c>
      <c r="K31" s="69">
        <f>INDEX('Payment Total'!$A$7:$H$331,MATCH('Payment by Source'!$A31,'Payment Total'!$A$7:$A$331,0),5)-I31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2624618</v>
      </c>
      <c r="V31" s="152">
        <f t="shared" si="1"/>
        <v>262462</v>
      </c>
      <c r="W31" s="152">
        <f t="shared" si="2"/>
        <v>2624620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9882</v>
      </c>
      <c r="D32" s="22">
        <f>IF(Notes!$B$2="June",ROUND('Budget by Source'!D32/10,0)+Q32,ROUND('Budget by Source'!D32/10,0))</f>
        <v>30523</v>
      </c>
      <c r="E32" s="22">
        <f>IF(Notes!$B$2="June",ROUND('Budget by Source'!E32/10,0)+R32,ROUND('Budget by Source'!E32/10,0))</f>
        <v>3152</v>
      </c>
      <c r="F32" s="22">
        <f>IF(Notes!$B$2="June",ROUND('Budget by Source'!F32/10,0)+S32,ROUND('Budget by Source'!F32/10,0))</f>
        <v>3081</v>
      </c>
      <c r="G32" s="22">
        <f>IF(Notes!$B$2="June",ROUND('Budget by Source'!G32/10,0)+T32,ROUND('Budget by Source'!G32/10,0))</f>
        <v>17420</v>
      </c>
      <c r="H32" s="22">
        <f t="shared" si="0"/>
        <v>267360</v>
      </c>
      <c r="I32" s="22">
        <f>INDEX(Data[],MATCH($A32,Data[Dist],0),MATCH(I$5,Data[#Headers],0))</f>
        <v>331418</v>
      </c>
      <c r="K32" s="69">
        <f>INDEX('Payment Total'!$A$7:$H$331,MATCH('Payment by Source'!$A32,'Payment Total'!$A$7:$A$331,0),5)-I32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2680686</v>
      </c>
      <c r="V32" s="152">
        <f t="shared" si="1"/>
        <v>268069</v>
      </c>
      <c r="W32" s="152">
        <f t="shared" si="2"/>
        <v>2680690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23186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4438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299599</v>
      </c>
      <c r="I33" s="22">
        <f>INDEX(Data[],MATCH($A33,Data[Dist],0),MATCH(I$5,Data[#Headers],0))</f>
        <v>397945</v>
      </c>
      <c r="K33" s="69">
        <f>INDEX('Payment Total'!$A$7:$H$331,MATCH('Payment by Source'!$A33,'Payment Total'!$A$7:$A$331,0),5)-I33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3005471</v>
      </c>
      <c r="V33" s="152">
        <f t="shared" si="1"/>
        <v>300547</v>
      </c>
      <c r="W33" s="152">
        <f t="shared" si="2"/>
        <v>3005470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11403</v>
      </c>
      <c r="D34" s="22">
        <f>IF(Notes!$B$2="June",ROUND('Budget by Source'!D34/10,0)+Q34,ROUND('Budget by Source'!D34/10,0))</f>
        <v>47959</v>
      </c>
      <c r="E34" s="22">
        <f>IF(Notes!$B$2="June",ROUND('Budget by Source'!E34/10,0)+R34,ROUND('Budget by Source'!E34/10,0))</f>
        <v>5969</v>
      </c>
      <c r="F34" s="22">
        <f>IF(Notes!$B$2="June",ROUND('Budget by Source'!F34/10,0)+S34,ROUND('Budget by Source'!F34/10,0))</f>
        <v>5147</v>
      </c>
      <c r="G34" s="22">
        <f>IF(Notes!$B$2="June",ROUND('Budget by Source'!G34/10,0)+T34,ROUND('Budget by Source'!G34/10,0))</f>
        <v>27275</v>
      </c>
      <c r="H34" s="22">
        <f t="shared" si="0"/>
        <v>393734</v>
      </c>
      <c r="I34" s="22">
        <f>INDEX(Data[],MATCH($A34,Data[Dist],0),MATCH(I$5,Data[#Headers],0))</f>
        <v>491487</v>
      </c>
      <c r="K34" s="69">
        <f>INDEX('Payment Total'!$A$7:$H$331,MATCH('Payment by Source'!$A34,'Payment Total'!$A$7:$A$331,0),5)-I34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3948459</v>
      </c>
      <c r="V34" s="152">
        <f t="shared" si="1"/>
        <v>394846</v>
      </c>
      <c r="W34" s="152">
        <f t="shared" si="2"/>
        <v>3948460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1901</v>
      </c>
      <c r="D35" s="22">
        <f>IF(Notes!$B$2="June",ROUND('Budget by Source'!D35/10,0)+Q35,ROUND('Budget by Source'!D35/10,0))</f>
        <v>11092</v>
      </c>
      <c r="E35" s="22">
        <f>IF(Notes!$B$2="June",ROUND('Budget by Source'!E35/10,0)+R35,ROUND('Budget by Source'!E35/10,0))</f>
        <v>1350</v>
      </c>
      <c r="F35" s="22">
        <f>IF(Notes!$B$2="June",ROUND('Budget by Source'!F35/10,0)+S35,ROUND('Budget by Source'!F35/10,0))</f>
        <v>850</v>
      </c>
      <c r="G35" s="22">
        <f>IF(Notes!$B$2="June",ROUND('Budget by Source'!G35/10,0)+T35,ROUND('Budget by Source'!G35/10,0))</f>
        <v>6623</v>
      </c>
      <c r="H35" s="22">
        <f t="shared" si="0"/>
        <v>80708</v>
      </c>
      <c r="I35" s="22">
        <f>INDEX(Data[],MATCH($A35,Data[Dist],0),MATCH(I$5,Data[#Headers],0))</f>
        <v>102524</v>
      </c>
      <c r="K35" s="69">
        <f>INDEX('Payment Total'!$A$7:$H$331,MATCH('Payment by Source'!$A35,'Payment Total'!$A$7:$A$331,0),5)-I35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809707</v>
      </c>
      <c r="V35" s="152">
        <f t="shared" si="1"/>
        <v>80971</v>
      </c>
      <c r="W35" s="152">
        <f t="shared" si="2"/>
        <v>809710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39150</v>
      </c>
      <c r="D36" s="22">
        <f>IF(Notes!$B$2="June",ROUND('Budget by Source'!D36/10,0)+Q36,ROUND('Budget by Source'!D36/10,0))</f>
        <v>99462</v>
      </c>
      <c r="E36" s="22">
        <f>IF(Notes!$B$2="June",ROUND('Budget by Source'!E36/10,0)+R36,ROUND('Budget by Source'!E36/10,0))</f>
        <v>10469</v>
      </c>
      <c r="F36" s="22">
        <f>IF(Notes!$B$2="June",ROUND('Budget by Source'!F36/10,0)+S36,ROUND('Budget by Source'!F36/10,0))</f>
        <v>10978</v>
      </c>
      <c r="G36" s="22">
        <f>IF(Notes!$B$2="June",ROUND('Budget by Source'!G36/10,0)+T36,ROUND('Budget by Source'!G36/10,0))</f>
        <v>56669</v>
      </c>
      <c r="H36" s="22">
        <f t="shared" si="0"/>
        <v>742633</v>
      </c>
      <c r="I36" s="22">
        <f>INDEX(Data[],MATCH($A36,Data[Dist],0),MATCH(I$5,Data[#Headers],0))</f>
        <v>959361</v>
      </c>
      <c r="K36" s="69">
        <f>INDEX('Payment Total'!$A$7:$H$331,MATCH('Payment by Source'!$A36,'Payment Total'!$A$7:$A$331,0),5)-I36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7449437</v>
      </c>
      <c r="V36" s="152">
        <f t="shared" si="1"/>
        <v>744944</v>
      </c>
      <c r="W36" s="152">
        <f t="shared" si="2"/>
        <v>7449440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96923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29751</v>
      </c>
      <c r="F37" s="22">
        <f>IF(Notes!$B$2="June",ROUND('Budget by Source'!F37/10,0)+S37,ROUND('Budget by Source'!F37/10,0))</f>
        <v>29346</v>
      </c>
      <c r="G37" s="22">
        <f>IF(Notes!$B$2="June",ROUND('Budget by Source'!G37/10,0)+T37,ROUND('Budget by Source'!G37/10,0))</f>
        <v>148046</v>
      </c>
      <c r="H37" s="22">
        <f t="shared" si="0"/>
        <v>2202529</v>
      </c>
      <c r="I37" s="22">
        <f>INDEX(Data[],MATCH($A37,Data[Dist],0),MATCH(I$5,Data[#Headers],0))</f>
        <v>2763278</v>
      </c>
      <c r="K37" s="69">
        <f>INDEX('Payment Total'!$A$7:$H$331,MATCH('Payment by Source'!$A37,'Payment Total'!$A$7:$A$331,0),5)-I37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22085593</v>
      </c>
      <c r="V37" s="152">
        <f t="shared" si="1"/>
        <v>2208559</v>
      </c>
      <c r="W37" s="152">
        <f t="shared" si="2"/>
        <v>22085590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20145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327965</v>
      </c>
      <c r="I38" s="22">
        <f>INDEX(Data[],MATCH($A38,Data[Dist],0),MATCH(I$5,Data[#Headers],0))</f>
        <v>448437</v>
      </c>
      <c r="K38" s="69">
        <f>INDEX('Payment Total'!$A$7:$H$331,MATCH('Payment by Source'!$A38,'Payment Total'!$A$7:$A$331,0),5)-I38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3292187</v>
      </c>
      <c r="V38" s="152">
        <f t="shared" si="1"/>
        <v>329219</v>
      </c>
      <c r="W38" s="152">
        <f t="shared" si="2"/>
        <v>3292190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157491</v>
      </c>
      <c r="E39" s="22">
        <f>IF(Notes!$B$2="June",ROUND('Budget by Source'!E39/10,0)+R39,ROUND('Budget by Source'!E39/10,0))</f>
        <v>19138</v>
      </c>
      <c r="F39" s="22">
        <f>IF(Notes!$B$2="June",ROUND('Budget by Source'!F39/10,0)+S39,ROUND('Budget by Source'!F39/10,0))</f>
        <v>16488</v>
      </c>
      <c r="G39" s="22">
        <f>IF(Notes!$B$2="June",ROUND('Budget by Source'!G39/10,0)+T39,ROUND('Budget by Source'!G39/10,0))</f>
        <v>92682</v>
      </c>
      <c r="H39" s="22">
        <f t="shared" si="0"/>
        <v>1522121</v>
      </c>
      <c r="I39" s="22">
        <f>INDEX(Data[],MATCH($A39,Data[Dist],0),MATCH(I$5,Data[#Headers],0))</f>
        <v>1849350</v>
      </c>
      <c r="K39" s="69">
        <f>INDEX('Payment Total'!$A$7:$H$331,MATCH('Payment by Source'!$A39,'Payment Total'!$A$7:$A$331,0),5)-I39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15258967</v>
      </c>
      <c r="V39" s="152">
        <f t="shared" si="1"/>
        <v>1525897</v>
      </c>
      <c r="W39" s="152">
        <f t="shared" si="2"/>
        <v>15258970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42570</v>
      </c>
      <c r="D40" s="22">
        <f>IF(Notes!$B$2="June",ROUND('Budget by Source'!D40/10,0)+Q40,ROUND('Budget by Source'!D40/10,0))</f>
        <v>135255</v>
      </c>
      <c r="E40" s="22">
        <f>IF(Notes!$B$2="June",ROUND('Budget by Source'!E40/10,0)+R40,ROUND('Budget by Source'!E40/10,0))</f>
        <v>15605</v>
      </c>
      <c r="F40" s="22">
        <f>IF(Notes!$B$2="June",ROUND('Budget by Source'!F40/10,0)+S40,ROUND('Budget by Source'!F40/10,0))</f>
        <v>16687</v>
      </c>
      <c r="G40" s="22">
        <f>IF(Notes!$B$2="June",ROUND('Budget by Source'!G40/10,0)+T40,ROUND('Budget by Source'!G40/10,0))</f>
        <v>75088</v>
      </c>
      <c r="H40" s="22">
        <f t="shared" si="0"/>
        <v>1332077</v>
      </c>
      <c r="I40" s="22">
        <f>INDEX(Data[],MATCH($A40,Data[Dist],0),MATCH(I$5,Data[#Headers],0))</f>
        <v>1617282</v>
      </c>
      <c r="K40" s="69">
        <f>INDEX('Payment Total'!$A$7:$H$331,MATCH('Payment by Source'!$A40,'Payment Total'!$A$7:$A$331,0),5)-I40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13351349</v>
      </c>
      <c r="V40" s="152">
        <f t="shared" si="1"/>
        <v>1335135</v>
      </c>
      <c r="W40" s="152">
        <f t="shared" si="2"/>
        <v>13351350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22806</v>
      </c>
      <c r="D41" s="22">
        <f>IF(Notes!$B$2="June",ROUND('Budget by Source'!D41/10,0)+Q41,ROUND('Budget by Source'!D41/10,0))</f>
        <v>36892</v>
      </c>
      <c r="E41" s="22">
        <f>IF(Notes!$B$2="June",ROUND('Budget by Source'!E41/10,0)+R41,ROUND('Budget by Source'!E41/10,0))</f>
        <v>4887</v>
      </c>
      <c r="F41" s="22">
        <f>IF(Notes!$B$2="June",ROUND('Budget by Source'!F41/10,0)+S41,ROUND('Budget by Source'!F41/10,0))</f>
        <v>4061</v>
      </c>
      <c r="G41" s="22">
        <f>IF(Notes!$B$2="June",ROUND('Budget by Source'!G41/10,0)+T41,ROUND('Budget by Source'!G41/10,0))</f>
        <v>20951</v>
      </c>
      <c r="H41" s="22">
        <f t="shared" si="0"/>
        <v>303314</v>
      </c>
      <c r="I41" s="22">
        <f>INDEX(Data[],MATCH($A41,Data[Dist],0),MATCH(I$5,Data[#Headers],0))</f>
        <v>392911</v>
      </c>
      <c r="K41" s="69">
        <f>INDEX('Payment Total'!$A$7:$H$331,MATCH('Payment by Source'!$A41,'Payment Total'!$A$7:$A$331,0),5)-I41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3041667</v>
      </c>
      <c r="V41" s="152">
        <f t="shared" si="1"/>
        <v>304167</v>
      </c>
      <c r="W41" s="152">
        <f t="shared" si="2"/>
        <v>3041670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15584</v>
      </c>
      <c r="D42" s="22">
        <f>IF(Notes!$B$2="June",ROUND('Budget by Source'!D42/10,0)+Q42,ROUND('Budget by Source'!D42/10,0))</f>
        <v>36907</v>
      </c>
      <c r="E42" s="22">
        <f>IF(Notes!$B$2="June",ROUND('Budget by Source'!E42/10,0)+R42,ROUND('Budget by Source'!E42/10,0))</f>
        <v>4281</v>
      </c>
      <c r="F42" s="22">
        <f>IF(Notes!$B$2="June",ROUND('Budget by Source'!F42/10,0)+S42,ROUND('Budget by Source'!F42/10,0))</f>
        <v>3832</v>
      </c>
      <c r="G42" s="22">
        <f>IF(Notes!$B$2="June",ROUND('Budget by Source'!G42/10,0)+T42,ROUND('Budget by Source'!G42/10,0))</f>
        <v>20612</v>
      </c>
      <c r="H42" s="22">
        <f t="shared" si="0"/>
        <v>241818</v>
      </c>
      <c r="I42" s="22">
        <f>INDEX(Data[],MATCH($A42,Data[Dist],0),MATCH(I$5,Data[#Headers],0))</f>
        <v>323034</v>
      </c>
      <c r="K42" s="69">
        <f>INDEX('Payment Total'!$A$7:$H$331,MATCH('Payment by Source'!$A42,'Payment Total'!$A$7:$A$331,0),5)-I42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2426576</v>
      </c>
      <c r="V42" s="152">
        <f t="shared" si="1"/>
        <v>242658</v>
      </c>
      <c r="W42" s="152">
        <f t="shared" si="2"/>
        <v>2426580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10263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253930</v>
      </c>
      <c r="I43" s="22">
        <f>INDEX(Data[],MATCH($A43,Data[Dist],0),MATCH(I$5,Data[#Headers],0))</f>
        <v>326030</v>
      </c>
      <c r="K43" s="69">
        <f>INDEX('Payment Total'!$A$7:$H$331,MATCH('Payment by Source'!$A43,'Payment Total'!$A$7:$A$331,0),5)-I43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2547044</v>
      </c>
      <c r="V43" s="152">
        <f t="shared" si="1"/>
        <v>254704</v>
      </c>
      <c r="W43" s="152">
        <f t="shared" si="2"/>
        <v>2547040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12163</v>
      </c>
      <c r="D44" s="22">
        <f>IF(Notes!$B$2="June",ROUND('Budget by Source'!D44/10,0)+Q44,ROUND('Budget by Source'!D44/10,0))</f>
        <v>33464</v>
      </c>
      <c r="E44" s="22">
        <f>IF(Notes!$B$2="June",ROUND('Budget by Source'!E44/10,0)+R44,ROUND('Budget by Source'!E44/10,0))</f>
        <v>3526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17818</v>
      </c>
      <c r="H44" s="22">
        <f t="shared" si="0"/>
        <v>180522</v>
      </c>
      <c r="I44" s="22">
        <f>INDEX(Data[],MATCH($A44,Data[Dist],0),MATCH(I$5,Data[#Headers],0))</f>
        <v>251155</v>
      </c>
      <c r="K44" s="69">
        <f>INDEX('Payment Total'!$A$7:$H$331,MATCH('Payment by Source'!$A44,'Payment Total'!$A$7:$A$331,0),5)-I44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1812474</v>
      </c>
      <c r="V44" s="152">
        <f t="shared" si="1"/>
        <v>181247</v>
      </c>
      <c r="W44" s="152">
        <f t="shared" si="2"/>
        <v>1812470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58914</v>
      </c>
      <c r="D45" s="22">
        <f>IF(Notes!$B$2="June",ROUND('Budget by Source'!D45/10,0)+Q45,ROUND('Budget by Source'!D45/10,0))</f>
        <v>248929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27462</v>
      </c>
      <c r="G45" s="22">
        <f>IF(Notes!$B$2="June",ROUND('Budget by Source'!G45/10,0)+T45,ROUND('Budget by Source'!G45/10,0))</f>
        <v>142260</v>
      </c>
      <c r="H45" s="22">
        <f t="shared" si="0"/>
        <v>2345843</v>
      </c>
      <c r="I45" s="22">
        <f>INDEX(Data[],MATCH($A45,Data[Dist],0),MATCH(I$5,Data[#Headers],0))</f>
        <v>2857123</v>
      </c>
      <c r="K45" s="69">
        <f>INDEX('Payment Total'!$A$7:$H$331,MATCH('Payment by Source'!$A45,'Payment Total'!$A$7:$A$331,0),5)-I45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25090920</v>
      </c>
      <c r="V45" s="152">
        <f t="shared" si="1"/>
        <v>2509092</v>
      </c>
      <c r="W45" s="152">
        <f t="shared" si="2"/>
        <v>25090920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9502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3436</v>
      </c>
      <c r="F46" s="22">
        <f>IF(Notes!$B$2="June",ROUND('Budget by Source'!F46/10,0)+S46,ROUND('Budget by Source'!F46/10,0))</f>
        <v>3334</v>
      </c>
      <c r="G46" s="22">
        <f>IF(Notes!$B$2="June",ROUND('Budget by Source'!G46/10,0)+T46,ROUND('Budget by Source'!G46/10,0))</f>
        <v>17096</v>
      </c>
      <c r="H46" s="22">
        <f t="shared" si="0"/>
        <v>97956</v>
      </c>
      <c r="I46" s="22">
        <f>INDEX(Data[],MATCH($A46,Data[Dist],0),MATCH(I$5,Data[#Headers],0))</f>
        <v>163977</v>
      </c>
      <c r="K46" s="69">
        <f>INDEX('Payment Total'!$A$7:$H$331,MATCH('Payment by Source'!$A46,'Payment Total'!$A$7:$A$331,0),5)-I46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1087384</v>
      </c>
      <c r="V46" s="152">
        <f t="shared" si="1"/>
        <v>108738</v>
      </c>
      <c r="W46" s="152">
        <f t="shared" si="2"/>
        <v>1087380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5321</v>
      </c>
      <c r="D47" s="22">
        <f>IF(Notes!$B$2="June",ROUND('Budget by Source'!D47/10,0)+Q47,ROUND('Budget by Source'!D47/10,0))</f>
        <v>20516</v>
      </c>
      <c r="E47" s="22">
        <f>IF(Notes!$B$2="June",ROUND('Budget by Source'!E47/10,0)+R47,ROUND('Budget by Source'!E47/10,0))</f>
        <v>2337</v>
      </c>
      <c r="F47" s="22">
        <f>IF(Notes!$B$2="June",ROUND('Budget by Source'!F47/10,0)+S47,ROUND('Budget by Source'!F47/10,0))</f>
        <v>2267</v>
      </c>
      <c r="G47" s="22">
        <f>IF(Notes!$B$2="June",ROUND('Budget by Source'!G47/10,0)+T47,ROUND('Budget by Source'!G47/10,0))</f>
        <v>10348</v>
      </c>
      <c r="H47" s="22">
        <f t="shared" si="0"/>
        <v>146622</v>
      </c>
      <c r="I47" s="22">
        <f>INDEX(Data[],MATCH($A47,Data[Dist],0),MATCH(I$5,Data[#Headers],0))</f>
        <v>187411</v>
      </c>
      <c r="K47" s="69">
        <f>INDEX('Payment Total'!$A$7:$H$331,MATCH('Payment by Source'!$A47,'Payment Total'!$A$7:$A$331,0),5)-I47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1470431</v>
      </c>
      <c r="V47" s="152">
        <f t="shared" si="1"/>
        <v>147043</v>
      </c>
      <c r="W47" s="152">
        <f t="shared" si="2"/>
        <v>1470430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4561</v>
      </c>
      <c r="D48" s="22">
        <f>IF(Notes!$B$2="June",ROUND('Budget by Source'!D48/10,0)+Q48,ROUND('Budget by Source'!D48/10,0))</f>
        <v>27292</v>
      </c>
      <c r="E48" s="22">
        <f>IF(Notes!$B$2="June",ROUND('Budget by Source'!E48/10,0)+R48,ROUND('Budget by Source'!E48/10,0))</f>
        <v>3160</v>
      </c>
      <c r="F48" s="22">
        <f>IF(Notes!$B$2="June",ROUND('Budget by Source'!F48/10,0)+S48,ROUND('Budget by Source'!F48/10,0))</f>
        <v>2996</v>
      </c>
      <c r="G48" s="22">
        <f>IF(Notes!$B$2="June",ROUND('Budget by Source'!G48/10,0)+T48,ROUND('Budget by Source'!G48/10,0))</f>
        <v>14052</v>
      </c>
      <c r="H48" s="22">
        <f t="shared" si="0"/>
        <v>182158</v>
      </c>
      <c r="I48" s="22">
        <f>INDEX(Data[],MATCH($A48,Data[Dist],0),MATCH(I$5,Data[#Headers],0))</f>
        <v>234219</v>
      </c>
      <c r="K48" s="69">
        <f>INDEX('Payment Total'!$A$7:$H$331,MATCH('Payment by Source'!$A48,'Payment Total'!$A$7:$A$331,0),5)-I48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1827301</v>
      </c>
      <c r="V48" s="152">
        <f t="shared" si="1"/>
        <v>182730</v>
      </c>
      <c r="W48" s="152">
        <f t="shared" si="2"/>
        <v>1827300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20905</v>
      </c>
      <c r="D49" s="22">
        <f>IF(Notes!$B$2="June",ROUND('Budget by Source'!D49/10,0)+Q49,ROUND('Budget by Source'!D49/10,0))</f>
        <v>56992</v>
      </c>
      <c r="E49" s="22">
        <f>IF(Notes!$B$2="June",ROUND('Budget by Source'!E49/10,0)+R49,ROUND('Budget by Source'!E49/10,0))</f>
        <v>7093</v>
      </c>
      <c r="F49" s="22">
        <f>IF(Notes!$B$2="June",ROUND('Budget by Source'!F49/10,0)+S49,ROUND('Budget by Source'!F49/10,0))</f>
        <v>6029</v>
      </c>
      <c r="G49" s="22">
        <f>IF(Notes!$B$2="June",ROUND('Budget by Source'!G49/10,0)+T49,ROUND('Budget by Source'!G49/10,0))</f>
        <v>31484</v>
      </c>
      <c r="H49" s="22">
        <f t="shared" si="0"/>
        <v>446254</v>
      </c>
      <c r="I49" s="22">
        <f>INDEX(Data[],MATCH($A49,Data[Dist],0),MATCH(I$5,Data[#Headers],0))</f>
        <v>568757</v>
      </c>
      <c r="K49" s="69">
        <f>INDEX('Payment Total'!$A$7:$H$331,MATCH('Payment by Source'!$A49,'Payment Total'!$A$7:$A$331,0),5)-I49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4475367</v>
      </c>
      <c r="V49" s="152">
        <f t="shared" si="1"/>
        <v>447537</v>
      </c>
      <c r="W49" s="152">
        <f t="shared" si="2"/>
        <v>4475370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27367</v>
      </c>
      <c r="D50" s="22">
        <f>IF(Notes!$B$2="June",ROUND('Budget by Source'!D50/10,0)+Q50,ROUND('Budget by Source'!D50/10,0))</f>
        <v>39213</v>
      </c>
      <c r="E50" s="22">
        <f>IF(Notes!$B$2="June",ROUND('Budget by Source'!E50/10,0)+R50,ROUND('Budget by Source'!E50/10,0))</f>
        <v>4870</v>
      </c>
      <c r="F50" s="22">
        <f>IF(Notes!$B$2="June",ROUND('Budget by Source'!F50/10,0)+S50,ROUND('Budget by Source'!F50/10,0))</f>
        <v>3740</v>
      </c>
      <c r="G50" s="22">
        <f>IF(Notes!$B$2="June",ROUND('Budget by Source'!G50/10,0)+T50,ROUND('Budget by Source'!G50/10,0))</f>
        <v>21135</v>
      </c>
      <c r="H50" s="22">
        <f t="shared" si="0"/>
        <v>365576</v>
      </c>
      <c r="I50" s="22">
        <f>INDEX(Data[],MATCH($A50,Data[Dist],0),MATCH(I$5,Data[#Headers],0))</f>
        <v>461901</v>
      </c>
      <c r="K50" s="69">
        <f>INDEX('Payment Total'!$A$7:$H$331,MATCH('Payment by Source'!$A50,'Payment Total'!$A$7:$A$331,0),5)-I50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3664359</v>
      </c>
      <c r="V50" s="152">
        <f t="shared" si="1"/>
        <v>366436</v>
      </c>
      <c r="W50" s="152">
        <f t="shared" si="2"/>
        <v>3664360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43711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15644</v>
      </c>
      <c r="F51" s="22">
        <f>IF(Notes!$B$2="June",ROUND('Budget by Source'!F51/10,0)+S51,ROUND('Budget by Source'!F51/10,0))</f>
        <v>13257</v>
      </c>
      <c r="G51" s="22">
        <f>IF(Notes!$B$2="June",ROUND('Budget by Source'!G51/10,0)+T51,ROUND('Budget by Source'!G51/10,0))</f>
        <v>74111</v>
      </c>
      <c r="H51" s="22">
        <f t="shared" si="0"/>
        <v>1353468</v>
      </c>
      <c r="I51" s="22">
        <f>INDEX(Data[],MATCH($A51,Data[Dist],0),MATCH(I$5,Data[#Headers],0))</f>
        <v>1628346</v>
      </c>
      <c r="K51" s="69">
        <f>INDEX('Payment Total'!$A$7:$H$331,MATCH('Payment by Source'!$A51,'Payment Total'!$A$7:$A$331,0),5)-I51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13564876</v>
      </c>
      <c r="V51" s="152">
        <f t="shared" si="1"/>
        <v>1356488</v>
      </c>
      <c r="W51" s="152">
        <f t="shared" si="2"/>
        <v>13564880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104728</v>
      </c>
      <c r="E52" s="22">
        <f>IF(Notes!$B$2="June",ROUND('Budget by Source'!E52/10,0)+R52,ROUND('Budget by Source'!E52/10,0))</f>
        <v>12227</v>
      </c>
      <c r="F52" s="22">
        <f>IF(Notes!$B$2="June",ROUND('Budget by Source'!F52/10,0)+S52,ROUND('Budget by Source'!F52/10,0))</f>
        <v>12028</v>
      </c>
      <c r="G52" s="22">
        <f>IF(Notes!$B$2="June",ROUND('Budget by Source'!G52/10,0)+T52,ROUND('Budget by Source'!G52/10,0))</f>
        <v>60612</v>
      </c>
      <c r="H52" s="22">
        <f t="shared" si="0"/>
        <v>705854</v>
      </c>
      <c r="I52" s="22">
        <f>INDEX(Data[],MATCH($A52,Data[Dist],0),MATCH(I$5,Data[#Headers],0))</f>
        <v>957784</v>
      </c>
      <c r="K52" s="69">
        <f>INDEX('Payment Total'!$A$7:$H$331,MATCH('Payment by Source'!$A52,'Payment Total'!$A$7:$A$331,0),5)-I52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7083239</v>
      </c>
      <c r="V52" s="152">
        <f t="shared" si="1"/>
        <v>708324</v>
      </c>
      <c r="W52" s="152">
        <f t="shared" si="2"/>
        <v>7083240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64236</v>
      </c>
      <c r="D53" s="22">
        <f>IF(Notes!$B$2="June",ROUND('Budget by Source'!D53/10,0)+Q53,ROUND('Budget by Source'!D53/10,0))</f>
        <v>355174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41947</v>
      </c>
      <c r="G53" s="22">
        <f>IF(Notes!$B$2="June",ROUND('Budget by Source'!G53/10,0)+T53,ROUND('Budget by Source'!G53/10,0))</f>
        <v>203432</v>
      </c>
      <c r="H53" s="22">
        <f t="shared" si="0"/>
        <v>3098097</v>
      </c>
      <c r="I53" s="22">
        <f>INDEX(Data[],MATCH($A53,Data[Dist],0),MATCH(I$5,Data[#Headers],0))</f>
        <v>3805170</v>
      </c>
      <c r="K53" s="69">
        <f>INDEX('Payment Total'!$A$7:$H$331,MATCH('Payment by Source'!$A53,'Payment Total'!$A$7:$A$331,0),5)-I53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31063841</v>
      </c>
      <c r="V53" s="152">
        <f t="shared" si="1"/>
        <v>3106384</v>
      </c>
      <c r="W53" s="152">
        <f t="shared" si="2"/>
        <v>31063840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266815</v>
      </c>
      <c r="D54" s="22">
        <f>IF(Notes!$B$2="June",ROUND('Budget by Source'!D54/10,0)+Q54,ROUND('Budget by Source'!D54/10,0))</f>
        <v>1027188</v>
      </c>
      <c r="E54" s="22">
        <f>IF(Notes!$B$2="June",ROUND('Budget by Source'!E54/10,0)+R54,ROUND('Budget by Source'!E54/10,0))</f>
        <v>131584</v>
      </c>
      <c r="F54" s="22">
        <f>IF(Notes!$B$2="June",ROUND('Budget by Source'!F54/10,0)+S54,ROUND('Budget by Source'!F54/10,0))</f>
        <v>120620</v>
      </c>
      <c r="G54" s="22">
        <f>IF(Notes!$B$2="June",ROUND('Budget by Source'!G54/10,0)+T54,ROUND('Budget by Source'!G54/10,0))</f>
        <v>588148</v>
      </c>
      <c r="H54" s="22">
        <f t="shared" si="0"/>
        <v>9405948</v>
      </c>
      <c r="I54" s="22">
        <f>INDEX(Data[],MATCH($A54,Data[Dist],0),MATCH(I$5,Data[#Headers],0))</f>
        <v>11540303</v>
      </c>
      <c r="K54" s="69">
        <f>INDEX('Payment Total'!$A$7:$H$331,MATCH('Payment by Source'!$A54,'Payment Total'!$A$7:$A$331,0),5)-I54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94299053</v>
      </c>
      <c r="V54" s="152">
        <f t="shared" si="1"/>
        <v>9429905</v>
      </c>
      <c r="W54" s="152">
        <f t="shared" si="2"/>
        <v>94299050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25466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718638</v>
      </c>
      <c r="I55" s="22">
        <f>INDEX(Data[],MATCH($A55,Data[Dist],0),MATCH(I$5,Data[#Headers],0))</f>
        <v>885989</v>
      </c>
      <c r="K55" s="69">
        <f>INDEX('Payment Total'!$A$7:$H$331,MATCH('Payment by Source'!$A55,'Payment Total'!$A$7:$A$331,0),5)-I55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7204420</v>
      </c>
      <c r="V55" s="152">
        <f t="shared" si="1"/>
        <v>720442</v>
      </c>
      <c r="W55" s="152">
        <f t="shared" si="2"/>
        <v>7204420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24326</v>
      </c>
      <c r="D56" s="22">
        <f>IF(Notes!$B$2="June",ROUND('Budget by Source'!D56/10,0)+Q56,ROUND('Budget by Source'!D56/10,0))</f>
        <v>87245</v>
      </c>
      <c r="E56" s="22">
        <f>IF(Notes!$B$2="June",ROUND('Budget by Source'!E56/10,0)+R56,ROUND('Budget by Source'!E56/10,0))</f>
        <v>10595</v>
      </c>
      <c r="F56" s="22">
        <f>IF(Notes!$B$2="June",ROUND('Budget by Source'!F56/10,0)+S56,ROUND('Budget by Source'!F56/10,0))</f>
        <v>9990</v>
      </c>
      <c r="G56" s="22">
        <f>IF(Notes!$B$2="June",ROUND('Budget by Source'!G56/10,0)+T56,ROUND('Budget by Source'!G56/10,0))</f>
        <v>49081</v>
      </c>
      <c r="H56" s="22">
        <f t="shared" si="0"/>
        <v>904816</v>
      </c>
      <c r="I56" s="22">
        <f>INDEX(Data[],MATCH($A56,Data[Dist],0),MATCH(I$5,Data[#Headers],0))</f>
        <v>1086053</v>
      </c>
      <c r="K56" s="69">
        <f>INDEX('Payment Total'!$A$7:$H$331,MATCH('Payment by Source'!$A56,'Payment Total'!$A$7:$A$331,0),5)-I56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9068162</v>
      </c>
      <c r="V56" s="152">
        <f t="shared" si="1"/>
        <v>906816</v>
      </c>
      <c r="W56" s="152">
        <f t="shared" si="2"/>
        <v>9068160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22425</v>
      </c>
      <c r="D57" s="22">
        <f>IF(Notes!$B$2="June",ROUND('Budget by Source'!D57/10,0)+Q57,ROUND('Budget by Source'!D57/10,0))</f>
        <v>54756</v>
      </c>
      <c r="E57" s="22">
        <f>IF(Notes!$B$2="June",ROUND('Budget by Source'!E57/10,0)+R57,ROUND('Budget by Source'!E57/10,0))</f>
        <v>6067</v>
      </c>
      <c r="F57" s="22">
        <f>IF(Notes!$B$2="June",ROUND('Budget by Source'!F57/10,0)+S57,ROUND('Budget by Source'!F57/10,0))</f>
        <v>6937</v>
      </c>
      <c r="G57" s="22">
        <f>IF(Notes!$B$2="June",ROUND('Budget by Source'!G57/10,0)+T57,ROUND('Budget by Source'!G57/10,0))</f>
        <v>29597</v>
      </c>
      <c r="H57" s="22">
        <f t="shared" si="0"/>
        <v>395585</v>
      </c>
      <c r="I57" s="22">
        <f>INDEX(Data[],MATCH($A57,Data[Dist],0),MATCH(I$5,Data[#Headers],0))</f>
        <v>515367</v>
      </c>
      <c r="K57" s="69">
        <f>INDEX('Payment Total'!$A$7:$H$331,MATCH('Payment by Source'!$A57,'Payment Total'!$A$7:$A$331,0),5)-I57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3967894</v>
      </c>
      <c r="V57" s="152">
        <f t="shared" si="1"/>
        <v>396789</v>
      </c>
      <c r="W57" s="152">
        <f t="shared" si="2"/>
        <v>3967890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12543</v>
      </c>
      <c r="D58" s="22">
        <f>IF(Notes!$B$2="June",ROUND('Budget by Source'!D58/10,0)+Q58,ROUND('Budget by Source'!D58/10,0))</f>
        <v>30281</v>
      </c>
      <c r="E58" s="22">
        <f>IF(Notes!$B$2="June",ROUND('Budget by Source'!E58/10,0)+R58,ROUND('Budget by Source'!E58/10,0))</f>
        <v>3166</v>
      </c>
      <c r="F58" s="22">
        <f>IF(Notes!$B$2="June",ROUND('Budget by Source'!F58/10,0)+S58,ROUND('Budget by Source'!F58/10,0))</f>
        <v>3168</v>
      </c>
      <c r="G58" s="22">
        <f>IF(Notes!$B$2="June",ROUND('Budget by Source'!G58/10,0)+T58,ROUND('Budget by Source'!G58/10,0))</f>
        <v>16647</v>
      </c>
      <c r="H58" s="22">
        <f t="shared" si="0"/>
        <v>244180</v>
      </c>
      <c r="I58" s="22">
        <f>INDEX(Data[],MATCH($A58,Data[Dist],0),MATCH(I$5,Data[#Headers],0))</f>
        <v>309985</v>
      </c>
      <c r="K58" s="69">
        <f>INDEX('Payment Total'!$A$7:$H$331,MATCH('Payment by Source'!$A58,'Payment Total'!$A$7:$A$331,0),5)-I58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2448588</v>
      </c>
      <c r="V58" s="152">
        <f t="shared" si="1"/>
        <v>244859</v>
      </c>
      <c r="W58" s="152">
        <f t="shared" si="2"/>
        <v>2448590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34588</v>
      </c>
      <c r="D59" s="22">
        <f>IF(Notes!$B$2="June",ROUND('Budget by Source'!D59/10,0)+Q59,ROUND('Budget by Source'!D59/10,0))</f>
        <v>97267</v>
      </c>
      <c r="E59" s="22">
        <f>IF(Notes!$B$2="June",ROUND('Budget by Source'!E59/10,0)+R59,ROUND('Budget by Source'!E59/10,0))</f>
        <v>10183</v>
      </c>
      <c r="F59" s="22">
        <f>IF(Notes!$B$2="June",ROUND('Budget by Source'!F59/10,0)+S59,ROUND('Budget by Source'!F59/10,0))</f>
        <v>10590</v>
      </c>
      <c r="G59" s="22">
        <f>IF(Notes!$B$2="June",ROUND('Budget by Source'!G59/10,0)+T59,ROUND('Budget by Source'!G59/10,0))</f>
        <v>53544</v>
      </c>
      <c r="H59" s="22">
        <f t="shared" si="0"/>
        <v>772761</v>
      </c>
      <c r="I59" s="22">
        <f>INDEX(Data[],MATCH($A59,Data[Dist],0),MATCH(I$5,Data[#Headers],0))</f>
        <v>978933</v>
      </c>
      <c r="K59" s="69">
        <f>INDEX('Payment Total'!$A$7:$H$331,MATCH('Payment by Source'!$A59,'Payment Total'!$A$7:$A$331,0),5)-I59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7749404</v>
      </c>
      <c r="V59" s="152">
        <f t="shared" si="1"/>
        <v>774940</v>
      </c>
      <c r="W59" s="152">
        <f t="shared" si="2"/>
        <v>7749400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6462</v>
      </c>
      <c r="D60" s="22">
        <f>IF(Notes!$B$2="June",ROUND('Budget by Source'!D60/10,0)+Q60,ROUND('Budget by Source'!D60/10,0))</f>
        <v>31609</v>
      </c>
      <c r="E60" s="22">
        <f>IF(Notes!$B$2="June",ROUND('Budget by Source'!E60/10,0)+R60,ROUND('Budget by Source'!E60/10,0))</f>
        <v>3564</v>
      </c>
      <c r="F60" s="22">
        <f>IF(Notes!$B$2="June",ROUND('Budget by Source'!F60/10,0)+S60,ROUND('Budget by Source'!F60/10,0))</f>
        <v>3137</v>
      </c>
      <c r="G60" s="22">
        <f>IF(Notes!$B$2="June",ROUND('Budget by Source'!G60/10,0)+T60,ROUND('Budget by Source'!G60/10,0))</f>
        <v>16623</v>
      </c>
      <c r="H60" s="22">
        <f t="shared" si="0"/>
        <v>241323</v>
      </c>
      <c r="I60" s="22">
        <f>INDEX(Data[],MATCH($A60,Data[Dist],0),MATCH(I$5,Data[#Headers],0))</f>
        <v>302718</v>
      </c>
      <c r="K60" s="69">
        <f>INDEX('Payment Total'!$A$7:$H$331,MATCH('Payment by Source'!$A60,'Payment Total'!$A$7:$A$331,0),5)-I60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2419747</v>
      </c>
      <c r="V60" s="152">
        <f t="shared" si="1"/>
        <v>241975</v>
      </c>
      <c r="W60" s="152">
        <f t="shared" si="2"/>
        <v>2419750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15584</v>
      </c>
      <c r="D61" s="22">
        <f>IF(Notes!$B$2="June",ROUND('Budget by Source'!D61/10,0)+Q61,ROUND('Budget by Source'!D61/10,0))</f>
        <v>43646</v>
      </c>
      <c r="E61" s="22">
        <f>IF(Notes!$B$2="June",ROUND('Budget by Source'!E61/10,0)+R61,ROUND('Budget by Source'!E61/10,0))</f>
        <v>5809</v>
      </c>
      <c r="F61" s="22">
        <f>IF(Notes!$B$2="June",ROUND('Budget by Source'!F61/10,0)+S61,ROUND('Budget by Source'!F61/10,0))</f>
        <v>4559</v>
      </c>
      <c r="G61" s="22">
        <f>IF(Notes!$B$2="June",ROUND('Budget by Source'!G61/10,0)+T61,ROUND('Budget by Source'!G61/10,0))</f>
        <v>23685</v>
      </c>
      <c r="H61" s="22">
        <f t="shared" si="0"/>
        <v>453618</v>
      </c>
      <c r="I61" s="22">
        <f>INDEX(Data[],MATCH($A61,Data[Dist],0),MATCH(I$5,Data[#Headers],0))</f>
        <v>546901</v>
      </c>
      <c r="K61" s="69">
        <f>INDEX('Payment Total'!$A$7:$H$331,MATCH('Payment by Source'!$A61,'Payment Total'!$A$7:$A$331,0),5)-I61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4545819</v>
      </c>
      <c r="V61" s="152">
        <f t="shared" si="1"/>
        <v>454582</v>
      </c>
      <c r="W61" s="152">
        <f t="shared" si="2"/>
        <v>4545820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48874</v>
      </c>
      <c r="E62" s="22">
        <f>IF(Notes!$B$2="June",ROUND('Budget by Source'!E62/10,0)+R62,ROUND('Budget by Source'!E62/10,0))</f>
        <v>5298</v>
      </c>
      <c r="F62" s="22">
        <f>IF(Notes!$B$2="June",ROUND('Budget by Source'!F62/10,0)+S62,ROUND('Budget by Source'!F62/10,0))</f>
        <v>5620</v>
      </c>
      <c r="G62" s="22">
        <f>IF(Notes!$B$2="June",ROUND('Budget by Source'!G62/10,0)+T62,ROUND('Budget by Source'!G62/10,0))</f>
        <v>28196</v>
      </c>
      <c r="H62" s="22">
        <f t="shared" si="0"/>
        <v>404351</v>
      </c>
      <c r="I62" s="22">
        <f>INDEX(Data[],MATCH($A62,Data[Dist],0),MATCH(I$5,Data[#Headers],0))</f>
        <v>509063</v>
      </c>
      <c r="K62" s="69">
        <f>INDEX('Payment Total'!$A$7:$H$331,MATCH('Payment by Source'!$A62,'Payment Total'!$A$7:$A$331,0),5)-I62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4054999</v>
      </c>
      <c r="V62" s="152">
        <f t="shared" si="1"/>
        <v>405500</v>
      </c>
      <c r="W62" s="152">
        <f t="shared" si="2"/>
        <v>4055000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22045</v>
      </c>
      <c r="D63" s="22">
        <f>IF(Notes!$B$2="June",ROUND('Budget by Source'!D63/10,0)+Q63,ROUND('Budget by Source'!D63/10,0))</f>
        <v>82015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8829</v>
      </c>
      <c r="G63" s="22">
        <f>IF(Notes!$B$2="June",ROUND('Budget by Source'!G63/10,0)+T63,ROUND('Budget by Source'!G63/10,0))</f>
        <v>46851</v>
      </c>
      <c r="H63" s="22">
        <f t="shared" si="0"/>
        <v>798578</v>
      </c>
      <c r="I63" s="22">
        <f>INDEX(Data[],MATCH($A63,Data[Dist],0),MATCH(I$5,Data[#Headers],0))</f>
        <v>969494</v>
      </c>
      <c r="K63" s="69">
        <f>INDEX('Payment Total'!$A$7:$H$331,MATCH('Payment by Source'!$A63,'Payment Total'!$A$7:$A$331,0),5)-I63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8004853</v>
      </c>
      <c r="V63" s="152">
        <f t="shared" si="1"/>
        <v>800485</v>
      </c>
      <c r="W63" s="152">
        <f t="shared" si="2"/>
        <v>8004850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28498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894443</v>
      </c>
      <c r="I64" s="22">
        <f>INDEX(Data[],MATCH($A64,Data[Dist],0),MATCH(I$5,Data[#Headers],0))</f>
        <v>1100268</v>
      </c>
      <c r="K64" s="69">
        <f>INDEX('Payment Total'!$A$7:$H$331,MATCH('Payment by Source'!$A64,'Payment Total'!$A$7:$A$331,0),5)-I64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8966807</v>
      </c>
      <c r="V64" s="152">
        <f t="shared" si="1"/>
        <v>896681</v>
      </c>
      <c r="W64" s="152">
        <f t="shared" si="2"/>
        <v>8966810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4941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2398</v>
      </c>
      <c r="F65" s="22">
        <f>IF(Notes!$B$2="June",ROUND('Budget by Source'!F65/10,0)+S65,ROUND('Budget by Source'!F65/10,0))</f>
        <v>2190</v>
      </c>
      <c r="G65" s="22">
        <f>IF(Notes!$B$2="June",ROUND('Budget by Source'!G65/10,0)+T65,ROUND('Budget by Source'!G65/10,0))</f>
        <v>10584</v>
      </c>
      <c r="H65" s="22">
        <f t="shared" si="0"/>
        <v>131337</v>
      </c>
      <c r="I65" s="22">
        <f>INDEX(Data[],MATCH($A65,Data[Dist],0),MATCH(I$5,Data[#Headers],0))</f>
        <v>172181</v>
      </c>
      <c r="K65" s="69">
        <f>INDEX('Payment Total'!$A$7:$H$331,MATCH('Payment by Source'!$A65,'Payment Total'!$A$7:$A$331,0),5)-I65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1317694</v>
      </c>
      <c r="V65" s="152">
        <f t="shared" si="1"/>
        <v>131769</v>
      </c>
      <c r="W65" s="152">
        <f t="shared" si="2"/>
        <v>1317690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14444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8335</v>
      </c>
      <c r="F66" s="22">
        <f>IF(Notes!$B$2="June",ROUND('Budget by Source'!F66/10,0)+S66,ROUND('Budget by Source'!F66/10,0))</f>
        <v>7781</v>
      </c>
      <c r="G66" s="22">
        <f>IF(Notes!$B$2="June",ROUND('Budget by Source'!G66/10,0)+T66,ROUND('Budget by Source'!G66/10,0))</f>
        <v>38154</v>
      </c>
      <c r="H66" s="22">
        <f t="shared" si="0"/>
        <v>643007</v>
      </c>
      <c r="I66" s="22">
        <f>INDEX(Data[],MATCH($A66,Data[Dist],0),MATCH(I$5,Data[#Headers],0))</f>
        <v>780849</v>
      </c>
      <c r="K66" s="69">
        <f>INDEX('Payment Total'!$A$7:$H$331,MATCH('Payment by Source'!$A66,'Payment Total'!$A$7:$A$331,0),5)-I66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6445618</v>
      </c>
      <c r="V66" s="152">
        <f t="shared" si="1"/>
        <v>644562</v>
      </c>
      <c r="W66" s="152">
        <f t="shared" si="2"/>
        <v>6445620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10263</v>
      </c>
      <c r="D67" s="22">
        <f>IF(Notes!$B$2="June",ROUND('Budget by Source'!D67/10,0)+Q67,ROUND('Budget by Source'!D67/10,0))</f>
        <v>62807</v>
      </c>
      <c r="E67" s="22">
        <f>IF(Notes!$B$2="June",ROUND('Budget by Source'!E67/10,0)+R67,ROUND('Budget by Source'!E67/10,0))</f>
        <v>7022</v>
      </c>
      <c r="F67" s="22">
        <f>IF(Notes!$B$2="June",ROUND('Budget by Source'!F67/10,0)+S67,ROUND('Budget by Source'!F67/10,0))</f>
        <v>6065</v>
      </c>
      <c r="G67" s="22">
        <f>IF(Notes!$B$2="June",ROUND('Budget by Source'!G67/10,0)+T67,ROUND('Budget by Source'!G67/10,0))</f>
        <v>36451</v>
      </c>
      <c r="H67" s="22">
        <f t="shared" si="0"/>
        <v>573488</v>
      </c>
      <c r="I67" s="22">
        <f>INDEX(Data[],MATCH($A67,Data[Dist],0),MATCH(I$5,Data[#Headers],0))</f>
        <v>696096</v>
      </c>
      <c r="K67" s="69">
        <f>INDEX('Payment Total'!$A$7:$H$331,MATCH('Payment by Source'!$A67,'Payment Total'!$A$7:$A$331,0),5)-I67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5749736</v>
      </c>
      <c r="V67" s="152">
        <f t="shared" si="1"/>
        <v>574974</v>
      </c>
      <c r="W67" s="152">
        <f t="shared" si="2"/>
        <v>5749740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25466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8264</v>
      </c>
      <c r="F68" s="22">
        <f>IF(Notes!$B$2="June",ROUND('Budget by Source'!F68/10,0)+S68,ROUND('Budget by Source'!F68/10,0))</f>
        <v>7579</v>
      </c>
      <c r="G68" s="22">
        <f>IF(Notes!$B$2="June",ROUND('Budget by Source'!G68/10,0)+T68,ROUND('Budget by Source'!G68/10,0))</f>
        <v>37262</v>
      </c>
      <c r="H68" s="22">
        <f t="shared" si="0"/>
        <v>494170</v>
      </c>
      <c r="I68" s="22">
        <f>INDEX(Data[],MATCH($A68,Data[Dist],0),MATCH(I$5,Data[#Headers],0))</f>
        <v>639967</v>
      </c>
      <c r="K68" s="69">
        <f>INDEX('Payment Total'!$A$7:$H$331,MATCH('Payment by Source'!$A68,'Payment Total'!$A$7:$A$331,0),5)-I68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4956877</v>
      </c>
      <c r="V68" s="152">
        <f t="shared" si="1"/>
        <v>495688</v>
      </c>
      <c r="W68" s="152">
        <f t="shared" si="2"/>
        <v>4956880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22425</v>
      </c>
      <c r="D69" s="22">
        <f>IF(Notes!$B$2="June",ROUND('Budget by Source'!D69/10,0)+Q69,ROUND('Budget by Source'!D69/10,0))</f>
        <v>94396</v>
      </c>
      <c r="E69" s="22">
        <f>IF(Notes!$B$2="June",ROUND('Budget by Source'!E69/10,0)+R69,ROUND('Budget by Source'!E69/10,0))</f>
        <v>12302</v>
      </c>
      <c r="F69" s="22">
        <f>IF(Notes!$B$2="June",ROUND('Budget by Source'!F69/10,0)+S69,ROUND('Budget by Source'!F69/10,0))</f>
        <v>9860</v>
      </c>
      <c r="G69" s="22">
        <f>IF(Notes!$B$2="June",ROUND('Budget by Source'!G69/10,0)+T69,ROUND('Budget by Source'!G69/10,0))</f>
        <v>53161</v>
      </c>
      <c r="H69" s="22">
        <f t="shared" si="0"/>
        <v>937360</v>
      </c>
      <c r="I69" s="22">
        <f>INDEX(Data[],MATCH($A69,Data[Dist],0),MATCH(I$5,Data[#Headers],0))</f>
        <v>1129504</v>
      </c>
      <c r="K69" s="69">
        <f>INDEX('Payment Total'!$A$7:$H$331,MATCH('Payment by Source'!$A69,'Payment Total'!$A$7:$A$331,0),5)-I69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9395271</v>
      </c>
      <c r="V69" s="152">
        <f t="shared" si="1"/>
        <v>939527</v>
      </c>
      <c r="W69" s="152">
        <f t="shared" si="2"/>
        <v>9395270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4181</v>
      </c>
      <c r="D70" s="22">
        <f>IF(Notes!$B$2="June",ROUND('Budget by Source'!D70/10,0)+Q70,ROUND('Budget by Source'!D70/10,0))</f>
        <v>21521</v>
      </c>
      <c r="E70" s="22">
        <f>IF(Notes!$B$2="June",ROUND('Budget by Source'!E70/10,0)+R70,ROUND('Budget by Source'!E70/10,0))</f>
        <v>2394</v>
      </c>
      <c r="F70" s="22">
        <f>IF(Notes!$B$2="June",ROUND('Budget by Source'!F70/10,0)+S70,ROUND('Budget by Source'!F70/10,0))</f>
        <v>2316</v>
      </c>
      <c r="G70" s="22">
        <f>IF(Notes!$B$2="June",ROUND('Budget by Source'!G70/10,0)+T70,ROUND('Budget by Source'!G70/10,0))</f>
        <v>10665</v>
      </c>
      <c r="H70" s="22">
        <f t="shared" si="0"/>
        <v>180240</v>
      </c>
      <c r="I70" s="22">
        <f>INDEX(Data[],MATCH($A70,Data[Dist],0),MATCH(I$5,Data[#Headers],0))</f>
        <v>221317</v>
      </c>
      <c r="K70" s="69">
        <f>INDEX('Payment Total'!$A$7:$H$331,MATCH('Payment by Source'!$A70,'Payment Total'!$A$7:$A$331,0),5)-I70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1806745</v>
      </c>
      <c r="V70" s="152">
        <f t="shared" si="1"/>
        <v>180675</v>
      </c>
      <c r="W70" s="152">
        <f t="shared" si="2"/>
        <v>1806750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20645</v>
      </c>
      <c r="E71" s="22">
        <f>IF(Notes!$B$2="June",ROUND('Budget by Source'!E71/10,0)+R71,ROUND('Budget by Source'!E71/10,0))</f>
        <v>2122</v>
      </c>
      <c r="F71" s="22">
        <f>IF(Notes!$B$2="June",ROUND('Budget by Source'!F71/10,0)+S71,ROUND('Budget by Source'!F71/10,0))</f>
        <v>2277</v>
      </c>
      <c r="G71" s="22">
        <f>IF(Notes!$B$2="June",ROUND('Budget by Source'!G71/10,0)+T71,ROUND('Budget by Source'!G71/10,0))</f>
        <v>10691</v>
      </c>
      <c r="H71" s="22">
        <f t="shared" ref="H71:H134" si="3">I71-SUM(C71:G71)</f>
        <v>71667</v>
      </c>
      <c r="I71" s="22">
        <f>INDEX(Data[],MATCH($A71,Data[Dist],0),MATCH(I$5,Data[#Headers],0))</f>
        <v>110072</v>
      </c>
      <c r="K71" s="69">
        <f>INDEX('Payment Total'!$A$7:$H$331,MATCH('Payment by Source'!$A71,'Payment Total'!$A$7:$A$331,0),5)-I71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721018</v>
      </c>
      <c r="V71" s="152">
        <f t="shared" ref="V71:V134" si="4">ROUND(U71/10,0)</f>
        <v>72102</v>
      </c>
      <c r="W71" s="152">
        <f t="shared" ref="W71:W134" si="5">V71*10</f>
        <v>721020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19546</v>
      </c>
      <c r="F72" s="22">
        <f>IF(Notes!$B$2="June",ROUND('Budget by Source'!F72/10,0)+S72,ROUND('Budget by Source'!F72/10,0))</f>
        <v>21091</v>
      </c>
      <c r="G72" s="22">
        <f>IF(Notes!$B$2="June",ROUND('Budget by Source'!G72/10,0)+T72,ROUND('Budget by Source'!G72/10,0))</f>
        <v>108270</v>
      </c>
      <c r="H72" s="22">
        <f t="shared" si="3"/>
        <v>1544255</v>
      </c>
      <c r="I72" s="22">
        <f>INDEX(Data[],MATCH($A72,Data[Dist],0),MATCH(I$5,Data[#Headers],0))</f>
        <v>1944386</v>
      </c>
      <c r="K72" s="69">
        <f>INDEX('Payment Total'!$A$7:$H$331,MATCH('Payment by Source'!$A72,'Payment Total'!$A$7:$A$331,0),5)-I72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15486648</v>
      </c>
      <c r="V72" s="152">
        <f t="shared" si="4"/>
        <v>1548665</v>
      </c>
      <c r="W72" s="152">
        <f t="shared" si="5"/>
        <v>15486650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20525</v>
      </c>
      <c r="D73" s="22">
        <f>IF(Notes!$B$2="June",ROUND('Budget by Source'!D73/10,0)+Q73,ROUND('Budget by Source'!D73/10,0))</f>
        <v>74295</v>
      </c>
      <c r="E73" s="22">
        <f>IF(Notes!$B$2="June",ROUND('Budget by Source'!E73/10,0)+R73,ROUND('Budget by Source'!E73/10,0))</f>
        <v>8591</v>
      </c>
      <c r="F73" s="22">
        <f>IF(Notes!$B$2="June",ROUND('Budget by Source'!F73/10,0)+S73,ROUND('Budget by Source'!F73/10,0))</f>
        <v>8191</v>
      </c>
      <c r="G73" s="22">
        <f>IF(Notes!$B$2="June",ROUND('Budget by Source'!G73/10,0)+T73,ROUND('Budget by Source'!G73/10,0))</f>
        <v>43232</v>
      </c>
      <c r="H73" s="22">
        <f t="shared" si="3"/>
        <v>346599</v>
      </c>
      <c r="I73" s="22">
        <f>INDEX(Data[],MATCH($A73,Data[Dist],0),MATCH(I$5,Data[#Headers],0))</f>
        <v>501433</v>
      </c>
      <c r="K73" s="69">
        <f>INDEX('Payment Total'!$A$7:$H$331,MATCH('Payment by Source'!$A73,'Payment Total'!$A$7:$A$331,0),5)-I73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3483605</v>
      </c>
      <c r="V73" s="152">
        <f t="shared" si="4"/>
        <v>348361</v>
      </c>
      <c r="W73" s="152">
        <f t="shared" si="5"/>
        <v>3483610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73358</v>
      </c>
      <c r="D74" s="22">
        <f>IF(Notes!$B$2="June",ROUND('Budget by Source'!D74/10,0)+Q74,ROUND('Budget by Source'!D74/10,0))</f>
        <v>236457</v>
      </c>
      <c r="E74" s="22">
        <f>IF(Notes!$B$2="June",ROUND('Budget by Source'!E74/10,0)+R74,ROUND('Budget by Source'!E74/10,0))</f>
        <v>31458</v>
      </c>
      <c r="F74" s="22">
        <f>IF(Notes!$B$2="June",ROUND('Budget by Source'!F74/10,0)+S74,ROUND('Budget by Source'!F74/10,0))</f>
        <v>27197</v>
      </c>
      <c r="G74" s="22">
        <f>IF(Notes!$B$2="June",ROUND('Budget by Source'!G74/10,0)+T74,ROUND('Budget by Source'!G74/10,0))</f>
        <v>132826</v>
      </c>
      <c r="H74" s="22">
        <f t="shared" si="3"/>
        <v>2621746</v>
      </c>
      <c r="I74" s="22">
        <f>INDEX(Data[],MATCH($A74,Data[Dist],0),MATCH(I$5,Data[#Headers],0))</f>
        <v>3123042</v>
      </c>
      <c r="K74" s="69">
        <f>INDEX('Payment Total'!$A$7:$H$331,MATCH('Payment by Source'!$A74,'Payment Total'!$A$7:$A$331,0),5)-I74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26271574</v>
      </c>
      <c r="V74" s="152">
        <f t="shared" si="4"/>
        <v>2627157</v>
      </c>
      <c r="W74" s="152">
        <f t="shared" si="5"/>
        <v>26271570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14444</v>
      </c>
      <c r="D75" s="22">
        <f>IF(Notes!$B$2="June",ROUND('Budget by Source'!D75/10,0)+Q75,ROUND('Budget by Source'!D75/10,0))</f>
        <v>46271</v>
      </c>
      <c r="E75" s="22">
        <f>IF(Notes!$B$2="June",ROUND('Budget by Source'!E75/10,0)+R75,ROUND('Budget by Source'!E75/10,0))</f>
        <v>5361</v>
      </c>
      <c r="F75" s="22">
        <f>IF(Notes!$B$2="June",ROUND('Budget by Source'!F75/10,0)+S75,ROUND('Budget by Source'!F75/10,0))</f>
        <v>4612</v>
      </c>
      <c r="G75" s="22">
        <f>IF(Notes!$B$2="June",ROUND('Budget by Source'!G75/10,0)+T75,ROUND('Budget by Source'!G75/10,0))</f>
        <v>26062</v>
      </c>
      <c r="H75" s="22">
        <f t="shared" si="3"/>
        <v>404399</v>
      </c>
      <c r="I75" s="22">
        <f>INDEX(Data[],MATCH($A75,Data[Dist],0),MATCH(I$5,Data[#Headers],0))</f>
        <v>501149</v>
      </c>
      <c r="K75" s="69">
        <f>INDEX('Payment Total'!$A$7:$H$331,MATCH('Payment by Source'!$A75,'Payment Total'!$A$7:$A$331,0),5)-I75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4054609</v>
      </c>
      <c r="V75" s="152">
        <f t="shared" si="4"/>
        <v>405461</v>
      </c>
      <c r="W75" s="152">
        <f t="shared" si="5"/>
        <v>4054610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92761</v>
      </c>
      <c r="D76" s="22">
        <f>IF(Notes!$B$2="June",ROUND('Budget by Source'!D76/10,0)+Q76,ROUND('Budget by Source'!D76/10,0))</f>
        <v>322140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39412</v>
      </c>
      <c r="G76" s="22">
        <f>IF(Notes!$B$2="June",ROUND('Budget by Source'!G76/10,0)+T76,ROUND('Budget by Source'!G76/10,0))</f>
        <v>189716</v>
      </c>
      <c r="H76" s="22">
        <f t="shared" si="3"/>
        <v>2649461</v>
      </c>
      <c r="I76" s="22">
        <f>INDEX(Data[],MATCH($A76,Data[Dist],0),MATCH(I$5,Data[#Headers],0))</f>
        <v>3334910</v>
      </c>
      <c r="K76" s="69">
        <f>INDEX('Payment Total'!$A$7:$H$331,MATCH('Payment by Source'!$A76,'Payment Total'!$A$7:$A$331,0),5)-I76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26571884</v>
      </c>
      <c r="V76" s="152">
        <f t="shared" si="4"/>
        <v>2657188</v>
      </c>
      <c r="W76" s="152">
        <f t="shared" si="5"/>
        <v>26571880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5701</v>
      </c>
      <c r="D77" s="22">
        <f>IF(Notes!$B$2="June",ROUND('Budget by Source'!D77/10,0)+Q77,ROUND('Budget by Source'!D77/10,0))</f>
        <v>31238</v>
      </c>
      <c r="E77" s="22">
        <f>IF(Notes!$B$2="June",ROUND('Budget by Source'!E77/10,0)+R77,ROUND('Budget by Source'!E77/10,0))</f>
        <v>3526</v>
      </c>
      <c r="F77" s="22">
        <f>IF(Notes!$B$2="June",ROUND('Budget by Source'!F77/10,0)+S77,ROUND('Budget by Source'!F77/10,0))</f>
        <v>3229</v>
      </c>
      <c r="G77" s="22">
        <f>IF(Notes!$B$2="June",ROUND('Budget by Source'!G77/10,0)+T77,ROUND('Budget by Source'!G77/10,0))</f>
        <v>17096</v>
      </c>
      <c r="H77" s="22">
        <f t="shared" si="3"/>
        <v>254577</v>
      </c>
      <c r="I77" s="22">
        <f>INDEX(Data[],MATCH($A77,Data[Dist],0),MATCH(I$5,Data[#Headers],0))</f>
        <v>315367</v>
      </c>
      <c r="K77" s="69">
        <f>INDEX('Payment Total'!$A$7:$H$331,MATCH('Payment by Source'!$A77,'Payment Total'!$A$7:$A$331,0),5)-I77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2552732</v>
      </c>
      <c r="V77" s="152">
        <f t="shared" si="4"/>
        <v>255273</v>
      </c>
      <c r="W77" s="152">
        <f t="shared" si="5"/>
        <v>2552730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7602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177678</v>
      </c>
      <c r="I78" s="22">
        <f>INDEX(Data[],MATCH($A78,Data[Dist],0),MATCH(I$5,Data[#Headers],0))</f>
        <v>242414</v>
      </c>
      <c r="K78" s="69">
        <f>INDEX('Payment Total'!$A$7:$H$331,MATCH('Payment by Source'!$A78,'Payment Total'!$A$7:$A$331,0),5)-I78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1783592</v>
      </c>
      <c r="V78" s="152">
        <f t="shared" si="4"/>
        <v>178359</v>
      </c>
      <c r="W78" s="152">
        <f t="shared" si="5"/>
        <v>1783590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13303</v>
      </c>
      <c r="D79" s="22">
        <f>IF(Notes!$B$2="June",ROUND('Budget by Source'!D79/10,0)+Q79,ROUND('Budget by Source'!D79/10,0))</f>
        <v>51179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6062</v>
      </c>
      <c r="G79" s="22">
        <f>IF(Notes!$B$2="June",ROUND('Budget by Source'!G79/10,0)+T79,ROUND('Budget by Source'!G79/10,0))</f>
        <v>27341</v>
      </c>
      <c r="H79" s="22">
        <f t="shared" si="3"/>
        <v>456103</v>
      </c>
      <c r="I79" s="22">
        <f>INDEX(Data[],MATCH($A79,Data[Dist],0),MATCH(I$5,Data[#Headers],0))</f>
        <v>560306</v>
      </c>
      <c r="K79" s="69">
        <f>INDEX('Payment Total'!$A$7:$H$331,MATCH('Payment by Source'!$A79,'Payment Total'!$A$7:$A$331,0),5)-I79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4572156</v>
      </c>
      <c r="V79" s="152">
        <f t="shared" si="4"/>
        <v>457216</v>
      </c>
      <c r="W79" s="152">
        <f t="shared" si="5"/>
        <v>4572160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9122</v>
      </c>
      <c r="D80" s="22">
        <f>IF(Notes!$B$2="June",ROUND('Budget by Source'!D80/10,0)+Q80,ROUND('Budget by Source'!D80/10,0))</f>
        <v>31080</v>
      </c>
      <c r="E80" s="22">
        <f>IF(Notes!$B$2="June",ROUND('Budget by Source'!E80/10,0)+R80,ROUND('Budget by Source'!E80/10,0))</f>
        <v>3595</v>
      </c>
      <c r="F80" s="22">
        <f>IF(Notes!$B$2="June",ROUND('Budget by Source'!F80/10,0)+S80,ROUND('Budget by Source'!F80/10,0))</f>
        <v>3344</v>
      </c>
      <c r="G80" s="22">
        <f>IF(Notes!$B$2="June",ROUND('Budget by Source'!G80/10,0)+T80,ROUND('Budget by Source'!G80/10,0))</f>
        <v>15663</v>
      </c>
      <c r="H80" s="22">
        <f t="shared" si="3"/>
        <v>227964</v>
      </c>
      <c r="I80" s="22">
        <f>INDEX(Data[],MATCH($A80,Data[Dist],0),MATCH(I$5,Data[#Headers],0))</f>
        <v>290768</v>
      </c>
      <c r="K80" s="69">
        <f>INDEX('Payment Total'!$A$7:$H$331,MATCH('Payment by Source'!$A80,'Payment Total'!$A$7:$A$331,0),5)-I80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2286022</v>
      </c>
      <c r="V80" s="152">
        <f t="shared" si="4"/>
        <v>228602</v>
      </c>
      <c r="W80" s="152">
        <f t="shared" si="5"/>
        <v>2286020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120660</v>
      </c>
      <c r="I81" s="22">
        <f>INDEX(Data[],MATCH($A81,Data[Dist],0),MATCH(I$5,Data[#Headers],0))</f>
        <v>179601</v>
      </c>
      <c r="K81" s="69">
        <f>INDEX('Payment Total'!$A$7:$H$331,MATCH('Payment by Source'!$A81,'Payment Total'!$A$7:$A$331,0),5)-I81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1212339</v>
      </c>
      <c r="V81" s="152">
        <f t="shared" si="4"/>
        <v>121234</v>
      </c>
      <c r="W81" s="152">
        <f t="shared" si="5"/>
        <v>1212340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156218</v>
      </c>
      <c r="D82" s="22">
        <f>IF(Notes!$B$2="June",ROUND('Budget by Source'!D82/10,0)+Q82,ROUND('Budget by Source'!D82/10,0))</f>
        <v>550205</v>
      </c>
      <c r="E82" s="22">
        <f>IF(Notes!$B$2="June",ROUND('Budget by Source'!E82/10,0)+R82,ROUND('Budget by Source'!E82/10,0))</f>
        <v>80093</v>
      </c>
      <c r="F82" s="22">
        <f>IF(Notes!$B$2="June",ROUND('Budget by Source'!F82/10,0)+S82,ROUND('Budget by Source'!F82/10,0))</f>
        <v>63688</v>
      </c>
      <c r="G82" s="22">
        <f>IF(Notes!$B$2="June",ROUND('Budget by Source'!G82/10,0)+T82,ROUND('Budget by Source'!G82/10,0))</f>
        <v>320905</v>
      </c>
      <c r="H82" s="22">
        <f t="shared" si="3"/>
        <v>6428675</v>
      </c>
      <c r="I82" s="22">
        <f>INDEX(Data[],MATCH($A82,Data[Dist],0),MATCH(I$5,Data[#Headers],0))</f>
        <v>7599784</v>
      </c>
      <c r="K82" s="69">
        <f>INDEX('Payment Total'!$A$7:$H$331,MATCH('Payment by Source'!$A82,'Payment Total'!$A$7:$A$331,0),5)-I82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64417471</v>
      </c>
      <c r="V82" s="152">
        <f t="shared" si="4"/>
        <v>6441747</v>
      </c>
      <c r="W82" s="152">
        <f t="shared" si="5"/>
        <v>64417470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32688</v>
      </c>
      <c r="D83" s="22">
        <f>IF(Notes!$B$2="June",ROUND('Budget by Source'!D83/10,0)+Q83,ROUND('Budget by Source'!D83/10,0))</f>
        <v>93332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51484</v>
      </c>
      <c r="H83" s="22">
        <f t="shared" si="3"/>
        <v>826924</v>
      </c>
      <c r="I83" s="22">
        <f>INDEX(Data[],MATCH($A83,Data[Dist],0),MATCH(I$5,Data[#Headers],0))</f>
        <v>1026333</v>
      </c>
      <c r="K83" s="69">
        <f>INDEX('Payment Total'!$A$7:$H$331,MATCH('Payment by Source'!$A83,'Payment Total'!$A$7:$A$331,0),5)-I83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8290209</v>
      </c>
      <c r="V83" s="152">
        <f t="shared" si="4"/>
        <v>829021</v>
      </c>
      <c r="W83" s="152">
        <f t="shared" si="5"/>
        <v>8290210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66896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26057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128175</v>
      </c>
      <c r="H84" s="22">
        <f t="shared" si="3"/>
        <v>1896291</v>
      </c>
      <c r="I84" s="22">
        <f>INDEX(Data[],MATCH($A84,Data[Dist],0),MATCH(I$5,Data[#Headers],0))</f>
        <v>2359227</v>
      </c>
      <c r="K84" s="69">
        <f>INDEX('Payment Total'!$A$7:$H$331,MATCH('Payment by Source'!$A84,'Payment Total'!$A$7:$A$331,0),5)-I84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19015121</v>
      </c>
      <c r="V84" s="152">
        <f t="shared" si="4"/>
        <v>1901512</v>
      </c>
      <c r="W84" s="152">
        <f t="shared" si="5"/>
        <v>19015120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13683</v>
      </c>
      <c r="D85" s="22">
        <f>IF(Notes!$B$2="June",ROUND('Budget by Source'!D85/10,0)+Q85,ROUND('Budget by Source'!D85/10,0))</f>
        <v>30505</v>
      </c>
      <c r="E85" s="22">
        <f>IF(Notes!$B$2="June",ROUND('Budget by Source'!E85/10,0)+R85,ROUND('Budget by Source'!E85/10,0))</f>
        <v>3697</v>
      </c>
      <c r="F85" s="22">
        <f>IF(Notes!$B$2="June",ROUND('Budget by Source'!F85/10,0)+S85,ROUND('Budget by Source'!F85/10,0))</f>
        <v>3324</v>
      </c>
      <c r="G85" s="22">
        <f>IF(Notes!$B$2="June",ROUND('Budget by Source'!G85/10,0)+T85,ROUND('Budget by Source'!G85/10,0))</f>
        <v>16777</v>
      </c>
      <c r="H85" s="22">
        <f t="shared" si="3"/>
        <v>234733</v>
      </c>
      <c r="I85" s="22">
        <f>INDEX(Data[],MATCH($A85,Data[Dist],0),MATCH(I$5,Data[#Headers],0))</f>
        <v>302719</v>
      </c>
      <c r="K85" s="69">
        <f>INDEX('Payment Total'!$A$7:$H$331,MATCH('Payment by Source'!$A85,'Payment Total'!$A$7:$A$331,0),5)-I85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2353820</v>
      </c>
      <c r="V85" s="152">
        <f t="shared" si="4"/>
        <v>235382</v>
      </c>
      <c r="W85" s="152">
        <f t="shared" si="5"/>
        <v>2353820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257294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129733</v>
      </c>
      <c r="F86" s="22">
        <f>IF(Notes!$B$2="June",ROUND('Budget by Source'!F86/10,0)+S86,ROUND('Budget by Source'!F86/10,0))</f>
        <v>111064</v>
      </c>
      <c r="G86" s="22">
        <f>IF(Notes!$B$2="June",ROUND('Budget by Source'!G86/10,0)+T86,ROUND('Budget by Source'!G86/10,0))</f>
        <v>522004</v>
      </c>
      <c r="H86" s="22">
        <f t="shared" si="3"/>
        <v>8749324</v>
      </c>
      <c r="I86" s="22">
        <f>INDEX(Data[],MATCH($A86,Data[Dist],0),MATCH(I$5,Data[#Headers],0))</f>
        <v>10679134</v>
      </c>
      <c r="K86" s="69">
        <f>INDEX('Payment Total'!$A$7:$H$331,MATCH('Payment by Source'!$A86,'Payment Total'!$A$7:$A$331,0),5)-I86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87705881</v>
      </c>
      <c r="V86" s="152">
        <f t="shared" si="4"/>
        <v>8770588</v>
      </c>
      <c r="W86" s="152">
        <f t="shared" si="5"/>
        <v>87705880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18625</v>
      </c>
      <c r="D87" s="22">
        <f>IF(Notes!$B$2="June",ROUND('Budget by Source'!D87/10,0)+Q87,ROUND('Budget by Source'!D87/10,0))</f>
        <v>75686</v>
      </c>
      <c r="E87" s="22">
        <f>IF(Notes!$B$2="June",ROUND('Budget by Source'!E87/10,0)+R87,ROUND('Budget by Source'!E87/10,0))</f>
        <v>8518</v>
      </c>
      <c r="F87" s="22">
        <f>IF(Notes!$B$2="June",ROUND('Budget by Source'!F87/10,0)+S87,ROUND('Budget by Source'!F87/10,0))</f>
        <v>8364</v>
      </c>
      <c r="G87" s="22">
        <f>IF(Notes!$B$2="June",ROUND('Budget by Source'!G87/10,0)+T87,ROUND('Budget by Source'!G87/10,0))</f>
        <v>42333</v>
      </c>
      <c r="H87" s="22">
        <f t="shared" si="3"/>
        <v>647283</v>
      </c>
      <c r="I87" s="22">
        <f>INDEX(Data[],MATCH($A87,Data[Dist],0),MATCH(I$5,Data[#Headers],0))</f>
        <v>800809</v>
      </c>
      <c r="K87" s="69">
        <f>INDEX('Payment Total'!$A$7:$H$331,MATCH('Payment by Source'!$A87,'Payment Total'!$A$7:$A$331,0),5)-I87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6490090</v>
      </c>
      <c r="V87" s="152">
        <f t="shared" si="4"/>
        <v>649009</v>
      </c>
      <c r="W87" s="152">
        <f t="shared" si="5"/>
        <v>6490090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36869</v>
      </c>
      <c r="D88" s="22">
        <f>IF(Notes!$B$2="June",ROUND('Budget by Source'!D88/10,0)+Q88,ROUND('Budget by Source'!D88/10,0))</f>
        <v>99755</v>
      </c>
      <c r="E88" s="22">
        <f>IF(Notes!$B$2="June",ROUND('Budget by Source'!E88/10,0)+R88,ROUND('Budget by Source'!E88/10,0))</f>
        <v>11381</v>
      </c>
      <c r="F88" s="22">
        <f>IF(Notes!$B$2="June",ROUND('Budget by Source'!F88/10,0)+S88,ROUND('Budget by Source'!F88/10,0))</f>
        <v>11613</v>
      </c>
      <c r="G88" s="22">
        <f>IF(Notes!$B$2="June",ROUND('Budget by Source'!G88/10,0)+T88,ROUND('Budget by Source'!G88/10,0))</f>
        <v>56112</v>
      </c>
      <c r="H88" s="22">
        <f t="shared" si="3"/>
        <v>684016</v>
      </c>
      <c r="I88" s="22">
        <f>INDEX(Data[],MATCH($A88,Data[Dist],0),MATCH(I$5,Data[#Headers],0))</f>
        <v>899746</v>
      </c>
      <c r="K88" s="69">
        <f>INDEX('Payment Total'!$A$7:$H$331,MATCH('Payment by Source'!$A88,'Payment Total'!$A$7:$A$331,0),5)-I88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6863011</v>
      </c>
      <c r="V88" s="152">
        <f t="shared" si="4"/>
        <v>686301</v>
      </c>
      <c r="W88" s="152">
        <f t="shared" si="5"/>
        <v>6863010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4941</v>
      </c>
      <c r="D89" s="22">
        <f>IF(Notes!$B$2="June",ROUND('Budget by Source'!D89/10,0)+Q89,ROUND('Budget by Source'!D89/10,0))</f>
        <v>11785</v>
      </c>
      <c r="E89" s="22">
        <f>IF(Notes!$B$2="June",ROUND('Budget by Source'!E89/10,0)+R89,ROUND('Budget by Source'!E89/10,0))</f>
        <v>1544</v>
      </c>
      <c r="F89" s="22">
        <f>IF(Notes!$B$2="June",ROUND('Budget by Source'!F89/10,0)+S89,ROUND('Budget by Source'!F89/10,0))</f>
        <v>1012</v>
      </c>
      <c r="G89" s="22">
        <f>IF(Notes!$B$2="June",ROUND('Budget by Source'!G89/10,0)+T89,ROUND('Budget by Source'!G89/10,0))</f>
        <v>7371</v>
      </c>
      <c r="H89" s="22">
        <f t="shared" si="3"/>
        <v>110769</v>
      </c>
      <c r="I89" s="22">
        <f>INDEX(Data[],MATCH($A89,Data[Dist],0),MATCH(I$5,Data[#Headers],0))</f>
        <v>137422</v>
      </c>
      <c r="K89" s="69">
        <f>INDEX('Payment Total'!$A$7:$H$331,MATCH('Payment by Source'!$A89,'Payment Total'!$A$7:$A$331,0),5)-I89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1110684</v>
      </c>
      <c r="V89" s="152">
        <f t="shared" si="4"/>
        <v>111068</v>
      </c>
      <c r="W89" s="152">
        <f t="shared" si="5"/>
        <v>1110680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36479</v>
      </c>
      <c r="D90" s="22">
        <f>IF(Notes!$B$2="June",ROUND('Budget by Source'!D90/10,0)+Q90,ROUND('Budget by Source'!D90/10,0))</f>
        <v>125452</v>
      </c>
      <c r="E90" s="22">
        <f>IF(Notes!$B$2="June",ROUND('Budget by Source'!E90/10,0)+R90,ROUND('Budget by Source'!E90/10,0))</f>
        <v>18342</v>
      </c>
      <c r="F90" s="22">
        <f>IF(Notes!$B$2="June",ROUND('Budget by Source'!F90/10,0)+S90,ROUND('Budget by Source'!F90/10,0))</f>
        <v>15199</v>
      </c>
      <c r="G90" s="22">
        <f>IF(Notes!$B$2="June",ROUND('Budget by Source'!G90/10,0)+T90,ROUND('Budget by Source'!G90/10,0))</f>
        <v>74675</v>
      </c>
      <c r="H90" s="22">
        <f t="shared" si="3"/>
        <v>1470557</v>
      </c>
      <c r="I90" s="22">
        <f>INDEX(Data[],MATCH($A90,Data[Dist],0),MATCH(I$5,Data[#Headers],0))</f>
        <v>1740704</v>
      </c>
      <c r="K90" s="69">
        <f>INDEX('Payment Total'!$A$7:$H$331,MATCH('Payment by Source'!$A90,'Payment Total'!$A$7:$A$331,0),5)-I90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14735976</v>
      </c>
      <c r="V90" s="152">
        <f t="shared" si="4"/>
        <v>1473598</v>
      </c>
      <c r="W90" s="152">
        <f t="shared" si="5"/>
        <v>14735980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21285</v>
      </c>
      <c r="D91" s="22">
        <f>IF(Notes!$B$2="June",ROUND('Budget by Source'!D91/10,0)+Q91,ROUND('Budget by Source'!D91/10,0))</f>
        <v>56833</v>
      </c>
      <c r="E91" s="22">
        <f>IF(Notes!$B$2="June",ROUND('Budget by Source'!E91/10,0)+R91,ROUND('Budget by Source'!E91/10,0))</f>
        <v>5517</v>
      </c>
      <c r="F91" s="22">
        <f>IF(Notes!$B$2="June",ROUND('Budget by Source'!F91/10,0)+S91,ROUND('Budget by Source'!F91/10,0))</f>
        <v>5517</v>
      </c>
      <c r="G91" s="22">
        <f>IF(Notes!$B$2="June",ROUND('Budget by Source'!G91/10,0)+T91,ROUND('Budget by Source'!G91/10,0))</f>
        <v>31801</v>
      </c>
      <c r="H91" s="22">
        <f t="shared" si="3"/>
        <v>520479</v>
      </c>
      <c r="I91" s="22">
        <f>INDEX(Data[],MATCH($A91,Data[Dist],0),MATCH(I$5,Data[#Headers],0))</f>
        <v>641432</v>
      </c>
      <c r="K91" s="69">
        <f>INDEX('Payment Total'!$A$7:$H$331,MATCH('Payment by Source'!$A91,'Payment Total'!$A$7:$A$331,0),5)-I91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5217736</v>
      </c>
      <c r="V91" s="152">
        <f t="shared" si="4"/>
        <v>521774</v>
      </c>
      <c r="W91" s="152">
        <f t="shared" si="5"/>
        <v>5217740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537449</v>
      </c>
      <c r="D92" s="22">
        <f>IF(Notes!$B$2="June",ROUND('Budget by Source'!D92/10,0)+Q92,ROUND('Budget by Source'!D92/10,0))</f>
        <v>2101303</v>
      </c>
      <c r="E92" s="22">
        <f>IF(Notes!$B$2="June",ROUND('Budget by Source'!E92/10,0)+R92,ROUND('Budget by Source'!E92/10,0))</f>
        <v>309247</v>
      </c>
      <c r="F92" s="22">
        <f>IF(Notes!$B$2="June",ROUND('Budget by Source'!F92/10,0)+S92,ROUND('Budget by Source'!F92/10,0))</f>
        <v>259116</v>
      </c>
      <c r="G92" s="22">
        <f>IF(Notes!$B$2="June",ROUND('Budget by Source'!G92/10,0)+T92,ROUND('Budget by Source'!G92/10,0))</f>
        <v>1134111</v>
      </c>
      <c r="H92" s="22">
        <f t="shared" si="3"/>
        <v>21806439</v>
      </c>
      <c r="I92" s="22">
        <f>INDEX(Data[],MATCH($A92,Data[Dist],0),MATCH(I$5,Data[#Headers],0))</f>
        <v>26147665</v>
      </c>
      <c r="K92" s="69">
        <f>INDEX('Payment Total'!$A$7:$H$331,MATCH('Payment by Source'!$A92,'Payment Total'!$A$7:$A$331,0),5)-I92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218526362</v>
      </c>
      <c r="V92" s="152">
        <f t="shared" si="4"/>
        <v>21852636</v>
      </c>
      <c r="W92" s="152">
        <f t="shared" si="5"/>
        <v>218526360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2661</v>
      </c>
      <c r="D93" s="22">
        <f>IF(Notes!$B$2="June",ROUND('Budget by Source'!D93/10,0)+Q93,ROUND('Budget by Source'!D93/10,0))</f>
        <v>10280</v>
      </c>
      <c r="E93" s="22">
        <f>IF(Notes!$B$2="June",ROUND('Budget by Source'!E93/10,0)+R93,ROUND('Budget by Source'!E93/10,0))</f>
        <v>1268</v>
      </c>
      <c r="F93" s="22">
        <f>IF(Notes!$B$2="June",ROUND('Budget by Source'!F93/10,0)+S93,ROUND('Budget by Source'!F93/10,0))</f>
        <v>1152</v>
      </c>
      <c r="G93" s="22">
        <f>IF(Notes!$B$2="June",ROUND('Budget by Source'!G93/10,0)+T93,ROUND('Budget by Source'!G93/10,0))</f>
        <v>4128</v>
      </c>
      <c r="H93" s="22">
        <f t="shared" si="3"/>
        <v>69524</v>
      </c>
      <c r="I93" s="22">
        <f>INDEX(Data[],MATCH($A93,Data[Dist],0),MATCH(I$5,Data[#Headers],0))</f>
        <v>89013</v>
      </c>
      <c r="K93" s="69">
        <f>INDEX('Payment Total'!$A$7:$H$331,MATCH('Payment by Source'!$A93,'Payment Total'!$A$7:$A$331,0),5)-I93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696928</v>
      </c>
      <c r="V93" s="152">
        <f t="shared" si="4"/>
        <v>69693</v>
      </c>
      <c r="W93" s="152">
        <f t="shared" si="5"/>
        <v>696930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13303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6311</v>
      </c>
      <c r="G94" s="22">
        <f>IF(Notes!$B$2="June",ROUND('Budget by Source'!G94/10,0)+T94,ROUND('Budget by Source'!G94/10,0))</f>
        <v>32291</v>
      </c>
      <c r="H94" s="22">
        <f t="shared" si="3"/>
        <v>505641</v>
      </c>
      <c r="I94" s="22">
        <f>INDEX(Data[],MATCH($A94,Data[Dist],0),MATCH(I$5,Data[#Headers],0))</f>
        <v>622964</v>
      </c>
      <c r="K94" s="69">
        <f>INDEX('Payment Total'!$A$7:$H$331,MATCH('Payment by Source'!$A94,'Payment Total'!$A$7:$A$331,0),5)-I94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5069565</v>
      </c>
      <c r="V94" s="152">
        <f t="shared" si="4"/>
        <v>506957</v>
      </c>
      <c r="W94" s="152">
        <f t="shared" si="5"/>
        <v>5069570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252770</v>
      </c>
      <c r="D95" s="22">
        <f>IF(Notes!$B$2="June",ROUND('Budget by Source'!D95/10,0)+Q95,ROUND('Budget by Source'!D95/10,0))</f>
        <v>678924</v>
      </c>
      <c r="E95" s="22">
        <f>IF(Notes!$B$2="June",ROUND('Budget by Source'!E95/10,0)+R95,ROUND('Budget by Source'!E95/10,0))</f>
        <v>81560</v>
      </c>
      <c r="F95" s="22">
        <f>IF(Notes!$B$2="June",ROUND('Budget by Source'!F95/10,0)+S95,ROUND('Budget by Source'!F95/10,0))</f>
        <v>80140</v>
      </c>
      <c r="G95" s="22">
        <f>IF(Notes!$B$2="June",ROUND('Budget by Source'!G95/10,0)+T95,ROUND('Budget by Source'!G95/10,0))</f>
        <v>370892</v>
      </c>
      <c r="H95" s="22">
        <f t="shared" si="3"/>
        <v>6036145</v>
      </c>
      <c r="I95" s="22">
        <f>INDEX(Data[],MATCH($A95,Data[Dist],0),MATCH(I$5,Data[#Headers],0))</f>
        <v>7500431</v>
      </c>
      <c r="K95" s="69">
        <f>INDEX('Payment Total'!$A$7:$H$331,MATCH('Payment by Source'!$A95,'Payment Total'!$A$7:$A$331,0),5)-I95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60512520</v>
      </c>
      <c r="V95" s="152">
        <f t="shared" si="4"/>
        <v>6051252</v>
      </c>
      <c r="W95" s="152">
        <f t="shared" si="5"/>
        <v>60512520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6842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201940</v>
      </c>
      <c r="I96" s="22">
        <f>INDEX(Data[],MATCH($A96,Data[Dist],0),MATCH(I$5,Data[#Headers],0))</f>
        <v>253292</v>
      </c>
      <c r="K96" s="69">
        <f>INDEX('Payment Total'!$A$7:$H$331,MATCH('Payment by Source'!$A96,'Payment Total'!$A$7:$A$331,0),5)-I96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2024902</v>
      </c>
      <c r="V96" s="152">
        <f t="shared" si="4"/>
        <v>202490</v>
      </c>
      <c r="W96" s="152">
        <f t="shared" si="5"/>
        <v>2024900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11023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148891</v>
      </c>
      <c r="I97" s="22">
        <f>INDEX(Data[],MATCH($A97,Data[Dist],0),MATCH(I$5,Data[#Headers],0))</f>
        <v>208769</v>
      </c>
      <c r="K97" s="69">
        <f>INDEX('Payment Total'!$A$7:$H$331,MATCH('Payment by Source'!$A97,'Payment Total'!$A$7:$A$331,0),5)-I97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1494610</v>
      </c>
      <c r="V97" s="152">
        <f t="shared" si="4"/>
        <v>149461</v>
      </c>
      <c r="W97" s="152">
        <f t="shared" si="5"/>
        <v>1494610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13683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245572</v>
      </c>
      <c r="I98" s="22">
        <f>INDEX(Data[],MATCH($A98,Data[Dist],0),MATCH(I$5,Data[#Headers],0))</f>
        <v>325582</v>
      </c>
      <c r="K98" s="69">
        <f>INDEX('Payment Total'!$A$7:$H$331,MATCH('Payment by Source'!$A98,'Payment Total'!$A$7:$A$331,0),5)-I98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2463274</v>
      </c>
      <c r="V98" s="152">
        <f t="shared" si="4"/>
        <v>246327</v>
      </c>
      <c r="W98" s="152">
        <f t="shared" si="5"/>
        <v>2463270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17104</v>
      </c>
      <c r="D99" s="22">
        <f>IF(Notes!$B$2="June",ROUND('Budget by Source'!D99/10,0)+Q99,ROUND('Budget by Source'!D99/10,0))</f>
        <v>65004</v>
      </c>
      <c r="E99" s="22">
        <f>IF(Notes!$B$2="June",ROUND('Budget by Source'!E99/10,0)+R99,ROUND('Budget by Source'!E99/10,0))</f>
        <v>7001</v>
      </c>
      <c r="F99" s="22">
        <f>IF(Notes!$B$2="June",ROUND('Budget by Source'!F99/10,0)+S99,ROUND('Budget by Source'!F99/10,0))</f>
        <v>5867</v>
      </c>
      <c r="G99" s="22">
        <f>IF(Notes!$B$2="June",ROUND('Budget by Source'!G99/10,0)+T99,ROUND('Budget by Source'!G99/10,0))</f>
        <v>35582</v>
      </c>
      <c r="H99" s="22">
        <f t="shared" si="3"/>
        <v>512857</v>
      </c>
      <c r="I99" s="22">
        <f>INDEX(Data[],MATCH($A99,Data[Dist],0),MATCH(I$5,Data[#Headers],0))</f>
        <v>643415</v>
      </c>
      <c r="K99" s="69">
        <f>INDEX('Payment Total'!$A$7:$H$331,MATCH('Payment by Source'!$A99,'Payment Total'!$A$7:$A$331,0),5)-I99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5143068</v>
      </c>
      <c r="V99" s="152">
        <f t="shared" si="4"/>
        <v>514307</v>
      </c>
      <c r="W99" s="152">
        <f t="shared" si="5"/>
        <v>5143070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19005</v>
      </c>
      <c r="D100" s="22">
        <f>IF(Notes!$B$2="June",ROUND('Budget by Source'!D100/10,0)+Q100,ROUND('Budget by Source'!D100/10,0))</f>
        <v>63740</v>
      </c>
      <c r="E100" s="22">
        <f>IF(Notes!$B$2="June",ROUND('Budget by Source'!E100/10,0)+R100,ROUND('Budget by Source'!E100/10,0))</f>
        <v>7861</v>
      </c>
      <c r="F100" s="22">
        <f>IF(Notes!$B$2="June",ROUND('Budget by Source'!F100/10,0)+S100,ROUND('Budget by Source'!F100/10,0))</f>
        <v>7005</v>
      </c>
      <c r="G100" s="22">
        <f>IF(Notes!$B$2="June",ROUND('Budget by Source'!G100/10,0)+T100,ROUND('Budget by Source'!G100/10,0))</f>
        <v>35084</v>
      </c>
      <c r="H100" s="22">
        <f t="shared" si="3"/>
        <v>611856</v>
      </c>
      <c r="I100" s="22">
        <f>INDEX(Data[],MATCH($A100,Data[Dist],0),MATCH(I$5,Data[#Headers],0))</f>
        <v>744551</v>
      </c>
      <c r="K100" s="69">
        <f>INDEX('Payment Total'!$A$7:$H$331,MATCH('Payment by Source'!$A100,'Payment Total'!$A$7:$A$331,0),5)-I100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6132856</v>
      </c>
      <c r="V100" s="152">
        <f t="shared" si="4"/>
        <v>613286</v>
      </c>
      <c r="W100" s="152">
        <f t="shared" si="5"/>
        <v>6132860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13303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291013</v>
      </c>
      <c r="I101" s="22">
        <f>INDEX(Data[],MATCH($A101,Data[Dist],0),MATCH(I$5,Data[#Headers],0))</f>
        <v>372489</v>
      </c>
      <c r="K101" s="69">
        <f>INDEX('Payment Total'!$A$7:$H$331,MATCH('Payment by Source'!$A101,'Payment Total'!$A$7:$A$331,0),5)-I101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2918571</v>
      </c>
      <c r="V101" s="152">
        <f t="shared" si="4"/>
        <v>291857</v>
      </c>
      <c r="W101" s="152">
        <f t="shared" si="5"/>
        <v>2918570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12543</v>
      </c>
      <c r="D102" s="22">
        <f>IF(Notes!$B$2="June",ROUND('Budget by Source'!D102/10,0)+Q102,ROUND('Budget by Source'!D102/10,0))</f>
        <v>38667</v>
      </c>
      <c r="E102" s="22">
        <f>IF(Notes!$B$2="June",ROUND('Budget by Source'!E102/10,0)+R102,ROUND('Budget by Source'!E102/10,0))</f>
        <v>4146</v>
      </c>
      <c r="F102" s="22">
        <f>IF(Notes!$B$2="June",ROUND('Budget by Source'!F102/10,0)+S102,ROUND('Budget by Source'!F102/10,0))</f>
        <v>3928</v>
      </c>
      <c r="G102" s="22">
        <f>IF(Notes!$B$2="June",ROUND('Budget by Source'!G102/10,0)+T102,ROUND('Budget by Source'!G102/10,0))</f>
        <v>19971</v>
      </c>
      <c r="H102" s="22">
        <f t="shared" si="3"/>
        <v>305988</v>
      </c>
      <c r="I102" s="22">
        <f>INDEX(Data[],MATCH($A102,Data[Dist],0),MATCH(I$5,Data[#Headers],0))</f>
        <v>385243</v>
      </c>
      <c r="K102" s="69">
        <f>INDEX('Payment Total'!$A$7:$H$331,MATCH('Payment by Source'!$A102,'Payment Total'!$A$7:$A$331,0),5)-I102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3068020</v>
      </c>
      <c r="V102" s="152">
        <f t="shared" si="4"/>
        <v>306802</v>
      </c>
      <c r="W102" s="152">
        <f t="shared" si="5"/>
        <v>3068020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14824</v>
      </c>
      <c r="D103" s="22">
        <f>IF(Notes!$B$2="June",ROUND('Budget by Source'!D103/10,0)+Q103,ROUND('Budget by Source'!D103/10,0))</f>
        <v>36611</v>
      </c>
      <c r="E103" s="22">
        <f>IF(Notes!$B$2="June",ROUND('Budget by Source'!E103/10,0)+R103,ROUND('Budget by Source'!E103/10,0))</f>
        <v>3814</v>
      </c>
      <c r="F103" s="22">
        <f>IF(Notes!$B$2="June",ROUND('Budget by Source'!F103/10,0)+S103,ROUND('Budget by Source'!F103/10,0))</f>
        <v>4032</v>
      </c>
      <c r="G103" s="22">
        <f>IF(Notes!$B$2="June",ROUND('Budget by Source'!G103/10,0)+T103,ROUND('Budget by Source'!G103/10,0))</f>
        <v>20254</v>
      </c>
      <c r="H103" s="22">
        <f t="shared" si="3"/>
        <v>313967</v>
      </c>
      <c r="I103" s="22">
        <f>INDEX(Data[],MATCH($A103,Data[Dist],0),MATCH(I$5,Data[#Headers],0))</f>
        <v>393502</v>
      </c>
      <c r="K103" s="69">
        <f>INDEX('Payment Total'!$A$7:$H$331,MATCH('Payment by Source'!$A103,'Payment Total'!$A$7:$A$331,0),5)-I103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3147919</v>
      </c>
      <c r="V103" s="152">
        <f t="shared" si="4"/>
        <v>314792</v>
      </c>
      <c r="W103" s="152">
        <f t="shared" si="5"/>
        <v>3147920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12163</v>
      </c>
      <c r="D104" s="22">
        <f>IF(Notes!$B$2="June",ROUND('Budget by Source'!D104/10,0)+Q104,ROUND('Budget by Source'!D104/10,0))</f>
        <v>31943</v>
      </c>
      <c r="E104" s="22">
        <f>IF(Notes!$B$2="June",ROUND('Budget by Source'!E104/10,0)+R104,ROUND('Budget by Source'!E104/10,0))</f>
        <v>3867</v>
      </c>
      <c r="F104" s="22">
        <f>IF(Notes!$B$2="June",ROUND('Budget by Source'!F104/10,0)+S104,ROUND('Budget by Source'!F104/10,0))</f>
        <v>3155</v>
      </c>
      <c r="G104" s="22">
        <f>IF(Notes!$B$2="June",ROUND('Budget by Source'!G104/10,0)+T104,ROUND('Budget by Source'!G104/10,0))</f>
        <v>17413</v>
      </c>
      <c r="H104" s="22">
        <f t="shared" si="3"/>
        <v>297388</v>
      </c>
      <c r="I104" s="22">
        <f>INDEX(Data[],MATCH($A104,Data[Dist],0),MATCH(I$5,Data[#Headers],0))</f>
        <v>365929</v>
      </c>
      <c r="K104" s="69">
        <f>INDEX('Payment Total'!$A$7:$H$331,MATCH('Payment by Source'!$A104,'Payment Total'!$A$7:$A$331,0),5)-I104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2980980</v>
      </c>
      <c r="V104" s="152">
        <f t="shared" si="4"/>
        <v>298098</v>
      </c>
      <c r="W104" s="152">
        <f t="shared" si="5"/>
        <v>2980980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5701</v>
      </c>
      <c r="D105" s="22">
        <f>IF(Notes!$B$2="June",ROUND('Budget by Source'!D105/10,0)+Q105,ROUND('Budget by Source'!D105/10,0))</f>
        <v>24141</v>
      </c>
      <c r="E105" s="22">
        <f>IF(Notes!$B$2="June",ROUND('Budget by Source'!E105/10,0)+R105,ROUND('Budget by Source'!E105/10,0))</f>
        <v>2809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12209</v>
      </c>
      <c r="H105" s="22">
        <f t="shared" si="3"/>
        <v>146744</v>
      </c>
      <c r="I105" s="22">
        <f>INDEX(Data[],MATCH($A105,Data[Dist],0),MATCH(I$5,Data[#Headers],0))</f>
        <v>193944</v>
      </c>
      <c r="K105" s="69">
        <f>INDEX('Payment Total'!$A$7:$H$331,MATCH('Payment by Source'!$A105,'Payment Total'!$A$7:$A$331,0),5)-I105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1472412</v>
      </c>
      <c r="V105" s="152">
        <f t="shared" si="4"/>
        <v>147241</v>
      </c>
      <c r="W105" s="152">
        <f t="shared" si="5"/>
        <v>1472410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7602</v>
      </c>
      <c r="D106" s="22">
        <f>IF(Notes!$B$2="June",ROUND('Budget by Source'!D106/10,0)+Q106,ROUND('Budget by Source'!D106/10,0))</f>
        <v>26283</v>
      </c>
      <c r="E106" s="22">
        <f>IF(Notes!$B$2="June",ROUND('Budget by Source'!E106/10,0)+R106,ROUND('Budget by Source'!E106/10,0))</f>
        <v>3230</v>
      </c>
      <c r="F106" s="22">
        <f>IF(Notes!$B$2="June",ROUND('Budget by Source'!F106/10,0)+S106,ROUND('Budget by Source'!F106/10,0))</f>
        <v>2881</v>
      </c>
      <c r="G106" s="22">
        <f>IF(Notes!$B$2="June",ROUND('Budget by Source'!G106/10,0)+T106,ROUND('Budget by Source'!G106/10,0))</f>
        <v>13724</v>
      </c>
      <c r="H106" s="22">
        <f t="shared" si="3"/>
        <v>167124</v>
      </c>
      <c r="I106" s="22">
        <f>INDEX(Data[],MATCH($A106,Data[Dist],0),MATCH(I$5,Data[#Headers],0))</f>
        <v>220844</v>
      </c>
      <c r="K106" s="69">
        <f>INDEX('Payment Total'!$A$7:$H$331,MATCH('Payment by Source'!$A106,'Payment Total'!$A$7:$A$331,0),5)-I106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1676839</v>
      </c>
      <c r="V106" s="152">
        <f t="shared" si="4"/>
        <v>167684</v>
      </c>
      <c r="W106" s="152">
        <f t="shared" si="5"/>
        <v>1676840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13683</v>
      </c>
      <c r="D107" s="22">
        <f>IF(Notes!$B$2="June",ROUND('Budget by Source'!D107/10,0)+Q107,ROUND('Budget by Source'!D107/10,0))</f>
        <v>28511</v>
      </c>
      <c r="E107" s="22">
        <f>IF(Notes!$B$2="June",ROUND('Budget by Source'!E107/10,0)+R107,ROUND('Budget by Source'!E107/10,0))</f>
        <v>3426</v>
      </c>
      <c r="F107" s="22">
        <f>IF(Notes!$B$2="June",ROUND('Budget by Source'!F107/10,0)+S107,ROUND('Budget by Source'!F107/10,0))</f>
        <v>3187</v>
      </c>
      <c r="G107" s="22">
        <f>IF(Notes!$B$2="June",ROUND('Budget by Source'!G107/10,0)+T107,ROUND('Budget by Source'!G107/10,0))</f>
        <v>14778</v>
      </c>
      <c r="H107" s="22">
        <f t="shared" si="3"/>
        <v>196062</v>
      </c>
      <c r="I107" s="22">
        <f>INDEX(Data[],MATCH($A107,Data[Dist],0),MATCH(I$5,Data[#Headers],0))</f>
        <v>259647</v>
      </c>
      <c r="K107" s="69">
        <f>INDEX('Payment Total'!$A$7:$H$331,MATCH('Payment by Source'!$A107,'Payment Total'!$A$7:$A$331,0),5)-I107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1966641</v>
      </c>
      <c r="V107" s="152">
        <f t="shared" si="4"/>
        <v>196664</v>
      </c>
      <c r="W107" s="152">
        <f t="shared" si="5"/>
        <v>1966640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15204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4465</v>
      </c>
      <c r="F108" s="22">
        <f>IF(Notes!$B$2="June",ROUND('Budget by Source'!F108/10,0)+S108,ROUND('Budget by Source'!F108/10,0))</f>
        <v>4450</v>
      </c>
      <c r="G108" s="22">
        <f>IF(Notes!$B$2="June",ROUND('Budget by Source'!G108/10,0)+T108,ROUND('Budget by Source'!G108/10,0))</f>
        <v>20664</v>
      </c>
      <c r="H108" s="22">
        <f t="shared" si="3"/>
        <v>343658</v>
      </c>
      <c r="I108" s="22">
        <f>INDEX(Data[],MATCH($A108,Data[Dist],0),MATCH(I$5,Data[#Headers],0))</f>
        <v>426771</v>
      </c>
      <c r="K108" s="69">
        <f>INDEX('Payment Total'!$A$7:$H$331,MATCH('Payment by Source'!$A108,'Payment Total'!$A$7:$A$331,0),5)-I108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3445004</v>
      </c>
      <c r="V108" s="152">
        <f t="shared" si="4"/>
        <v>344500</v>
      </c>
      <c r="W108" s="152">
        <f t="shared" si="5"/>
        <v>3445000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20525</v>
      </c>
      <c r="D109" s="22">
        <f>IF(Notes!$B$2="June",ROUND('Budget by Source'!D109/10,0)+Q109,ROUND('Budget by Source'!D109/10,0))</f>
        <v>43592</v>
      </c>
      <c r="E109" s="22">
        <f>IF(Notes!$B$2="June",ROUND('Budget by Source'!E109/10,0)+R109,ROUND('Budget by Source'!E109/10,0))</f>
        <v>5241</v>
      </c>
      <c r="F109" s="22">
        <f>IF(Notes!$B$2="June",ROUND('Budget by Source'!F109/10,0)+S109,ROUND('Budget by Source'!F109/10,0))</f>
        <v>5079</v>
      </c>
      <c r="G109" s="22">
        <f>IF(Notes!$B$2="June",ROUND('Budget by Source'!G109/10,0)+T109,ROUND('Budget by Source'!G109/10,0))</f>
        <v>24515</v>
      </c>
      <c r="H109" s="22">
        <f t="shared" si="3"/>
        <v>311661</v>
      </c>
      <c r="I109" s="22">
        <f>INDEX(Data[],MATCH($A109,Data[Dist],0),MATCH(I$5,Data[#Headers],0))</f>
        <v>410613</v>
      </c>
      <c r="K109" s="69">
        <f>INDEX('Payment Total'!$A$7:$H$331,MATCH('Payment by Source'!$A109,'Payment Total'!$A$7:$A$331,0),5)-I109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3126603</v>
      </c>
      <c r="V109" s="152">
        <f t="shared" si="4"/>
        <v>312660</v>
      </c>
      <c r="W109" s="152">
        <f t="shared" si="5"/>
        <v>3126600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235045</v>
      </c>
      <c r="I110" s="22">
        <f>INDEX(Data[],MATCH($A110,Data[Dist],0),MATCH(I$5,Data[#Headers],0))</f>
        <v>304440</v>
      </c>
      <c r="K110" s="69">
        <f>INDEX('Payment Total'!$A$7:$H$331,MATCH('Payment by Source'!$A110,'Payment Total'!$A$7:$A$331,0),5)-I110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2357381</v>
      </c>
      <c r="V110" s="152">
        <f t="shared" si="4"/>
        <v>235738</v>
      </c>
      <c r="W110" s="152">
        <f t="shared" si="5"/>
        <v>2357380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3041</v>
      </c>
      <c r="D111" s="22">
        <f>IF(Notes!$B$2="June",ROUND('Budget by Source'!D111/10,0)+Q111,ROUND('Budget by Source'!D111/10,0))</f>
        <v>13676</v>
      </c>
      <c r="E111" s="22">
        <f>IF(Notes!$B$2="June",ROUND('Budget by Source'!E111/10,0)+R111,ROUND('Budget by Source'!E111/10,0))</f>
        <v>1927</v>
      </c>
      <c r="F111" s="22">
        <f>IF(Notes!$B$2="June",ROUND('Budget by Source'!F111/10,0)+S111,ROUND('Budget by Source'!F111/10,0))</f>
        <v>1349</v>
      </c>
      <c r="G111" s="22">
        <f>IF(Notes!$B$2="June",ROUND('Budget by Source'!G111/10,0)+T111,ROUND('Budget by Source'!G111/10,0))</f>
        <v>6836</v>
      </c>
      <c r="H111" s="22">
        <f t="shared" si="3"/>
        <v>102012</v>
      </c>
      <c r="I111" s="22">
        <f>INDEX(Data[],MATCH($A111,Data[Dist],0),MATCH(I$5,Data[#Headers],0))</f>
        <v>128841</v>
      </c>
      <c r="K111" s="69">
        <f>INDEX('Payment Total'!$A$7:$H$331,MATCH('Payment by Source'!$A111,'Payment Total'!$A$7:$A$331,0),5)-I111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1022906</v>
      </c>
      <c r="V111" s="152">
        <f t="shared" si="4"/>
        <v>102291</v>
      </c>
      <c r="W111" s="152">
        <f t="shared" si="5"/>
        <v>1022910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23566</v>
      </c>
      <c r="D112" s="22">
        <f>IF(Notes!$B$2="June",ROUND('Budget by Source'!D112/10,0)+Q112,ROUND('Budget by Source'!D112/10,0))</f>
        <v>79474</v>
      </c>
      <c r="E112" s="22">
        <f>IF(Notes!$B$2="June",ROUND('Budget by Source'!E112/10,0)+R112,ROUND('Budget by Source'!E112/10,0))</f>
        <v>10081</v>
      </c>
      <c r="F112" s="22">
        <f>IF(Notes!$B$2="June",ROUND('Budget by Source'!F112/10,0)+S112,ROUND('Budget by Source'!F112/10,0))</f>
        <v>8915</v>
      </c>
      <c r="G112" s="22">
        <f>IF(Notes!$B$2="June",ROUND('Budget by Source'!G112/10,0)+T112,ROUND('Budget by Source'!G112/10,0))</f>
        <v>44297</v>
      </c>
      <c r="H112" s="22">
        <f t="shared" si="3"/>
        <v>724995</v>
      </c>
      <c r="I112" s="22">
        <f>INDEX(Data[],MATCH($A112,Data[Dist],0),MATCH(I$5,Data[#Headers],0))</f>
        <v>891328</v>
      </c>
      <c r="K112" s="69">
        <f>INDEX('Payment Total'!$A$7:$H$331,MATCH('Payment by Source'!$A112,'Payment Total'!$A$7:$A$331,0),5)-I112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7267997</v>
      </c>
      <c r="V112" s="152">
        <f t="shared" si="4"/>
        <v>726800</v>
      </c>
      <c r="W112" s="152">
        <f t="shared" si="5"/>
        <v>7268000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7602</v>
      </c>
      <c r="D113" s="22">
        <f>IF(Notes!$B$2="June",ROUND('Budget by Source'!D113/10,0)+Q113,ROUND('Budget by Source'!D113/10,0))</f>
        <v>31633</v>
      </c>
      <c r="E113" s="22">
        <f>IF(Notes!$B$2="June",ROUND('Budget by Source'!E113/10,0)+R113,ROUND('Budget by Source'!E113/10,0))</f>
        <v>3265</v>
      </c>
      <c r="F113" s="22">
        <f>IF(Notes!$B$2="June",ROUND('Budget by Source'!F113/10,0)+S113,ROUND('Budget by Source'!F113/10,0))</f>
        <v>3360</v>
      </c>
      <c r="G113" s="22">
        <f>IF(Notes!$B$2="June",ROUND('Budget by Source'!G113/10,0)+T113,ROUND('Budget by Source'!G113/10,0))</f>
        <v>15718</v>
      </c>
      <c r="H113" s="22">
        <f t="shared" si="3"/>
        <v>200456</v>
      </c>
      <c r="I113" s="22">
        <f>INDEX(Data[],MATCH($A113,Data[Dist],0),MATCH(I$5,Data[#Headers],0))</f>
        <v>262034</v>
      </c>
      <c r="K113" s="69">
        <f>INDEX('Payment Total'!$A$7:$H$331,MATCH('Payment by Source'!$A113,'Payment Total'!$A$7:$A$331,0),5)-I113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2010973</v>
      </c>
      <c r="V113" s="152">
        <f t="shared" si="4"/>
        <v>201097</v>
      </c>
      <c r="W113" s="152">
        <f t="shared" si="5"/>
        <v>2010970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19005</v>
      </c>
      <c r="D114" s="22">
        <f>IF(Notes!$B$2="June",ROUND('Budget by Source'!D114/10,0)+Q114,ROUND('Budget by Source'!D114/10,0))</f>
        <v>105313</v>
      </c>
      <c r="E114" s="22">
        <f>IF(Notes!$B$2="June",ROUND('Budget by Source'!E114/10,0)+R114,ROUND('Budget by Source'!E114/10,0))</f>
        <v>12195</v>
      </c>
      <c r="F114" s="22">
        <f>IF(Notes!$B$2="June",ROUND('Budget by Source'!F114/10,0)+S114,ROUND('Budget by Source'!F114/10,0))</f>
        <v>11122</v>
      </c>
      <c r="G114" s="22">
        <f>IF(Notes!$B$2="June",ROUND('Budget by Source'!G114/10,0)+T114,ROUND('Budget by Source'!G114/10,0))</f>
        <v>57797</v>
      </c>
      <c r="H114" s="22">
        <f t="shared" si="3"/>
        <v>766881</v>
      </c>
      <c r="I114" s="22">
        <f>INDEX(Data[],MATCH($A114,Data[Dist],0),MATCH(I$5,Data[#Headers],0))</f>
        <v>972313</v>
      </c>
      <c r="K114" s="69">
        <f>INDEX('Payment Total'!$A$7:$H$331,MATCH('Payment by Source'!$A114,'Payment Total'!$A$7:$A$331,0),5)-I114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7692354</v>
      </c>
      <c r="V114" s="152">
        <f t="shared" si="4"/>
        <v>769235</v>
      </c>
      <c r="W114" s="152">
        <f t="shared" si="5"/>
        <v>7692350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21285</v>
      </c>
      <c r="D115" s="22">
        <f>IF(Notes!$B$2="June",ROUND('Budget by Source'!D115/10,0)+Q115,ROUND('Budget by Source'!D115/10,0))</f>
        <v>72698</v>
      </c>
      <c r="E115" s="22">
        <f>IF(Notes!$B$2="June",ROUND('Budget by Source'!E115/10,0)+R115,ROUND('Budget by Source'!E115/10,0))</f>
        <v>8266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38895</v>
      </c>
      <c r="H115" s="22">
        <f t="shared" si="3"/>
        <v>579211</v>
      </c>
      <c r="I115" s="22">
        <f>INDEX(Data[],MATCH($A115,Data[Dist],0),MATCH(I$5,Data[#Headers],0))</f>
        <v>728794</v>
      </c>
      <c r="K115" s="69">
        <f>INDEX('Payment Total'!$A$7:$H$331,MATCH('Payment by Source'!$A115,'Payment Total'!$A$7:$A$331,0),5)-I115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5807948</v>
      </c>
      <c r="V115" s="152">
        <f t="shared" si="4"/>
        <v>580795</v>
      </c>
      <c r="W115" s="152">
        <f t="shared" si="5"/>
        <v>5807950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83249</v>
      </c>
      <c r="D116" s="22">
        <f>IF(Notes!$B$2="June",ROUND('Budget by Source'!D116/10,0)+Q116,ROUND('Budget by Source'!D116/10,0))</f>
        <v>237373</v>
      </c>
      <c r="E116" s="22">
        <f>IF(Notes!$B$2="June",ROUND('Budget by Source'!E116/10,0)+R116,ROUND('Budget by Source'!E116/10,0))</f>
        <v>31098</v>
      </c>
      <c r="F116" s="22">
        <f>IF(Notes!$B$2="June",ROUND('Budget by Source'!F116/10,0)+S116,ROUND('Budget by Source'!F116/10,0))</f>
        <v>27541</v>
      </c>
      <c r="G116" s="22">
        <f>IF(Notes!$B$2="June",ROUND('Budget by Source'!G116/10,0)+T116,ROUND('Budget by Source'!G116/10,0))</f>
        <v>131234</v>
      </c>
      <c r="H116" s="22">
        <f t="shared" si="3"/>
        <v>2250372</v>
      </c>
      <c r="I116" s="22">
        <f>INDEX(Data[],MATCH($A116,Data[Dist],0),MATCH(I$5,Data[#Headers],0))</f>
        <v>2760867</v>
      </c>
      <c r="K116" s="69">
        <f>INDEX('Payment Total'!$A$7:$H$331,MATCH('Payment by Source'!$A116,'Payment Total'!$A$7:$A$331,0),5)-I116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22751870</v>
      </c>
      <c r="V116" s="152">
        <f t="shared" si="4"/>
        <v>2275187</v>
      </c>
      <c r="W116" s="152">
        <f t="shared" si="5"/>
        <v>22751870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22045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16485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77469</v>
      </c>
      <c r="H117" s="22">
        <f t="shared" si="3"/>
        <v>1232671</v>
      </c>
      <c r="I117" s="22">
        <f>INDEX(Data[],MATCH($A117,Data[Dist],0),MATCH(I$5,Data[#Headers],0))</f>
        <v>1495590</v>
      </c>
      <c r="K117" s="69">
        <f>INDEX('Payment Total'!$A$7:$H$331,MATCH('Payment by Source'!$A117,'Payment Total'!$A$7:$A$331,0),5)-I117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12428945</v>
      </c>
      <c r="V117" s="152">
        <f t="shared" si="4"/>
        <v>1242895</v>
      </c>
      <c r="W117" s="152">
        <f t="shared" si="5"/>
        <v>12428950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9122</v>
      </c>
      <c r="D118" s="22">
        <f>IF(Notes!$B$2="June",ROUND('Budget by Source'!D118/10,0)+Q118,ROUND('Budget by Source'!D118/10,0))</f>
        <v>28464</v>
      </c>
      <c r="E118" s="22">
        <f>IF(Notes!$B$2="June",ROUND('Budget by Source'!E118/10,0)+R118,ROUND('Budget by Source'!E118/10,0))</f>
        <v>3647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15994</v>
      </c>
      <c r="H118" s="22">
        <f t="shared" si="3"/>
        <v>241249</v>
      </c>
      <c r="I118" s="22">
        <f>INDEX(Data[],MATCH($A118,Data[Dist],0),MATCH(I$5,Data[#Headers],0))</f>
        <v>301294</v>
      </c>
      <c r="K118" s="69">
        <f>INDEX('Payment Total'!$A$7:$H$331,MATCH('Payment by Source'!$A118,'Payment Total'!$A$7:$A$331,0),5)-I118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2419012</v>
      </c>
      <c r="V118" s="152">
        <f t="shared" si="4"/>
        <v>241901</v>
      </c>
      <c r="W118" s="152">
        <f t="shared" si="5"/>
        <v>2419010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9502</v>
      </c>
      <c r="D119" s="22">
        <f>IF(Notes!$B$2="June",ROUND('Budget by Source'!D119/10,0)+Q119,ROUND('Budget by Source'!D119/10,0))</f>
        <v>32599</v>
      </c>
      <c r="E119" s="22">
        <f>IF(Notes!$B$2="June",ROUND('Budget by Source'!E119/10,0)+R119,ROUND('Budget by Source'!E119/10,0))</f>
        <v>3588</v>
      </c>
      <c r="F119" s="22">
        <f>IF(Notes!$B$2="June",ROUND('Budget by Source'!F119/10,0)+S119,ROUND('Budget by Source'!F119/10,0))</f>
        <v>3421</v>
      </c>
      <c r="G119" s="22">
        <f>IF(Notes!$B$2="June",ROUND('Budget by Source'!G119/10,0)+T119,ROUND('Budget by Source'!G119/10,0))</f>
        <v>17100</v>
      </c>
      <c r="H119" s="22">
        <f t="shared" si="3"/>
        <v>192215</v>
      </c>
      <c r="I119" s="22">
        <f>INDEX(Data[],MATCH($A119,Data[Dist],0),MATCH(I$5,Data[#Headers],0))</f>
        <v>258425</v>
      </c>
      <c r="K119" s="69">
        <f>INDEX('Payment Total'!$A$7:$H$331,MATCH('Payment by Source'!$A119,'Payment Total'!$A$7:$A$331,0),5)-I119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1929123</v>
      </c>
      <c r="V119" s="152">
        <f t="shared" si="4"/>
        <v>192912</v>
      </c>
      <c r="W119" s="152">
        <f t="shared" si="5"/>
        <v>1929120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28127</v>
      </c>
      <c r="D120" s="22">
        <f>IF(Notes!$B$2="June",ROUND('Budget by Source'!D120/10,0)+Q120,ROUND('Budget by Source'!D120/10,0))</f>
        <v>58672</v>
      </c>
      <c r="E120" s="22">
        <f>IF(Notes!$B$2="June",ROUND('Budget by Source'!E120/10,0)+R120,ROUND('Budget by Source'!E120/10,0))</f>
        <v>6803</v>
      </c>
      <c r="F120" s="22">
        <f>IF(Notes!$B$2="June",ROUND('Budget by Source'!F120/10,0)+S120,ROUND('Budget by Source'!F120/10,0))</f>
        <v>6527</v>
      </c>
      <c r="G120" s="22">
        <f>IF(Notes!$B$2="June",ROUND('Budget by Source'!G120/10,0)+T120,ROUND('Budget by Source'!G120/10,0))</f>
        <v>31325</v>
      </c>
      <c r="H120" s="22">
        <f t="shared" si="3"/>
        <v>287953</v>
      </c>
      <c r="I120" s="22">
        <f>INDEX(Data[],MATCH($A120,Data[Dist],0),MATCH(I$5,Data[#Headers],0))</f>
        <v>419407</v>
      </c>
      <c r="K120" s="69">
        <f>INDEX('Payment Total'!$A$7:$H$331,MATCH('Payment by Source'!$A120,'Payment Total'!$A$7:$A$331,0),5)-I120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2892296</v>
      </c>
      <c r="V120" s="152">
        <f t="shared" si="4"/>
        <v>289230</v>
      </c>
      <c r="W120" s="152">
        <f t="shared" si="5"/>
        <v>2892300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8742</v>
      </c>
      <c r="D121" s="22">
        <f>IF(Notes!$B$2="June",ROUND('Budget by Source'!D121/10,0)+Q121,ROUND('Budget by Source'!D121/10,0))</f>
        <v>30884</v>
      </c>
      <c r="E121" s="22">
        <f>IF(Notes!$B$2="June",ROUND('Budget by Source'!E121/10,0)+R121,ROUND('Budget by Source'!E121/10,0))</f>
        <v>3531</v>
      </c>
      <c r="F121" s="22">
        <f>IF(Notes!$B$2="June",ROUND('Budget by Source'!F121/10,0)+S121,ROUND('Budget by Source'!F121/10,0))</f>
        <v>3441</v>
      </c>
      <c r="G121" s="22">
        <f>IF(Notes!$B$2="June",ROUND('Budget by Source'!G121/10,0)+T121,ROUND('Budget by Source'!G121/10,0))</f>
        <v>16757</v>
      </c>
      <c r="H121" s="22">
        <f t="shared" si="3"/>
        <v>209197</v>
      </c>
      <c r="I121" s="22">
        <f>INDEX(Data[],MATCH($A121,Data[Dist],0),MATCH(I$5,Data[#Headers],0))</f>
        <v>272552</v>
      </c>
      <c r="K121" s="69">
        <f>INDEX('Payment Total'!$A$7:$H$331,MATCH('Payment by Source'!$A121,'Payment Total'!$A$7:$A$331,0),5)-I121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2098807</v>
      </c>
      <c r="V121" s="152">
        <f t="shared" si="4"/>
        <v>209881</v>
      </c>
      <c r="W121" s="152">
        <f t="shared" si="5"/>
        <v>2098810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28507</v>
      </c>
      <c r="D122" s="22">
        <f>IF(Notes!$B$2="June",ROUND('Budget by Source'!D122/10,0)+Q122,ROUND('Budget by Source'!D122/10,0))</f>
        <v>98988</v>
      </c>
      <c r="E122" s="22">
        <f>IF(Notes!$B$2="June",ROUND('Budget by Source'!E122/10,0)+R122,ROUND('Budget by Source'!E122/10,0))</f>
        <v>9869</v>
      </c>
      <c r="F122" s="22">
        <f>IF(Notes!$B$2="June",ROUND('Budget by Source'!F122/10,0)+S122,ROUND('Budget by Source'!F122/10,0))</f>
        <v>11002</v>
      </c>
      <c r="G122" s="22">
        <f>IF(Notes!$B$2="June",ROUND('Budget by Source'!G122/10,0)+T122,ROUND('Budget by Source'!G122/10,0))</f>
        <v>58475</v>
      </c>
      <c r="H122" s="22">
        <f t="shared" si="3"/>
        <v>788689</v>
      </c>
      <c r="I122" s="22">
        <f>INDEX(Data[],MATCH($A122,Data[Dist],0),MATCH(I$5,Data[#Headers],0))</f>
        <v>995530</v>
      </c>
      <c r="K122" s="69">
        <f>INDEX('Payment Total'!$A$7:$H$331,MATCH('Payment by Source'!$A122,'Payment Total'!$A$7:$A$331,0),5)-I122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7910704</v>
      </c>
      <c r="V122" s="152">
        <f t="shared" si="4"/>
        <v>791070</v>
      </c>
      <c r="W122" s="152">
        <f t="shared" si="5"/>
        <v>7910700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6082</v>
      </c>
      <c r="D123" s="22">
        <f>IF(Notes!$B$2="June",ROUND('Budget by Source'!D123/10,0)+Q123,ROUND('Budget by Source'!D123/10,0))</f>
        <v>12688</v>
      </c>
      <c r="E123" s="22">
        <f>IF(Notes!$B$2="June",ROUND('Budget by Source'!E123/10,0)+R123,ROUND('Budget by Source'!E123/10,0))</f>
        <v>1081</v>
      </c>
      <c r="F123" s="22">
        <f>IF(Notes!$B$2="June",ROUND('Budget by Source'!F123/10,0)+S123,ROUND('Budget by Source'!F123/10,0))</f>
        <v>1492</v>
      </c>
      <c r="G123" s="22">
        <f>IF(Notes!$B$2="June",ROUND('Budget by Source'!G123/10,0)+T123,ROUND('Budget by Source'!G123/10,0))</f>
        <v>6412</v>
      </c>
      <c r="H123" s="22">
        <f t="shared" si="3"/>
        <v>92784</v>
      </c>
      <c r="I123" s="22">
        <f>INDEX(Data[],MATCH($A123,Data[Dist],0),MATCH(I$5,Data[#Headers],0))</f>
        <v>120539</v>
      </c>
      <c r="K123" s="69">
        <f>INDEX('Payment Total'!$A$7:$H$331,MATCH('Payment by Source'!$A123,'Payment Total'!$A$7:$A$331,0),5)-I123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930456</v>
      </c>
      <c r="V123" s="152">
        <f t="shared" si="4"/>
        <v>93046</v>
      </c>
      <c r="W123" s="152">
        <f t="shared" si="5"/>
        <v>930460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10643</v>
      </c>
      <c r="D124" s="22">
        <f>IF(Notes!$B$2="June",ROUND('Budget by Source'!D124/10,0)+Q124,ROUND('Budget by Source'!D124/10,0))</f>
        <v>43479</v>
      </c>
      <c r="E124" s="22">
        <f>IF(Notes!$B$2="June",ROUND('Budget by Source'!E124/10,0)+R124,ROUND('Budget by Source'!E124/10,0))</f>
        <v>3987</v>
      </c>
      <c r="F124" s="22">
        <f>IF(Notes!$B$2="June",ROUND('Budget by Source'!F124/10,0)+S124,ROUND('Budget by Source'!F124/10,0))</f>
        <v>4527</v>
      </c>
      <c r="G124" s="22">
        <f>IF(Notes!$B$2="June",ROUND('Budget by Source'!G124/10,0)+T124,ROUND('Budget by Source'!G124/10,0))</f>
        <v>22749</v>
      </c>
      <c r="H124" s="22">
        <f t="shared" si="3"/>
        <v>294727</v>
      </c>
      <c r="I124" s="22">
        <f>INDEX(Data[],MATCH($A124,Data[Dist],0),MATCH(I$5,Data[#Headers],0))</f>
        <v>380112</v>
      </c>
      <c r="K124" s="69">
        <f>INDEX('Payment Total'!$A$7:$H$331,MATCH('Payment by Source'!$A124,'Payment Total'!$A$7:$A$331,0),5)-I124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2956535</v>
      </c>
      <c r="V124" s="152">
        <f t="shared" si="4"/>
        <v>295654</v>
      </c>
      <c r="W124" s="152">
        <f t="shared" si="5"/>
        <v>2956540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18244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14966</v>
      </c>
      <c r="F125" s="22">
        <f>IF(Notes!$B$2="June",ROUND('Budget by Source'!F125/10,0)+S125,ROUND('Budget by Source'!F125/10,0))</f>
        <v>13162</v>
      </c>
      <c r="G125" s="22">
        <f>IF(Notes!$B$2="June",ROUND('Budget by Source'!G125/10,0)+T125,ROUND('Budget by Source'!G125/10,0))</f>
        <v>70717</v>
      </c>
      <c r="H125" s="22">
        <f t="shared" si="3"/>
        <v>1103720</v>
      </c>
      <c r="I125" s="22">
        <f>INDEX(Data[],MATCH($A125,Data[Dist],0),MATCH(I$5,Data[#Headers],0))</f>
        <v>1341763</v>
      </c>
      <c r="K125" s="69">
        <f>INDEX('Payment Total'!$A$7:$H$331,MATCH('Payment by Source'!$A125,'Payment Total'!$A$7:$A$331,0),5)-I125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11066004</v>
      </c>
      <c r="V125" s="152">
        <f t="shared" si="4"/>
        <v>1106600</v>
      </c>
      <c r="W125" s="152">
        <f t="shared" si="5"/>
        <v>11066000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13303</v>
      </c>
      <c r="D126" s="22">
        <f>IF(Notes!$B$2="June",ROUND('Budget by Source'!D126/10,0)+Q126,ROUND('Budget by Source'!D126/10,0))</f>
        <v>20920</v>
      </c>
      <c r="E126" s="22">
        <f>IF(Notes!$B$2="June",ROUND('Budget by Source'!E126/10,0)+R126,ROUND('Budget by Source'!E126/10,0))</f>
        <v>2298</v>
      </c>
      <c r="F126" s="22">
        <f>IF(Notes!$B$2="June",ROUND('Budget by Source'!F126/10,0)+S126,ROUND('Budget by Source'!F126/10,0))</f>
        <v>2230</v>
      </c>
      <c r="G126" s="22">
        <f>IF(Notes!$B$2="June",ROUND('Budget by Source'!G126/10,0)+T126,ROUND('Budget by Source'!G126/10,0))</f>
        <v>10909</v>
      </c>
      <c r="H126" s="22">
        <f t="shared" si="3"/>
        <v>133902</v>
      </c>
      <c r="I126" s="22">
        <f>INDEX(Data[],MATCH($A126,Data[Dist],0),MATCH(I$5,Data[#Headers],0))</f>
        <v>183562</v>
      </c>
      <c r="K126" s="69">
        <f>INDEX('Payment Total'!$A$7:$H$331,MATCH('Payment by Source'!$A126,'Payment Total'!$A$7:$A$331,0),5)-I126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1343474</v>
      </c>
      <c r="V126" s="152">
        <f t="shared" si="4"/>
        <v>134347</v>
      </c>
      <c r="W126" s="152">
        <f t="shared" si="5"/>
        <v>1343470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9882</v>
      </c>
      <c r="D127" s="22">
        <f>IF(Notes!$B$2="June",ROUND('Budget by Source'!D127/10,0)+Q127,ROUND('Budget by Source'!D127/10,0))</f>
        <v>26085</v>
      </c>
      <c r="E127" s="22">
        <f>IF(Notes!$B$2="June",ROUND('Budget by Source'!E127/10,0)+R127,ROUND('Budget by Source'!E127/10,0))</f>
        <v>3047</v>
      </c>
      <c r="F127" s="22">
        <f>IF(Notes!$B$2="June",ROUND('Budget by Source'!F127/10,0)+S127,ROUND('Budget by Source'!F127/10,0))</f>
        <v>2523</v>
      </c>
      <c r="G127" s="22">
        <f>IF(Notes!$B$2="June",ROUND('Budget by Source'!G127/10,0)+T127,ROUND('Budget by Source'!G127/10,0))</f>
        <v>13930</v>
      </c>
      <c r="H127" s="22">
        <f t="shared" si="3"/>
        <v>142821</v>
      </c>
      <c r="I127" s="22">
        <f>INDEX(Data[],MATCH($A127,Data[Dist],0),MATCH(I$5,Data[#Headers],0))</f>
        <v>198288</v>
      </c>
      <c r="K127" s="69">
        <f>INDEX('Payment Total'!$A$7:$H$331,MATCH('Payment by Source'!$A127,'Payment Total'!$A$7:$A$331,0),5)-I127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1433884</v>
      </c>
      <c r="V127" s="152">
        <f t="shared" si="4"/>
        <v>143388</v>
      </c>
      <c r="W127" s="152">
        <f t="shared" si="5"/>
        <v>1433880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43420</v>
      </c>
      <c r="E128" s="22">
        <f>IF(Notes!$B$2="June",ROUND('Budget by Source'!E128/10,0)+R128,ROUND('Budget by Source'!E128/10,0))</f>
        <v>4941</v>
      </c>
      <c r="F128" s="22">
        <f>IF(Notes!$B$2="June",ROUND('Budget by Source'!F128/10,0)+S128,ROUND('Budget by Source'!F128/10,0))</f>
        <v>4967</v>
      </c>
      <c r="G128" s="22">
        <f>IF(Notes!$B$2="June",ROUND('Budget by Source'!G128/10,0)+T128,ROUND('Budget by Source'!G128/10,0))</f>
        <v>23088</v>
      </c>
      <c r="H128" s="22">
        <f t="shared" si="3"/>
        <v>325648</v>
      </c>
      <c r="I128" s="22">
        <f>INDEX(Data[],MATCH($A128,Data[Dist],0),MATCH(I$5,Data[#Headers],0))</f>
        <v>410426</v>
      </c>
      <c r="K128" s="69">
        <f>INDEX('Payment Total'!$A$7:$H$331,MATCH('Payment by Source'!$A128,'Payment Total'!$A$7:$A$331,0),5)-I128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3265881</v>
      </c>
      <c r="V128" s="152">
        <f t="shared" si="4"/>
        <v>326588</v>
      </c>
      <c r="W128" s="152">
        <f t="shared" si="5"/>
        <v>3265880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9502</v>
      </c>
      <c r="D129" s="22">
        <f>IF(Notes!$B$2="June",ROUND('Budget by Source'!D129/10,0)+Q129,ROUND('Budget by Source'!D129/10,0))</f>
        <v>19155</v>
      </c>
      <c r="E129" s="22">
        <f>IF(Notes!$B$2="June",ROUND('Budget by Source'!E129/10,0)+R129,ROUND('Budget by Source'!E129/10,0))</f>
        <v>2283</v>
      </c>
      <c r="F129" s="22">
        <f>IF(Notes!$B$2="June",ROUND('Budget by Source'!F129/10,0)+S129,ROUND('Budget by Source'!F129/10,0))</f>
        <v>2256</v>
      </c>
      <c r="G129" s="22">
        <f>IF(Notes!$B$2="June",ROUND('Budget by Source'!G129/10,0)+T129,ROUND('Budget by Source'!G129/10,0))</f>
        <v>9379</v>
      </c>
      <c r="H129" s="22">
        <f t="shared" si="3"/>
        <v>90254</v>
      </c>
      <c r="I129" s="22">
        <f>INDEX(Data[],MATCH($A129,Data[Dist],0),MATCH(I$5,Data[#Headers],0))</f>
        <v>132829</v>
      </c>
      <c r="K129" s="69">
        <f>INDEX('Payment Total'!$A$7:$H$331,MATCH('Payment by Source'!$A129,'Payment Total'!$A$7:$A$331,0),5)-I129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906352</v>
      </c>
      <c r="V129" s="152">
        <f t="shared" si="4"/>
        <v>90635</v>
      </c>
      <c r="W129" s="152">
        <f t="shared" si="5"/>
        <v>906350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27367</v>
      </c>
      <c r="D130" s="22">
        <f>IF(Notes!$B$2="June",ROUND('Budget by Source'!D130/10,0)+Q130,ROUND('Budget by Source'!D130/10,0))</f>
        <v>96705</v>
      </c>
      <c r="E130" s="22">
        <f>IF(Notes!$B$2="June",ROUND('Budget by Source'!E130/10,0)+R130,ROUND('Budget by Source'!E130/10,0))</f>
        <v>11789</v>
      </c>
      <c r="F130" s="22">
        <f>IF(Notes!$B$2="June",ROUND('Budget by Source'!F130/10,0)+S130,ROUND('Budget by Source'!F130/10,0))</f>
        <v>10623</v>
      </c>
      <c r="G130" s="22">
        <f>IF(Notes!$B$2="June",ROUND('Budget by Source'!G130/10,0)+T130,ROUND('Budget by Source'!G130/10,0))</f>
        <v>55217</v>
      </c>
      <c r="H130" s="22">
        <f t="shared" si="3"/>
        <v>800233</v>
      </c>
      <c r="I130" s="22">
        <f>INDEX(Data[],MATCH($A130,Data[Dist],0),MATCH(I$5,Data[#Headers],0))</f>
        <v>1001934</v>
      </c>
      <c r="K130" s="69">
        <f>INDEX('Payment Total'!$A$7:$H$331,MATCH('Payment by Source'!$A130,'Payment Total'!$A$7:$A$331,0),5)-I130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8024842</v>
      </c>
      <c r="V130" s="152">
        <f t="shared" si="4"/>
        <v>802484</v>
      </c>
      <c r="W130" s="152">
        <f t="shared" si="5"/>
        <v>8024840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11403</v>
      </c>
      <c r="D131" s="22">
        <f>IF(Notes!$B$2="June",ROUND('Budget by Source'!D131/10,0)+Q131,ROUND('Budget by Source'!D131/10,0))</f>
        <v>28814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3029</v>
      </c>
      <c r="G131" s="22">
        <f>IF(Notes!$B$2="June",ROUND('Budget by Source'!G131/10,0)+T131,ROUND('Budget by Source'!G131/10,0))</f>
        <v>16503</v>
      </c>
      <c r="H131" s="22">
        <f t="shared" si="3"/>
        <v>214562</v>
      </c>
      <c r="I131" s="22">
        <f>INDEX(Data[],MATCH($A131,Data[Dist],0),MATCH(I$5,Data[#Headers],0))</f>
        <v>277399</v>
      </c>
      <c r="K131" s="69">
        <f>INDEX('Payment Total'!$A$7:$H$331,MATCH('Payment by Source'!$A131,'Payment Total'!$A$7:$A$331,0),5)-I131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2152353</v>
      </c>
      <c r="V131" s="152">
        <f t="shared" si="4"/>
        <v>215235</v>
      </c>
      <c r="W131" s="152">
        <f t="shared" si="5"/>
        <v>2152350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17864</v>
      </c>
      <c r="D132" s="22">
        <f>IF(Notes!$B$2="June",ROUND('Budget by Source'!D132/10,0)+Q132,ROUND('Budget by Source'!D132/10,0))</f>
        <v>48052</v>
      </c>
      <c r="E132" s="22">
        <f>IF(Notes!$B$2="June",ROUND('Budget by Source'!E132/10,0)+R132,ROUND('Budget by Source'!E132/10,0))</f>
        <v>4771</v>
      </c>
      <c r="F132" s="22">
        <f>IF(Notes!$B$2="June",ROUND('Budget by Source'!F132/10,0)+S132,ROUND('Budget by Source'!F132/10,0))</f>
        <v>5172</v>
      </c>
      <c r="G132" s="22">
        <f>IF(Notes!$B$2="June",ROUND('Budget by Source'!G132/10,0)+T132,ROUND('Budget by Source'!G132/10,0))</f>
        <v>25034</v>
      </c>
      <c r="H132" s="22">
        <f t="shared" si="3"/>
        <v>378250</v>
      </c>
      <c r="I132" s="22">
        <f>INDEX(Data[],MATCH($A132,Data[Dist],0),MATCH(I$5,Data[#Headers],0))</f>
        <v>479143</v>
      </c>
      <c r="K132" s="69">
        <f>INDEX('Payment Total'!$A$7:$H$331,MATCH('Payment by Source'!$A132,'Payment Total'!$A$7:$A$331,0),5)-I132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3792691</v>
      </c>
      <c r="V132" s="152">
        <f t="shared" si="4"/>
        <v>379269</v>
      </c>
      <c r="W132" s="152">
        <f t="shared" si="5"/>
        <v>3792690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12923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3328</v>
      </c>
      <c r="F133" s="22">
        <f>IF(Notes!$B$2="June",ROUND('Budget by Source'!F133/10,0)+S133,ROUND('Budget by Source'!F133/10,0))</f>
        <v>2822</v>
      </c>
      <c r="G133" s="22">
        <f>IF(Notes!$B$2="June",ROUND('Budget by Source'!G133/10,0)+T133,ROUND('Budget by Source'!G133/10,0))</f>
        <v>14745</v>
      </c>
      <c r="H133" s="22">
        <f t="shared" si="3"/>
        <v>192196</v>
      </c>
      <c r="I133" s="22">
        <f>INDEX(Data[],MATCH($A133,Data[Dist],0),MATCH(I$5,Data[#Headers],0))</f>
        <v>253320</v>
      </c>
      <c r="K133" s="69">
        <f>INDEX('Payment Total'!$A$7:$H$331,MATCH('Payment by Source'!$A133,'Payment Total'!$A$7:$A$331,0),5)-I133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1927980</v>
      </c>
      <c r="V133" s="152">
        <f t="shared" si="4"/>
        <v>192798</v>
      </c>
      <c r="W133" s="152">
        <f t="shared" si="5"/>
        <v>1927980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9122</v>
      </c>
      <c r="D134" s="22">
        <f>IF(Notes!$B$2="June",ROUND('Budget by Source'!D134/10,0)+Q134,ROUND('Budget by Source'!D134/10,0))</f>
        <v>42300</v>
      </c>
      <c r="E134" s="22">
        <f>IF(Notes!$B$2="June",ROUND('Budget by Source'!E134/10,0)+R134,ROUND('Budget by Source'!E134/10,0))</f>
        <v>4403</v>
      </c>
      <c r="F134" s="22">
        <f>IF(Notes!$B$2="June",ROUND('Budget by Source'!F134/10,0)+S134,ROUND('Budget by Source'!F134/10,0))</f>
        <v>4788</v>
      </c>
      <c r="G134" s="22">
        <f>IF(Notes!$B$2="June",ROUND('Budget by Source'!G134/10,0)+T134,ROUND('Budget by Source'!G134/10,0))</f>
        <v>23656</v>
      </c>
      <c r="H134" s="22">
        <f t="shared" si="3"/>
        <v>272404</v>
      </c>
      <c r="I134" s="22">
        <f>INDEX(Data[],MATCH($A134,Data[Dist],0),MATCH(I$5,Data[#Headers],0))</f>
        <v>356673</v>
      </c>
      <c r="K134" s="69">
        <f>INDEX('Payment Total'!$A$7:$H$331,MATCH('Payment by Source'!$A134,'Payment Total'!$A$7:$A$331,0),5)-I134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2733684</v>
      </c>
      <c r="V134" s="152">
        <f t="shared" si="4"/>
        <v>273368</v>
      </c>
      <c r="W134" s="152">
        <f t="shared" si="5"/>
        <v>2733680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6462</v>
      </c>
      <c r="D135" s="22">
        <f>IF(Notes!$B$2="June",ROUND('Budget by Source'!D135/10,0)+Q135,ROUND('Budget by Source'!D135/10,0))</f>
        <v>21569</v>
      </c>
      <c r="E135" s="22">
        <f>IF(Notes!$B$2="June",ROUND('Budget by Source'!E135/10,0)+R135,ROUND('Budget by Source'!E135/10,0))</f>
        <v>2294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11679</v>
      </c>
      <c r="H135" s="22">
        <f t="shared" ref="H135:H198" si="6">I135-SUM(C135:G135)</f>
        <v>149674</v>
      </c>
      <c r="I135" s="22">
        <f>INDEX(Data[],MATCH($A135,Data[Dist],0),MATCH(I$5,Data[#Headers],0))</f>
        <v>193922</v>
      </c>
      <c r="K135" s="69">
        <f>INDEX('Payment Total'!$A$7:$H$331,MATCH('Payment by Source'!$A135,'Payment Total'!$A$7:$A$331,0),5)-I135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1501443</v>
      </c>
      <c r="V135" s="152">
        <f t="shared" ref="V135:V198" si="7">ROUND(U135/10,0)</f>
        <v>150144</v>
      </c>
      <c r="W135" s="152">
        <f t="shared" ref="W135:W198" si="8">V135*10</f>
        <v>1501440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4181</v>
      </c>
      <c r="D136" s="22">
        <f>IF(Notes!$B$2="June",ROUND('Budget by Source'!D136/10,0)+Q136,ROUND('Budget by Source'!D136/10,0))</f>
        <v>15104</v>
      </c>
      <c r="E136" s="22">
        <f>IF(Notes!$B$2="June",ROUND('Budget by Source'!E136/10,0)+R136,ROUND('Budget by Source'!E136/10,0))</f>
        <v>1774</v>
      </c>
      <c r="F136" s="22">
        <f>IF(Notes!$B$2="June",ROUND('Budget by Source'!F136/10,0)+S136,ROUND('Budget by Source'!F136/10,0))</f>
        <v>1576</v>
      </c>
      <c r="G136" s="22">
        <f>IF(Notes!$B$2="June",ROUND('Budget by Source'!G136/10,0)+T136,ROUND('Budget by Source'!G136/10,0))</f>
        <v>8329</v>
      </c>
      <c r="H136" s="22">
        <f t="shared" si="6"/>
        <v>90381</v>
      </c>
      <c r="I136" s="22">
        <f>INDEX(Data[],MATCH($A136,Data[Dist],0),MATCH(I$5,Data[#Headers],0))</f>
        <v>121345</v>
      </c>
      <c r="K136" s="69">
        <f>INDEX('Payment Total'!$A$7:$H$331,MATCH('Payment by Source'!$A136,'Payment Total'!$A$7:$A$331,0),5)-I136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907202</v>
      </c>
      <c r="V136" s="152">
        <f t="shared" si="7"/>
        <v>90720</v>
      </c>
      <c r="W136" s="152">
        <f t="shared" si="8"/>
        <v>907200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20525</v>
      </c>
      <c r="D137" s="22">
        <f>IF(Notes!$B$2="June",ROUND('Budget by Source'!D137/10,0)+Q137,ROUND('Budget by Source'!D137/10,0))</f>
        <v>76060</v>
      </c>
      <c r="E137" s="22">
        <f>IF(Notes!$B$2="June",ROUND('Budget by Source'!E137/10,0)+R137,ROUND('Budget by Source'!E137/10,0))</f>
        <v>9760</v>
      </c>
      <c r="F137" s="22">
        <f>IF(Notes!$B$2="June",ROUND('Budget by Source'!F137/10,0)+S137,ROUND('Budget by Source'!F137/10,0))</f>
        <v>8280</v>
      </c>
      <c r="G137" s="22">
        <f>IF(Notes!$B$2="June",ROUND('Budget by Source'!G137/10,0)+T137,ROUND('Budget by Source'!G137/10,0))</f>
        <v>41257</v>
      </c>
      <c r="H137" s="22">
        <f t="shared" si="6"/>
        <v>640650</v>
      </c>
      <c r="I137" s="22">
        <f>INDEX(Data[],MATCH($A137,Data[Dist],0),MATCH(I$5,Data[#Headers],0))</f>
        <v>796532</v>
      </c>
      <c r="K137" s="69">
        <f>INDEX('Payment Total'!$A$7:$H$331,MATCH('Payment by Source'!$A137,'Payment Total'!$A$7:$A$331,0),5)-I137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6423309</v>
      </c>
      <c r="V137" s="152">
        <f t="shared" si="7"/>
        <v>642331</v>
      </c>
      <c r="W137" s="152">
        <f t="shared" si="8"/>
        <v>6423310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31168</v>
      </c>
      <c r="D138" s="22">
        <f>IF(Notes!$B$2="June",ROUND('Budget by Source'!D138/10,0)+Q138,ROUND('Budget by Source'!D138/10,0))</f>
        <v>90064</v>
      </c>
      <c r="E138" s="22">
        <f>IF(Notes!$B$2="June",ROUND('Budget by Source'!E138/10,0)+R138,ROUND('Budget by Source'!E138/10,0))</f>
        <v>10547</v>
      </c>
      <c r="F138" s="22">
        <f>IF(Notes!$B$2="June",ROUND('Budget by Source'!F138/10,0)+S138,ROUND('Budget by Source'!F138/10,0))</f>
        <v>10533</v>
      </c>
      <c r="G138" s="22">
        <f>IF(Notes!$B$2="June",ROUND('Budget by Source'!G138/10,0)+T138,ROUND('Budget by Source'!G138/10,0))</f>
        <v>50684</v>
      </c>
      <c r="H138" s="22">
        <f t="shared" si="6"/>
        <v>754026</v>
      </c>
      <c r="I138" s="22">
        <f>INDEX(Data[],MATCH($A138,Data[Dist],0),MATCH(I$5,Data[#Headers],0))</f>
        <v>947022</v>
      </c>
      <c r="K138" s="69">
        <f>INDEX('Payment Total'!$A$7:$H$331,MATCH('Payment by Source'!$A138,'Payment Total'!$A$7:$A$331,0),5)-I138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7560900</v>
      </c>
      <c r="V138" s="152">
        <f t="shared" si="7"/>
        <v>756090</v>
      </c>
      <c r="W138" s="152">
        <f t="shared" si="8"/>
        <v>7560900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5701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2686</v>
      </c>
      <c r="F139" s="22">
        <f>IF(Notes!$B$2="June",ROUND('Budget by Source'!F139/10,0)+S139,ROUND('Budget by Source'!F139/10,0))</f>
        <v>2110</v>
      </c>
      <c r="G139" s="22">
        <f>IF(Notes!$B$2="June",ROUND('Budget by Source'!G139/10,0)+T139,ROUND('Budget by Source'!G139/10,0))</f>
        <v>10835</v>
      </c>
      <c r="H139" s="22">
        <f t="shared" si="6"/>
        <v>71661</v>
      </c>
      <c r="I139" s="22">
        <f>INDEX(Data[],MATCH($A139,Data[Dist],0),MATCH(I$5,Data[#Headers],0))</f>
        <v>113042</v>
      </c>
      <c r="K139" s="69">
        <f>INDEX('Payment Total'!$A$7:$H$331,MATCH('Payment by Source'!$A139,'Payment Total'!$A$7:$A$331,0),5)-I139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721019</v>
      </c>
      <c r="V139" s="152">
        <f t="shared" si="7"/>
        <v>72102</v>
      </c>
      <c r="W139" s="152">
        <f t="shared" si="8"/>
        <v>721020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14063</v>
      </c>
      <c r="D140" s="22">
        <f>IF(Notes!$B$2="June",ROUND('Budget by Source'!D140/10,0)+Q140,ROUND('Budget by Source'!D140/10,0))</f>
        <v>44198</v>
      </c>
      <c r="E140" s="22">
        <f>IF(Notes!$B$2="June",ROUND('Budget by Source'!E140/10,0)+R140,ROUND('Budget by Source'!E140/10,0))</f>
        <v>4555</v>
      </c>
      <c r="F140" s="22">
        <f>IF(Notes!$B$2="June",ROUND('Budget by Source'!F140/10,0)+S140,ROUND('Budget by Source'!F140/10,0))</f>
        <v>4794</v>
      </c>
      <c r="G140" s="22">
        <f>IF(Notes!$B$2="June",ROUND('Budget by Source'!G140/10,0)+T140,ROUND('Budget by Source'!G140/10,0))</f>
        <v>23649</v>
      </c>
      <c r="H140" s="22">
        <f t="shared" si="6"/>
        <v>231729</v>
      </c>
      <c r="I140" s="22">
        <f>INDEX(Data[],MATCH($A140,Data[Dist],0),MATCH(I$5,Data[#Headers],0))</f>
        <v>322988</v>
      </c>
      <c r="K140" s="69">
        <f>INDEX('Payment Total'!$A$7:$H$331,MATCH('Payment by Source'!$A140,'Payment Total'!$A$7:$A$331,0),5)-I140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2326927</v>
      </c>
      <c r="V140" s="152">
        <f t="shared" si="7"/>
        <v>232693</v>
      </c>
      <c r="W140" s="152">
        <f t="shared" si="8"/>
        <v>2326930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12933</v>
      </c>
      <c r="D141" s="22">
        <f>IF(Notes!$B$2="June",ROUND('Budget by Source'!D141/10,0)+Q141,ROUND('Budget by Source'!D141/10,0))</f>
        <v>40064</v>
      </c>
      <c r="E141" s="22">
        <f>IF(Notes!$B$2="June",ROUND('Budget by Source'!E141/10,0)+R141,ROUND('Budget by Source'!E141/10,0))</f>
        <v>4749</v>
      </c>
      <c r="F141" s="22">
        <f>IF(Notes!$B$2="June",ROUND('Budget by Source'!F141/10,0)+S141,ROUND('Budget by Source'!F141/10,0))</f>
        <v>4268</v>
      </c>
      <c r="G141" s="22">
        <f>IF(Notes!$B$2="June",ROUND('Budget by Source'!G141/10,0)+T141,ROUND('Budget by Source'!G141/10,0))</f>
        <v>21485</v>
      </c>
      <c r="H141" s="22">
        <f t="shared" si="6"/>
        <v>262422</v>
      </c>
      <c r="I141" s="22">
        <f>INDEX(Data[],MATCH($A141,Data[Dist],0),MATCH(I$5,Data[#Headers],0))</f>
        <v>345921</v>
      </c>
      <c r="K141" s="69">
        <f>INDEX('Payment Total'!$A$7:$H$331,MATCH('Payment by Source'!$A141,'Payment Total'!$A$7:$A$331,0),5)-I141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2632972</v>
      </c>
      <c r="V141" s="152">
        <f t="shared" si="7"/>
        <v>263297</v>
      </c>
      <c r="W141" s="152">
        <f t="shared" si="8"/>
        <v>2632970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13303</v>
      </c>
      <c r="D142" s="22">
        <f>IF(Notes!$B$2="June",ROUND('Budget by Source'!D142/10,0)+Q142,ROUND('Budget by Source'!D142/10,0))</f>
        <v>37771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4245</v>
      </c>
      <c r="G142" s="22">
        <f>IF(Notes!$B$2="June",ROUND('Budget by Source'!G142/10,0)+T142,ROUND('Budget by Source'!G142/10,0))</f>
        <v>20531</v>
      </c>
      <c r="H142" s="22">
        <f t="shared" si="6"/>
        <v>286953</v>
      </c>
      <c r="I142" s="22">
        <f>INDEX(Data[],MATCH($A142,Data[Dist],0),MATCH(I$5,Data[#Headers],0))</f>
        <v>367379</v>
      </c>
      <c r="K142" s="69">
        <f>INDEX('Payment Total'!$A$7:$H$331,MATCH('Payment by Source'!$A142,'Payment Total'!$A$7:$A$331,0),5)-I142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2877893</v>
      </c>
      <c r="V142" s="152">
        <f t="shared" si="7"/>
        <v>287789</v>
      </c>
      <c r="W142" s="152">
        <f t="shared" si="8"/>
        <v>2877890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23946</v>
      </c>
      <c r="D143" s="22">
        <f>IF(Notes!$B$2="June",ROUND('Budget by Source'!D143/10,0)+Q143,ROUND('Budget by Source'!D143/10,0))</f>
        <v>77966</v>
      </c>
      <c r="E143" s="22">
        <f>IF(Notes!$B$2="June",ROUND('Budget by Source'!E143/10,0)+R143,ROUND('Budget by Source'!E143/10,0))</f>
        <v>8398</v>
      </c>
      <c r="F143" s="22">
        <f>IF(Notes!$B$2="June",ROUND('Budget by Source'!F143/10,0)+S143,ROUND('Budget by Source'!F143/10,0))</f>
        <v>8441</v>
      </c>
      <c r="G143" s="22">
        <f>IF(Notes!$B$2="June",ROUND('Budget by Source'!G143/10,0)+T143,ROUND('Budget by Source'!G143/10,0))</f>
        <v>42444</v>
      </c>
      <c r="H143" s="22">
        <f t="shared" si="6"/>
        <v>581908</v>
      </c>
      <c r="I143" s="22">
        <f>INDEX(Data[],MATCH($A143,Data[Dist],0),MATCH(I$5,Data[#Headers],0))</f>
        <v>743103</v>
      </c>
      <c r="K143" s="69">
        <f>INDEX('Payment Total'!$A$7:$H$331,MATCH('Payment by Source'!$A143,'Payment Total'!$A$7:$A$331,0),5)-I143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5836386</v>
      </c>
      <c r="V143" s="152">
        <f t="shared" si="7"/>
        <v>583639</v>
      </c>
      <c r="W143" s="152">
        <f t="shared" si="8"/>
        <v>5836390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9882</v>
      </c>
      <c r="D144" s="22">
        <f>IF(Notes!$B$2="June",ROUND('Budget by Source'!D144/10,0)+Q144,ROUND('Budget by Source'!D144/10,0))</f>
        <v>26753</v>
      </c>
      <c r="E144" s="22">
        <f>IF(Notes!$B$2="June",ROUND('Budget by Source'!E144/10,0)+R144,ROUND('Budget by Source'!E144/10,0))</f>
        <v>2729</v>
      </c>
      <c r="F144" s="22">
        <f>IF(Notes!$B$2="June",ROUND('Budget by Source'!F144/10,0)+S144,ROUND('Budget by Source'!F144/10,0))</f>
        <v>2373</v>
      </c>
      <c r="G144" s="22">
        <f>IF(Notes!$B$2="June",ROUND('Budget by Source'!G144/10,0)+T144,ROUND('Budget by Source'!G144/10,0))</f>
        <v>15176</v>
      </c>
      <c r="H144" s="22">
        <f t="shared" si="6"/>
        <v>137802</v>
      </c>
      <c r="I144" s="22">
        <f>INDEX(Data[],MATCH($A144,Data[Dist],0),MATCH(I$5,Data[#Headers],0))</f>
        <v>194715</v>
      </c>
      <c r="K144" s="69">
        <f>INDEX('Payment Total'!$A$7:$H$331,MATCH('Payment by Source'!$A144,'Payment Total'!$A$7:$A$331,0),5)-I144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1384196</v>
      </c>
      <c r="V144" s="152">
        <f t="shared" si="7"/>
        <v>138420</v>
      </c>
      <c r="W144" s="152">
        <f t="shared" si="8"/>
        <v>1384200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15584</v>
      </c>
      <c r="D145" s="22">
        <f>IF(Notes!$B$2="June",ROUND('Budget by Source'!D145/10,0)+Q145,ROUND('Budget by Source'!D145/10,0))</f>
        <v>50129</v>
      </c>
      <c r="E145" s="22">
        <f>IF(Notes!$B$2="June",ROUND('Budget by Source'!E145/10,0)+R145,ROUND('Budget by Source'!E145/10,0))</f>
        <v>4606</v>
      </c>
      <c r="F145" s="22">
        <f>IF(Notes!$B$2="June",ROUND('Budget by Source'!F145/10,0)+S145,ROUND('Budget by Source'!F145/10,0))</f>
        <v>5675</v>
      </c>
      <c r="G145" s="22">
        <f>IF(Notes!$B$2="June",ROUND('Budget by Source'!G145/10,0)+T145,ROUND('Budget by Source'!G145/10,0))</f>
        <v>26339</v>
      </c>
      <c r="H145" s="22">
        <f t="shared" si="6"/>
        <v>454006</v>
      </c>
      <c r="I145" s="22">
        <f>INDEX(Data[],MATCH($A145,Data[Dist],0),MATCH(I$5,Data[#Headers],0))</f>
        <v>556339</v>
      </c>
      <c r="K145" s="69">
        <f>INDEX('Payment Total'!$A$7:$H$331,MATCH('Payment by Source'!$A145,'Payment Total'!$A$7:$A$331,0),5)-I145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4550795</v>
      </c>
      <c r="V145" s="152">
        <f t="shared" si="7"/>
        <v>455080</v>
      </c>
      <c r="W145" s="152">
        <f t="shared" si="8"/>
        <v>4550800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27367</v>
      </c>
      <c r="D146" s="22">
        <f>IF(Notes!$B$2="June",ROUND('Budget by Source'!D146/10,0)+Q146,ROUND('Budget by Source'!D146/10,0))</f>
        <v>83509</v>
      </c>
      <c r="E146" s="22">
        <f>IF(Notes!$B$2="June",ROUND('Budget by Source'!E146/10,0)+R146,ROUND('Budget by Source'!E146/10,0))</f>
        <v>10168</v>
      </c>
      <c r="F146" s="22">
        <f>IF(Notes!$B$2="June",ROUND('Budget by Source'!F146/10,0)+S146,ROUND('Budget by Source'!F146/10,0))</f>
        <v>9176</v>
      </c>
      <c r="G146" s="22">
        <f>IF(Notes!$B$2="June",ROUND('Budget by Source'!G146/10,0)+T146,ROUND('Budget by Source'!G146/10,0))</f>
        <v>45948</v>
      </c>
      <c r="H146" s="22">
        <f t="shared" si="6"/>
        <v>657103</v>
      </c>
      <c r="I146" s="22">
        <f>INDEX(Data[],MATCH($A146,Data[Dist],0),MATCH(I$5,Data[#Headers],0))</f>
        <v>833271</v>
      </c>
      <c r="K146" s="69">
        <f>INDEX('Payment Total'!$A$7:$H$331,MATCH('Payment by Source'!$A146,'Payment Total'!$A$7:$A$331,0),5)-I146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6589740</v>
      </c>
      <c r="V146" s="152">
        <f t="shared" si="7"/>
        <v>658974</v>
      </c>
      <c r="W146" s="152">
        <f t="shared" si="8"/>
        <v>6589740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39530</v>
      </c>
      <c r="D147" s="22">
        <f>IF(Notes!$B$2="June",ROUND('Budget by Source'!D147/10,0)+Q147,ROUND('Budget by Source'!D147/10,0))</f>
        <v>94292</v>
      </c>
      <c r="E147" s="22">
        <f>IF(Notes!$B$2="June",ROUND('Budget by Source'!E147/10,0)+R147,ROUND('Budget by Source'!E147/10,0))</f>
        <v>10625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50994</v>
      </c>
      <c r="H147" s="22">
        <f t="shared" si="6"/>
        <v>811387</v>
      </c>
      <c r="I147" s="22">
        <f>INDEX(Data[],MATCH($A147,Data[Dist],0),MATCH(I$5,Data[#Headers],0))</f>
        <v>1017881</v>
      </c>
      <c r="K147" s="69">
        <f>INDEX('Payment Total'!$A$7:$H$331,MATCH('Payment by Source'!$A147,'Payment Total'!$A$7:$A$331,0),5)-I147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8134649</v>
      </c>
      <c r="V147" s="152">
        <f t="shared" si="7"/>
        <v>813465</v>
      </c>
      <c r="W147" s="152">
        <f t="shared" si="8"/>
        <v>8134650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45991</v>
      </c>
      <c r="D148" s="22">
        <f>IF(Notes!$B$2="June",ROUND('Budget by Source'!D148/10,0)+Q148,ROUND('Budget by Source'!D148/10,0))</f>
        <v>210664</v>
      </c>
      <c r="E148" s="22">
        <f>IF(Notes!$B$2="June",ROUND('Budget by Source'!E148/10,0)+R148,ROUND('Budget by Source'!E148/10,0))</f>
        <v>24177</v>
      </c>
      <c r="F148" s="22">
        <f>IF(Notes!$B$2="June",ROUND('Budget by Source'!F148/10,0)+S148,ROUND('Budget by Source'!F148/10,0))</f>
        <v>24836</v>
      </c>
      <c r="G148" s="22">
        <f>IF(Notes!$B$2="June",ROUND('Budget by Source'!G148/10,0)+T148,ROUND('Budget by Source'!G148/10,0))</f>
        <v>126649</v>
      </c>
      <c r="H148" s="22">
        <f t="shared" si="6"/>
        <v>2166318</v>
      </c>
      <c r="I148" s="22">
        <f>INDEX(Data[],MATCH($A148,Data[Dist],0),MATCH(I$5,Data[#Headers],0))</f>
        <v>2598635</v>
      </c>
      <c r="K148" s="69">
        <f>INDEX('Payment Total'!$A$7:$H$331,MATCH('Payment by Source'!$A148,'Payment Total'!$A$7:$A$331,0),5)-I148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21714784</v>
      </c>
      <c r="V148" s="152">
        <f t="shared" si="7"/>
        <v>2171478</v>
      </c>
      <c r="W148" s="152">
        <f t="shared" si="8"/>
        <v>21714780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14824</v>
      </c>
      <c r="D149" s="22">
        <f>IF(Notes!$B$2="June",ROUND('Budget by Source'!D149/10,0)+Q149,ROUND('Budget by Source'!D149/10,0))</f>
        <v>55764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5295</v>
      </c>
      <c r="G149" s="22">
        <f>IF(Notes!$B$2="June",ROUND('Budget by Source'!G149/10,0)+T149,ROUND('Budget by Source'!G149/10,0))</f>
        <v>30912</v>
      </c>
      <c r="H149" s="22">
        <f t="shared" si="6"/>
        <v>485459</v>
      </c>
      <c r="I149" s="22">
        <f>INDEX(Data[],MATCH($A149,Data[Dist],0),MATCH(I$5,Data[#Headers],0))</f>
        <v>598259</v>
      </c>
      <c r="K149" s="69">
        <f>INDEX('Payment Total'!$A$7:$H$331,MATCH('Payment by Source'!$A149,'Payment Total'!$A$7:$A$331,0),5)-I149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4867182</v>
      </c>
      <c r="V149" s="152">
        <f t="shared" si="7"/>
        <v>486718</v>
      </c>
      <c r="W149" s="152">
        <f t="shared" si="8"/>
        <v>4867180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174880</v>
      </c>
      <c r="D150" s="22">
        <f>IF(Notes!$B$2="June",ROUND('Budget by Source'!D150/10,0)+Q150,ROUND('Budget by Source'!D150/10,0))</f>
        <v>913289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111764</v>
      </c>
      <c r="G150" s="22">
        <f>IF(Notes!$B$2="June",ROUND('Budget by Source'!G150/10,0)+T150,ROUND('Budget by Source'!G150/10,0))</f>
        <v>532150</v>
      </c>
      <c r="H150" s="22">
        <f t="shared" si="6"/>
        <v>7279775</v>
      </c>
      <c r="I150" s="22">
        <f>INDEX(Data[],MATCH($A150,Data[Dist],0),MATCH(I$5,Data[#Headers],0))</f>
        <v>9127232</v>
      </c>
      <c r="K150" s="69">
        <f>INDEX('Payment Total'!$A$7:$H$331,MATCH('Payment by Source'!$A150,'Payment Total'!$A$7:$A$331,0),5)-I150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73014527</v>
      </c>
      <c r="V150" s="152">
        <f t="shared" si="7"/>
        <v>7301453</v>
      </c>
      <c r="W150" s="152">
        <f t="shared" si="8"/>
        <v>73014530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23566</v>
      </c>
      <c r="D151" s="22">
        <f>IF(Notes!$B$2="June",ROUND('Budget by Source'!D151/10,0)+Q151,ROUND('Budget by Source'!D151/10,0))</f>
        <v>66591</v>
      </c>
      <c r="E151" s="22">
        <f>IF(Notes!$B$2="June",ROUND('Budget by Source'!E151/10,0)+R151,ROUND('Budget by Source'!E151/10,0))</f>
        <v>8336</v>
      </c>
      <c r="F151" s="22">
        <f>IF(Notes!$B$2="June",ROUND('Budget by Source'!F151/10,0)+S151,ROUND('Budget by Source'!F151/10,0))</f>
        <v>7721</v>
      </c>
      <c r="G151" s="22">
        <f>IF(Notes!$B$2="June",ROUND('Budget by Source'!G151/10,0)+T151,ROUND('Budget by Source'!G151/10,0))</f>
        <v>36938</v>
      </c>
      <c r="H151" s="22">
        <f t="shared" si="6"/>
        <v>552310</v>
      </c>
      <c r="I151" s="22">
        <f>INDEX(Data[],MATCH($A151,Data[Dist],0),MATCH(I$5,Data[#Headers],0))</f>
        <v>695462</v>
      </c>
      <c r="K151" s="69">
        <f>INDEX('Payment Total'!$A$7:$H$331,MATCH('Payment by Source'!$A151,'Payment Total'!$A$7:$A$331,0),5)-I151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5538160</v>
      </c>
      <c r="V151" s="152">
        <f t="shared" si="7"/>
        <v>553816</v>
      </c>
      <c r="W151" s="152">
        <f t="shared" si="8"/>
        <v>5538160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11783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3191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18427</v>
      </c>
      <c r="H152" s="22">
        <f t="shared" si="6"/>
        <v>289866</v>
      </c>
      <c r="I152" s="22">
        <f>INDEX(Data[],MATCH($A152,Data[Dist],0),MATCH(I$5,Data[#Headers],0))</f>
        <v>358290</v>
      </c>
      <c r="K152" s="69">
        <f>INDEX('Payment Total'!$A$7:$H$331,MATCH('Payment by Source'!$A152,'Payment Total'!$A$7:$A$331,0),5)-I152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2906174</v>
      </c>
      <c r="V152" s="152">
        <f t="shared" si="7"/>
        <v>290617</v>
      </c>
      <c r="W152" s="152">
        <f t="shared" si="8"/>
        <v>2906170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18244</v>
      </c>
      <c r="D153" s="22">
        <f>IF(Notes!$B$2="June",ROUND('Budget by Source'!D153/10,0)+Q153,ROUND('Budget by Source'!D153/10,0))</f>
        <v>47035</v>
      </c>
      <c r="E153" s="22">
        <f>IF(Notes!$B$2="June",ROUND('Budget by Source'!E153/10,0)+R153,ROUND('Budget by Source'!E153/10,0))</f>
        <v>4953</v>
      </c>
      <c r="F153" s="22">
        <f>IF(Notes!$B$2="June",ROUND('Budget by Source'!F153/10,0)+S153,ROUND('Budget by Source'!F153/10,0))</f>
        <v>5380</v>
      </c>
      <c r="G153" s="22">
        <f>IF(Notes!$B$2="June",ROUND('Budget by Source'!G153/10,0)+T153,ROUND('Budget by Source'!G153/10,0))</f>
        <v>24548</v>
      </c>
      <c r="H153" s="22">
        <f t="shared" si="6"/>
        <v>281803</v>
      </c>
      <c r="I153" s="22">
        <f>INDEX(Data[],MATCH($A153,Data[Dist],0),MATCH(I$5,Data[#Headers],0))</f>
        <v>381963</v>
      </c>
      <c r="K153" s="69">
        <f>INDEX('Payment Total'!$A$7:$H$331,MATCH('Payment by Source'!$A153,'Payment Total'!$A$7:$A$331,0),5)-I153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2828032</v>
      </c>
      <c r="V153" s="152">
        <f t="shared" si="7"/>
        <v>282803</v>
      </c>
      <c r="W153" s="152">
        <f t="shared" si="8"/>
        <v>2828030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14824</v>
      </c>
      <c r="D154" s="22">
        <f>IF(Notes!$B$2="June",ROUND('Budget by Source'!D154/10,0)+Q154,ROUND('Budget by Source'!D154/10,0))</f>
        <v>28412</v>
      </c>
      <c r="E154" s="22">
        <f>IF(Notes!$B$2="June",ROUND('Budget by Source'!E154/10,0)+R154,ROUND('Budget by Source'!E154/10,0))</f>
        <v>2538</v>
      </c>
      <c r="F154" s="22">
        <f>IF(Notes!$B$2="June",ROUND('Budget by Source'!F154/10,0)+S154,ROUND('Budget by Source'!F154/10,0))</f>
        <v>2783</v>
      </c>
      <c r="G154" s="22">
        <f>IF(Notes!$B$2="June",ROUND('Budget by Source'!G154/10,0)+T154,ROUND('Budget by Source'!G154/10,0))</f>
        <v>16249</v>
      </c>
      <c r="H154" s="22">
        <f t="shared" si="6"/>
        <v>261294</v>
      </c>
      <c r="I154" s="22">
        <f>INDEX(Data[],MATCH($A154,Data[Dist],0),MATCH(I$5,Data[#Headers],0))</f>
        <v>326100</v>
      </c>
      <c r="K154" s="69">
        <f>INDEX('Payment Total'!$A$7:$H$331,MATCH('Payment by Source'!$A154,'Payment Total'!$A$7:$A$331,0),5)-I154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2619571</v>
      </c>
      <c r="V154" s="152">
        <f t="shared" si="7"/>
        <v>261957</v>
      </c>
      <c r="W154" s="152">
        <f t="shared" si="8"/>
        <v>2619570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29647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9700</v>
      </c>
      <c r="F155" s="22">
        <f>IF(Notes!$B$2="June",ROUND('Budget by Source'!F155/10,0)+S155,ROUND('Budget by Source'!F155/10,0))</f>
        <v>8953</v>
      </c>
      <c r="G155" s="22">
        <f>IF(Notes!$B$2="June",ROUND('Budget by Source'!G155/10,0)+T155,ROUND('Budget by Source'!G155/10,0))</f>
        <v>43671</v>
      </c>
      <c r="H155" s="22">
        <f t="shared" si="6"/>
        <v>586605</v>
      </c>
      <c r="I155" s="22">
        <f>INDEX(Data[],MATCH($A155,Data[Dist],0),MATCH(I$5,Data[#Headers],0))</f>
        <v>757311</v>
      </c>
      <c r="K155" s="69">
        <f>INDEX('Payment Total'!$A$7:$H$331,MATCH('Payment by Source'!$A155,'Payment Total'!$A$7:$A$331,0),5)-I155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5883836</v>
      </c>
      <c r="V155" s="152">
        <f t="shared" si="7"/>
        <v>588384</v>
      </c>
      <c r="W155" s="152">
        <f t="shared" si="8"/>
        <v>5883840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23186</v>
      </c>
      <c r="D156" s="22">
        <f>IF(Notes!$B$2="June",ROUND('Budget by Source'!D156/10,0)+Q156,ROUND('Budget by Source'!D156/10,0))</f>
        <v>53804</v>
      </c>
      <c r="E156" s="22">
        <f>IF(Notes!$B$2="June",ROUND('Budget by Source'!E156/10,0)+R156,ROUND('Budget by Source'!E156/10,0))</f>
        <v>7063</v>
      </c>
      <c r="F156" s="22">
        <f>IF(Notes!$B$2="June",ROUND('Budget by Source'!F156/10,0)+S156,ROUND('Budget by Source'!F156/10,0))</f>
        <v>5867</v>
      </c>
      <c r="G156" s="22">
        <f>IF(Notes!$B$2="June",ROUND('Budget by Source'!G156/10,0)+T156,ROUND('Budget by Source'!G156/10,0))</f>
        <v>32950</v>
      </c>
      <c r="H156" s="22">
        <f t="shared" si="6"/>
        <v>522815</v>
      </c>
      <c r="I156" s="22">
        <f>INDEX(Data[],MATCH($A156,Data[Dist],0),MATCH(I$5,Data[#Headers],0))</f>
        <v>645685</v>
      </c>
      <c r="K156" s="69">
        <f>INDEX('Payment Total'!$A$7:$H$331,MATCH('Payment by Source'!$A156,'Payment Total'!$A$7:$A$331,0),5)-I156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5241561</v>
      </c>
      <c r="V156" s="152">
        <f t="shared" si="7"/>
        <v>524156</v>
      </c>
      <c r="W156" s="152">
        <f t="shared" si="8"/>
        <v>5241560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92362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47497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257411</v>
      </c>
      <c r="H157" s="22">
        <f t="shared" si="6"/>
        <v>3931010</v>
      </c>
      <c r="I157" s="22">
        <f>INDEX(Data[],MATCH($A157,Data[Dist],0),MATCH(I$5,Data[#Headers],0))</f>
        <v>4805726</v>
      </c>
      <c r="K157" s="69">
        <f>INDEX('Payment Total'!$A$7:$H$331,MATCH('Payment by Source'!$A157,'Payment Total'!$A$7:$A$331,0),5)-I157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39414964</v>
      </c>
      <c r="V157" s="152">
        <f t="shared" si="7"/>
        <v>3941496</v>
      </c>
      <c r="W157" s="152">
        <f t="shared" si="8"/>
        <v>39414960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35349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15224</v>
      </c>
      <c r="F158" s="22">
        <f>IF(Notes!$B$2="June",ROUND('Budget by Source'!F158/10,0)+S158,ROUND('Budget by Source'!F158/10,0))</f>
        <v>14093</v>
      </c>
      <c r="G158" s="22">
        <f>IF(Notes!$B$2="June",ROUND('Budget by Source'!G158/10,0)+T158,ROUND('Budget by Source'!G158/10,0))</f>
        <v>68178</v>
      </c>
      <c r="H158" s="22">
        <f t="shared" si="6"/>
        <v>1319276</v>
      </c>
      <c r="I158" s="22">
        <f>INDEX(Data[],MATCH($A158,Data[Dist],0),MATCH(I$5,Data[#Headers],0))</f>
        <v>1571310</v>
      </c>
      <c r="K158" s="69">
        <f>INDEX('Payment Total'!$A$7:$H$331,MATCH('Payment by Source'!$A158,'Payment Total'!$A$7:$A$331,0),5)-I158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13360024</v>
      </c>
      <c r="V158" s="152">
        <f t="shared" si="7"/>
        <v>1336002</v>
      </c>
      <c r="W158" s="152">
        <f t="shared" si="8"/>
        <v>13360020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7222</v>
      </c>
      <c r="D159" s="22">
        <f>IF(Notes!$B$2="June",ROUND('Budget by Source'!D159/10,0)+Q159,ROUND('Budget by Source'!D159/10,0))</f>
        <v>25142</v>
      </c>
      <c r="E159" s="22">
        <f>IF(Notes!$B$2="June",ROUND('Budget by Source'!E159/10,0)+R159,ROUND('Budget by Source'!E159/10,0))</f>
        <v>2495</v>
      </c>
      <c r="F159" s="22">
        <f>IF(Notes!$B$2="June",ROUND('Budget by Source'!F159/10,0)+S159,ROUND('Budget by Source'!F159/10,0))</f>
        <v>2657</v>
      </c>
      <c r="G159" s="22">
        <f>IF(Notes!$B$2="June",ROUND('Budget by Source'!G159/10,0)+T159,ROUND('Budget by Source'!G159/10,0))</f>
        <v>13293</v>
      </c>
      <c r="H159" s="22">
        <f t="shared" si="6"/>
        <v>173655</v>
      </c>
      <c r="I159" s="22">
        <f>INDEX(Data[],MATCH($A159,Data[Dist],0),MATCH(I$5,Data[#Headers],0))</f>
        <v>224464</v>
      </c>
      <c r="K159" s="69">
        <f>INDEX('Payment Total'!$A$7:$H$331,MATCH('Payment by Source'!$A159,'Payment Total'!$A$7:$A$331,0),5)-I159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1741967</v>
      </c>
      <c r="V159" s="152">
        <f t="shared" si="7"/>
        <v>174197</v>
      </c>
      <c r="W159" s="152">
        <f t="shared" si="8"/>
        <v>1741970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32703</v>
      </c>
      <c r="E160" s="22">
        <f>IF(Notes!$B$2="June",ROUND('Budget by Source'!E160/10,0)+R160,ROUND('Budget by Source'!E160/10,0))</f>
        <v>4123</v>
      </c>
      <c r="F160" s="22">
        <f>IF(Notes!$B$2="June",ROUND('Budget by Source'!F160/10,0)+S160,ROUND('Budget by Source'!F160/10,0))</f>
        <v>3782</v>
      </c>
      <c r="G160" s="22">
        <f>IF(Notes!$B$2="June",ROUND('Budget by Source'!G160/10,0)+T160,ROUND('Budget by Source'!G160/10,0))</f>
        <v>17361</v>
      </c>
      <c r="H160" s="22">
        <f t="shared" si="6"/>
        <v>257576</v>
      </c>
      <c r="I160" s="22">
        <f>INDEX(Data[],MATCH($A160,Data[Dist],0),MATCH(I$5,Data[#Headers],0))</f>
        <v>315545</v>
      </c>
      <c r="K160" s="69">
        <f>INDEX('Payment Total'!$A$7:$H$331,MATCH('Payment by Source'!$A160,'Payment Total'!$A$7:$A$331,0),5)-I160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2582833</v>
      </c>
      <c r="V160" s="152">
        <f t="shared" si="7"/>
        <v>258283</v>
      </c>
      <c r="W160" s="152">
        <f t="shared" si="8"/>
        <v>2582830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13773</v>
      </c>
      <c r="F161" s="22">
        <f>IF(Notes!$B$2="June",ROUND('Budget by Source'!F161/10,0)+S161,ROUND('Budget by Source'!F161/10,0))</f>
        <v>12476</v>
      </c>
      <c r="G161" s="22">
        <f>IF(Notes!$B$2="June",ROUND('Budget by Source'!G161/10,0)+T161,ROUND('Budget by Source'!G161/10,0))</f>
        <v>64906</v>
      </c>
      <c r="H161" s="22">
        <f t="shared" si="6"/>
        <v>1125142</v>
      </c>
      <c r="I161" s="22">
        <f>INDEX(Data[],MATCH($A161,Data[Dist],0),MATCH(I$5,Data[#Headers],0))</f>
        <v>1359523</v>
      </c>
      <c r="K161" s="69">
        <f>INDEX('Payment Total'!$A$7:$H$331,MATCH('Payment by Source'!$A161,'Payment Total'!$A$7:$A$331,0),5)-I161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11277864</v>
      </c>
      <c r="V161" s="152">
        <f t="shared" si="7"/>
        <v>1127786</v>
      </c>
      <c r="W161" s="152">
        <f t="shared" si="8"/>
        <v>11277860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10643</v>
      </c>
      <c r="D162" s="22">
        <f>IF(Notes!$B$2="June",ROUND('Budget by Source'!D162/10,0)+Q162,ROUND('Budget by Source'!D162/10,0))</f>
        <v>39047</v>
      </c>
      <c r="E162" s="22">
        <f>IF(Notes!$B$2="June",ROUND('Budget by Source'!E162/10,0)+R162,ROUND('Budget by Source'!E162/10,0))</f>
        <v>4620</v>
      </c>
      <c r="F162" s="22">
        <f>IF(Notes!$B$2="June",ROUND('Budget by Source'!F162/10,0)+S162,ROUND('Budget by Source'!F162/10,0))</f>
        <v>4056</v>
      </c>
      <c r="G162" s="22">
        <f>IF(Notes!$B$2="June",ROUND('Budget by Source'!G162/10,0)+T162,ROUND('Budget by Source'!G162/10,0))</f>
        <v>20826</v>
      </c>
      <c r="H162" s="22">
        <f t="shared" si="6"/>
        <v>264725</v>
      </c>
      <c r="I162" s="22">
        <f>INDEX(Data[],MATCH($A162,Data[Dist],0),MATCH(I$5,Data[#Headers],0))</f>
        <v>343917</v>
      </c>
      <c r="K162" s="69">
        <f>INDEX('Payment Total'!$A$7:$H$331,MATCH('Payment by Source'!$A162,'Payment Total'!$A$7:$A$331,0),5)-I162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2655728</v>
      </c>
      <c r="V162" s="152">
        <f t="shared" si="7"/>
        <v>265573</v>
      </c>
      <c r="W162" s="152">
        <f t="shared" si="8"/>
        <v>2655730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9122</v>
      </c>
      <c r="D163" s="22">
        <f>IF(Notes!$B$2="June",ROUND('Budget by Source'!D163/10,0)+Q163,ROUND('Budget by Source'!D163/10,0))</f>
        <v>24764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2682</v>
      </c>
      <c r="G163" s="22">
        <f>IF(Notes!$B$2="June",ROUND('Budget by Source'!G163/10,0)+T163,ROUND('Budget by Source'!G163/10,0))</f>
        <v>12412</v>
      </c>
      <c r="H163" s="22">
        <f t="shared" si="6"/>
        <v>198816</v>
      </c>
      <c r="I163" s="22">
        <f>INDEX(Data[],MATCH($A163,Data[Dist],0),MATCH(I$5,Data[#Headers],0))</f>
        <v>250515</v>
      </c>
      <c r="K163" s="69">
        <f>INDEX('Payment Total'!$A$7:$H$331,MATCH('Payment by Source'!$A163,'Payment Total'!$A$7:$A$331,0),5)-I163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2255240</v>
      </c>
      <c r="V163" s="152">
        <f t="shared" si="7"/>
        <v>225524</v>
      </c>
      <c r="W163" s="152">
        <f t="shared" si="8"/>
        <v>2255240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7602</v>
      </c>
      <c r="D164" s="22">
        <f>IF(Notes!$B$2="June",ROUND('Budget by Source'!D164/10,0)+Q164,ROUND('Budget by Source'!D164/10,0))</f>
        <v>21610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2367</v>
      </c>
      <c r="G164" s="22">
        <f>IF(Notes!$B$2="June",ROUND('Budget by Source'!G164/10,0)+T164,ROUND('Budget by Source'!G164/10,0))</f>
        <v>11030</v>
      </c>
      <c r="H164" s="22">
        <f t="shared" si="6"/>
        <v>150542</v>
      </c>
      <c r="I164" s="22">
        <f>INDEX(Data[],MATCH($A164,Data[Dist],0),MATCH(I$5,Data[#Headers],0))</f>
        <v>195417</v>
      </c>
      <c r="K164" s="69">
        <f>INDEX('Payment Total'!$A$7:$H$331,MATCH('Payment by Source'!$A164,'Payment Total'!$A$7:$A$331,0),5)-I164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1509915</v>
      </c>
      <c r="V164" s="152">
        <f t="shared" si="7"/>
        <v>150992</v>
      </c>
      <c r="W164" s="152">
        <f t="shared" si="8"/>
        <v>1509920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11783</v>
      </c>
      <c r="D165" s="22">
        <f>IF(Notes!$B$2="June",ROUND('Budget by Source'!D165/10,0)+Q165,ROUND('Budget by Source'!D165/10,0))</f>
        <v>39486</v>
      </c>
      <c r="E165" s="22">
        <f>IF(Notes!$B$2="June",ROUND('Budget by Source'!E165/10,0)+R165,ROUND('Budget by Source'!E165/10,0))</f>
        <v>4130</v>
      </c>
      <c r="F165" s="22">
        <f>IF(Notes!$B$2="June",ROUND('Budget by Source'!F165/10,0)+S165,ROUND('Budget by Source'!F165/10,0))</f>
        <v>4222</v>
      </c>
      <c r="G165" s="22">
        <f>IF(Notes!$B$2="June",ROUND('Budget by Source'!G165/10,0)+T165,ROUND('Budget by Source'!G165/10,0))</f>
        <v>22536</v>
      </c>
      <c r="H165" s="22">
        <f t="shared" si="6"/>
        <v>315606</v>
      </c>
      <c r="I165" s="22">
        <f>INDEX(Data[],MATCH($A165,Data[Dist],0),MATCH(I$5,Data[#Headers],0))</f>
        <v>397763</v>
      </c>
      <c r="K165" s="69">
        <f>INDEX('Payment Total'!$A$7:$H$331,MATCH('Payment by Source'!$A165,'Payment Total'!$A$7:$A$331,0),5)-I165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3165242</v>
      </c>
      <c r="V165" s="152">
        <f t="shared" si="7"/>
        <v>316524</v>
      </c>
      <c r="W165" s="152">
        <f t="shared" si="8"/>
        <v>3165240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8742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81901</v>
      </c>
      <c r="I166" s="22">
        <f>INDEX(Data[],MATCH($A166,Data[Dist],0),MATCH(I$5,Data[#Headers],0))</f>
        <v>158638</v>
      </c>
      <c r="K166" s="69">
        <f>INDEX('Payment Total'!$A$7:$H$331,MATCH('Payment by Source'!$A166,'Payment Total'!$A$7:$A$331,0),5)-I166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1739006</v>
      </c>
      <c r="V166" s="152">
        <f t="shared" si="7"/>
        <v>173901</v>
      </c>
      <c r="W166" s="152">
        <f t="shared" si="8"/>
        <v>1739010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39910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16389</v>
      </c>
      <c r="G167" s="22">
        <f>IF(Notes!$B$2="June",ROUND('Budget by Source'!G167/10,0)+T167,ROUND('Budget by Source'!G167/10,0))</f>
        <v>82378</v>
      </c>
      <c r="H167" s="22">
        <f t="shared" si="6"/>
        <v>1252939</v>
      </c>
      <c r="I167" s="22">
        <f>INDEX(Data[],MATCH($A167,Data[Dist],0),MATCH(I$5,Data[#Headers],0))</f>
        <v>1548809</v>
      </c>
      <c r="K167" s="69">
        <f>INDEX('Payment Total'!$A$7:$H$331,MATCH('Payment by Source'!$A167,'Payment Total'!$A$7:$A$331,0),5)-I167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12562952</v>
      </c>
      <c r="V167" s="152">
        <f t="shared" si="7"/>
        <v>1256295</v>
      </c>
      <c r="W167" s="152">
        <f t="shared" si="8"/>
        <v>12562950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12923</v>
      </c>
      <c r="D168" s="22">
        <f>IF(Notes!$B$2="June",ROUND('Budget by Source'!D168/10,0)+Q168,ROUND('Budget by Source'!D168/10,0))</f>
        <v>32244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16599</v>
      </c>
      <c r="H168" s="22">
        <f t="shared" si="6"/>
        <v>258481</v>
      </c>
      <c r="I168" s="22">
        <f>INDEX(Data[],MATCH($A168,Data[Dist],0),MATCH(I$5,Data[#Headers],0))</f>
        <v>328197</v>
      </c>
      <c r="K168" s="69">
        <f>INDEX('Payment Total'!$A$7:$H$331,MATCH('Payment by Source'!$A168,'Payment Total'!$A$7:$A$331,0),5)-I168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2591574</v>
      </c>
      <c r="V168" s="152">
        <f t="shared" si="7"/>
        <v>259157</v>
      </c>
      <c r="W168" s="152">
        <f t="shared" si="8"/>
        <v>2591570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24317</v>
      </c>
      <c r="D169" s="22">
        <f>IF(Notes!$B$2="June",ROUND('Budget by Source'!D169/10,0)+Q169,ROUND('Budget by Source'!D169/10,0))</f>
        <v>169228</v>
      </c>
      <c r="E169" s="22">
        <f>IF(Notes!$B$2="June",ROUND('Budget by Source'!E169/10,0)+R169,ROUND('Budget by Source'!E169/10,0))</f>
        <v>24748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97867</v>
      </c>
      <c r="H169" s="22">
        <f t="shared" si="6"/>
        <v>1224821</v>
      </c>
      <c r="I169" s="22">
        <f>INDEX(Data[],MATCH($A169,Data[Dist],0),MATCH(I$5,Data[#Headers],0))</f>
        <v>1560728</v>
      </c>
      <c r="K169" s="69">
        <f>INDEX('Payment Total'!$A$7:$H$331,MATCH('Payment by Source'!$A169,'Payment Total'!$A$7:$A$331,0),5)-I169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12288089</v>
      </c>
      <c r="V169" s="152">
        <f t="shared" si="7"/>
        <v>1228809</v>
      </c>
      <c r="W169" s="152">
        <f t="shared" si="8"/>
        <v>12288090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14063</v>
      </c>
      <c r="D170" s="22">
        <f>IF(Notes!$B$2="June",ROUND('Budget by Source'!D170/10,0)+Q170,ROUND('Budget by Source'!D170/10,0))</f>
        <v>47388</v>
      </c>
      <c r="E170" s="22">
        <f>IF(Notes!$B$2="June",ROUND('Budget by Source'!E170/10,0)+R170,ROUND('Budget by Source'!E170/10,0))</f>
        <v>5054</v>
      </c>
      <c r="F170" s="22">
        <f>IF(Notes!$B$2="June",ROUND('Budget by Source'!F170/10,0)+S170,ROUND('Budget by Source'!F170/10,0))</f>
        <v>5109</v>
      </c>
      <c r="G170" s="22">
        <f>IF(Notes!$B$2="June",ROUND('Budget by Source'!G170/10,0)+T170,ROUND('Budget by Source'!G170/10,0))</f>
        <v>26748</v>
      </c>
      <c r="H170" s="22">
        <f t="shared" si="6"/>
        <v>376838</v>
      </c>
      <c r="I170" s="22">
        <f>INDEX(Data[],MATCH($A170,Data[Dist],0),MATCH(I$5,Data[#Headers],0))</f>
        <v>475200</v>
      </c>
      <c r="K170" s="69">
        <f>INDEX('Payment Total'!$A$7:$H$331,MATCH('Payment by Source'!$A170,'Payment Total'!$A$7:$A$331,0),5)-I170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3779276</v>
      </c>
      <c r="V170" s="152">
        <f t="shared" si="7"/>
        <v>377928</v>
      </c>
      <c r="W170" s="152">
        <f t="shared" si="8"/>
        <v>3779280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97618</v>
      </c>
      <c r="D171" s="22">
        <f>IF(Notes!$B$2="June",ROUND('Budget by Source'!D171/10,0)+Q171,ROUND('Budget by Source'!D171/10,0))</f>
        <v>474534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53115</v>
      </c>
      <c r="G171" s="22">
        <f>IF(Notes!$B$2="June",ROUND('Budget by Source'!G171/10,0)+T171,ROUND('Budget by Source'!G171/10,0))</f>
        <v>283234</v>
      </c>
      <c r="H171" s="22">
        <f t="shared" si="6"/>
        <v>4511238</v>
      </c>
      <c r="I171" s="22">
        <f>INDEX(Data[],MATCH($A171,Data[Dist],0),MATCH(I$5,Data[#Headers],0))</f>
        <v>5472769</v>
      </c>
      <c r="K171" s="69">
        <f>INDEX('Payment Total'!$A$7:$H$331,MATCH('Payment by Source'!$A171,'Payment Total'!$A$7:$A$331,0),5)-I171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45227773</v>
      </c>
      <c r="V171" s="152">
        <f t="shared" si="7"/>
        <v>4522777</v>
      </c>
      <c r="W171" s="152">
        <f t="shared" si="8"/>
        <v>45227770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18244</v>
      </c>
      <c r="D172" s="22">
        <f>IF(Notes!$B$2="June",ROUND('Budget by Source'!D172/10,0)+Q172,ROUND('Budget by Source'!D172/10,0))</f>
        <v>41785</v>
      </c>
      <c r="E172" s="22">
        <f>IF(Notes!$B$2="June",ROUND('Budget by Source'!E172/10,0)+R172,ROUND('Budget by Source'!E172/10,0))</f>
        <v>4204</v>
      </c>
      <c r="F172" s="22">
        <f>IF(Notes!$B$2="June",ROUND('Budget by Source'!F172/10,0)+S172,ROUND('Budget by Source'!F172/10,0))</f>
        <v>4216</v>
      </c>
      <c r="G172" s="22">
        <f>IF(Notes!$B$2="June",ROUND('Budget by Source'!G172/10,0)+T172,ROUND('Budget by Source'!G172/10,0))</f>
        <v>24732</v>
      </c>
      <c r="H172" s="22">
        <f t="shared" si="6"/>
        <v>412847</v>
      </c>
      <c r="I172" s="22">
        <f>INDEX(Data[],MATCH($A172,Data[Dist],0),MATCH(I$5,Data[#Headers],0))</f>
        <v>506028</v>
      </c>
      <c r="K172" s="69">
        <f>INDEX('Payment Total'!$A$7:$H$331,MATCH('Payment by Source'!$A172,'Payment Total'!$A$7:$A$331,0),5)-I172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4138545</v>
      </c>
      <c r="V172" s="152">
        <f t="shared" si="7"/>
        <v>413855</v>
      </c>
      <c r="W172" s="152">
        <f t="shared" si="8"/>
        <v>4138550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9882</v>
      </c>
      <c r="D173" s="22">
        <f>IF(Notes!$B$2="June",ROUND('Budget by Source'!D173/10,0)+Q173,ROUND('Budget by Source'!D173/10,0))</f>
        <v>39718</v>
      </c>
      <c r="E173" s="22">
        <f>IF(Notes!$B$2="June",ROUND('Budget by Source'!E173/10,0)+R173,ROUND('Budget by Source'!E173/10,0))</f>
        <v>4548</v>
      </c>
      <c r="F173" s="22">
        <f>IF(Notes!$B$2="June",ROUND('Budget by Source'!F173/10,0)+S173,ROUND('Budget by Source'!F173/10,0))</f>
        <v>4437</v>
      </c>
      <c r="G173" s="22">
        <f>IF(Notes!$B$2="June",ROUND('Budget by Source'!G173/10,0)+T173,ROUND('Budget by Source'!G173/10,0))</f>
        <v>22219</v>
      </c>
      <c r="H173" s="22">
        <f t="shared" si="6"/>
        <v>337007</v>
      </c>
      <c r="I173" s="22">
        <f>INDEX(Data[],MATCH($A173,Data[Dist],0),MATCH(I$5,Data[#Headers],0))</f>
        <v>417811</v>
      </c>
      <c r="K173" s="69">
        <f>INDEX('Payment Total'!$A$7:$H$331,MATCH('Payment by Source'!$A173,'Payment Total'!$A$7:$A$331,0),5)-I173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3379117</v>
      </c>
      <c r="V173" s="152">
        <f t="shared" si="7"/>
        <v>337912</v>
      </c>
      <c r="W173" s="152">
        <f t="shared" si="8"/>
        <v>3379120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6462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2709</v>
      </c>
      <c r="F174" s="22">
        <f>IF(Notes!$B$2="June",ROUND('Budget by Source'!F174/10,0)+S174,ROUND('Budget by Source'!F174/10,0))</f>
        <v>2470</v>
      </c>
      <c r="G174" s="22">
        <f>IF(Notes!$B$2="June",ROUND('Budget by Source'!G174/10,0)+T174,ROUND('Budget by Source'!G174/10,0))</f>
        <v>12001</v>
      </c>
      <c r="H174" s="22">
        <f t="shared" si="6"/>
        <v>137794</v>
      </c>
      <c r="I174" s="22">
        <f>INDEX(Data[],MATCH($A174,Data[Dist],0),MATCH(I$5,Data[#Headers],0))</f>
        <v>185231</v>
      </c>
      <c r="K174" s="69">
        <f>INDEX('Payment Total'!$A$7:$H$331,MATCH('Payment by Source'!$A174,'Payment Total'!$A$7:$A$331,0),5)-I174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1382709</v>
      </c>
      <c r="V174" s="152">
        <f t="shared" si="7"/>
        <v>138271</v>
      </c>
      <c r="W174" s="152">
        <f t="shared" si="8"/>
        <v>1382710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15964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5588</v>
      </c>
      <c r="G175" s="22">
        <f>IF(Notes!$B$2="June",ROUND('Budget by Source'!G175/10,0)+T175,ROUND('Budget by Source'!G175/10,0))</f>
        <v>25325</v>
      </c>
      <c r="H175" s="22">
        <f t="shared" si="6"/>
        <v>355002</v>
      </c>
      <c r="I175" s="22">
        <f>INDEX(Data[],MATCH($A175,Data[Dist],0),MATCH(I$5,Data[#Headers],0))</f>
        <v>455460</v>
      </c>
      <c r="K175" s="69">
        <f>INDEX('Payment Total'!$A$7:$H$331,MATCH('Payment by Source'!$A175,'Payment Total'!$A$7:$A$331,0),5)-I175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3560334</v>
      </c>
      <c r="V175" s="152">
        <f t="shared" si="7"/>
        <v>356033</v>
      </c>
      <c r="W175" s="152">
        <f t="shared" si="8"/>
        <v>3560330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9882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3109</v>
      </c>
      <c r="F176" s="22">
        <f>IF(Notes!$B$2="June",ROUND('Budget by Source'!F176/10,0)+S176,ROUND('Budget by Source'!F176/10,0))</f>
        <v>3053</v>
      </c>
      <c r="G176" s="22">
        <f>IF(Notes!$B$2="June",ROUND('Budget by Source'!G176/10,0)+T176,ROUND('Budget by Source'!G176/10,0))</f>
        <v>16584</v>
      </c>
      <c r="H176" s="22">
        <f t="shared" si="6"/>
        <v>215501</v>
      </c>
      <c r="I176" s="22">
        <f>INDEX(Data[],MATCH($A176,Data[Dist],0),MATCH(I$5,Data[#Headers],0))</f>
        <v>278135</v>
      </c>
      <c r="K176" s="69">
        <f>INDEX('Payment Total'!$A$7:$H$331,MATCH('Payment by Source'!$A176,'Payment Total'!$A$7:$A$331,0),5)-I176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2161769</v>
      </c>
      <c r="V176" s="152">
        <f t="shared" si="7"/>
        <v>216177</v>
      </c>
      <c r="W176" s="152">
        <f t="shared" si="8"/>
        <v>2161770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11023</v>
      </c>
      <c r="D177" s="22">
        <f>IF(Notes!$B$2="June",ROUND('Budget by Source'!D177/10,0)+Q177,ROUND('Budget by Source'!D177/10,0))</f>
        <v>43281</v>
      </c>
      <c r="E177" s="22">
        <f>IF(Notes!$B$2="June",ROUND('Budget by Source'!E177/10,0)+R177,ROUND('Budget by Source'!E177/10,0))</f>
        <v>5223</v>
      </c>
      <c r="F177" s="22">
        <f>IF(Notes!$B$2="June",ROUND('Budget by Source'!F177/10,0)+S177,ROUND('Budget by Source'!F177/10,0))</f>
        <v>4783</v>
      </c>
      <c r="G177" s="22">
        <f>IF(Notes!$B$2="June",ROUND('Budget by Source'!G177/10,0)+T177,ROUND('Budget by Source'!G177/10,0))</f>
        <v>24692</v>
      </c>
      <c r="H177" s="22">
        <f t="shared" si="6"/>
        <v>435876</v>
      </c>
      <c r="I177" s="22">
        <f>INDEX(Data[],MATCH($A177,Data[Dist],0),MATCH(I$5,Data[#Headers],0))</f>
        <v>524878</v>
      </c>
      <c r="K177" s="69">
        <f>INDEX('Payment Total'!$A$7:$H$331,MATCH('Payment by Source'!$A177,'Payment Total'!$A$7:$A$331,0),5)-I177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4368827</v>
      </c>
      <c r="V177" s="152">
        <f t="shared" si="7"/>
        <v>436883</v>
      </c>
      <c r="W177" s="152">
        <f t="shared" si="8"/>
        <v>4368830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9882</v>
      </c>
      <c r="D178" s="22">
        <f>IF(Notes!$B$2="June",ROUND('Budget by Source'!D178/10,0)+Q178,ROUND('Budget by Source'!D178/10,0))</f>
        <v>37549</v>
      </c>
      <c r="E178" s="22">
        <f>IF(Notes!$B$2="June",ROUND('Budget by Source'!E178/10,0)+R178,ROUND('Budget by Source'!E178/10,0))</f>
        <v>3855</v>
      </c>
      <c r="F178" s="22">
        <f>IF(Notes!$B$2="June",ROUND('Budget by Source'!F178/10,0)+S178,ROUND('Budget by Source'!F178/10,0))</f>
        <v>4187</v>
      </c>
      <c r="G178" s="22">
        <f>IF(Notes!$B$2="June",ROUND('Budget by Source'!G178/10,0)+T178,ROUND('Budget by Source'!G178/10,0))</f>
        <v>19477</v>
      </c>
      <c r="H178" s="22">
        <f t="shared" si="6"/>
        <v>248957</v>
      </c>
      <c r="I178" s="22">
        <f>INDEX(Data[],MATCH($A178,Data[Dist],0),MATCH(I$5,Data[#Headers],0))</f>
        <v>323907</v>
      </c>
      <c r="K178" s="69">
        <f>INDEX('Payment Total'!$A$7:$H$331,MATCH('Payment by Source'!$A178,'Payment Total'!$A$7:$A$331,0),5)-I178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2497498</v>
      </c>
      <c r="V178" s="152">
        <f t="shared" si="7"/>
        <v>249750</v>
      </c>
      <c r="W178" s="152">
        <f t="shared" si="8"/>
        <v>2497500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12923</v>
      </c>
      <c r="D179" s="22">
        <f>IF(Notes!$B$2="June",ROUND('Budget by Source'!D179/10,0)+Q179,ROUND('Budget by Source'!D179/10,0))</f>
        <v>45044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4910</v>
      </c>
      <c r="G179" s="22">
        <f>IF(Notes!$B$2="June",ROUND('Budget by Source'!G179/10,0)+T179,ROUND('Budget by Source'!G179/10,0))</f>
        <v>24161</v>
      </c>
      <c r="H179" s="22">
        <f t="shared" si="6"/>
        <v>254054</v>
      </c>
      <c r="I179" s="22">
        <f>INDEX(Data[],MATCH($A179,Data[Dist],0),MATCH(I$5,Data[#Headers],0))</f>
        <v>345202</v>
      </c>
      <c r="K179" s="69">
        <f>INDEX('Payment Total'!$A$7:$H$331,MATCH('Payment by Source'!$A179,'Payment Total'!$A$7:$A$331,0),5)-I179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2550387</v>
      </c>
      <c r="V179" s="152">
        <f t="shared" si="7"/>
        <v>255039</v>
      </c>
      <c r="W179" s="152">
        <f t="shared" si="8"/>
        <v>2550390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13303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4046</v>
      </c>
      <c r="F180" s="22">
        <f>IF(Notes!$B$2="June",ROUND('Budget by Source'!F180/10,0)+S180,ROUND('Budget by Source'!F180/10,0))</f>
        <v>4181</v>
      </c>
      <c r="G180" s="22">
        <f>IF(Notes!$B$2="June",ROUND('Budget by Source'!G180/10,0)+T180,ROUND('Budget by Source'!G180/10,0))</f>
        <v>21887</v>
      </c>
      <c r="H180" s="22">
        <f t="shared" si="6"/>
        <v>234747</v>
      </c>
      <c r="I180" s="22">
        <f>INDEX(Data[],MATCH($A180,Data[Dist],0),MATCH(I$5,Data[#Headers],0))</f>
        <v>317733</v>
      </c>
      <c r="K180" s="69">
        <f>INDEX('Payment Total'!$A$7:$H$331,MATCH('Payment by Source'!$A180,'Payment Total'!$A$7:$A$331,0),5)-I180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2356390</v>
      </c>
      <c r="V180" s="152">
        <f t="shared" si="7"/>
        <v>235639</v>
      </c>
      <c r="W180" s="152">
        <f t="shared" si="8"/>
        <v>2356390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26226</v>
      </c>
      <c r="D181" s="22">
        <f>IF(Notes!$B$2="June",ROUND('Budget by Source'!D181/10,0)+Q181,ROUND('Budget by Source'!D181/10,0))</f>
        <v>83056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9681</v>
      </c>
      <c r="G181" s="22">
        <f>IF(Notes!$B$2="June",ROUND('Budget by Source'!G181/10,0)+T181,ROUND('Budget by Source'!G181/10,0))</f>
        <v>44553</v>
      </c>
      <c r="H181" s="22">
        <f t="shared" si="6"/>
        <v>801291</v>
      </c>
      <c r="I181" s="22">
        <f>INDEX(Data[],MATCH($A181,Data[Dist],0),MATCH(I$5,Data[#Headers],0))</f>
        <v>974796</v>
      </c>
      <c r="K181" s="69">
        <f>INDEX('Payment Total'!$A$7:$H$331,MATCH('Payment by Source'!$A181,'Payment Total'!$A$7:$A$331,0),5)-I181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8030913</v>
      </c>
      <c r="V181" s="152">
        <f t="shared" si="7"/>
        <v>803091</v>
      </c>
      <c r="W181" s="152">
        <f t="shared" si="8"/>
        <v>8030910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14063</v>
      </c>
      <c r="D182" s="22">
        <f>IF(Notes!$B$2="June",ROUND('Budget by Source'!D182/10,0)+Q182,ROUND('Budget by Source'!D182/10,0))</f>
        <v>44261</v>
      </c>
      <c r="E182" s="22">
        <f>IF(Notes!$B$2="June",ROUND('Budget by Source'!E182/10,0)+R182,ROUND('Budget by Source'!E182/10,0))</f>
        <v>4833</v>
      </c>
      <c r="F182" s="22">
        <f>IF(Notes!$B$2="June",ROUND('Budget by Source'!F182/10,0)+S182,ROUND('Budget by Source'!F182/10,0))</f>
        <v>4896</v>
      </c>
      <c r="G182" s="22">
        <f>IF(Notes!$B$2="June",ROUND('Budget by Source'!G182/10,0)+T182,ROUND('Budget by Source'!G182/10,0))</f>
        <v>24437</v>
      </c>
      <c r="H182" s="22">
        <f t="shared" si="6"/>
        <v>286819</v>
      </c>
      <c r="I182" s="22">
        <f>INDEX(Data[],MATCH($A182,Data[Dist],0),MATCH(I$5,Data[#Headers],0))</f>
        <v>379309</v>
      </c>
      <c r="K182" s="69">
        <f>INDEX('Payment Total'!$A$7:$H$331,MATCH('Payment by Source'!$A182,'Payment Total'!$A$7:$A$331,0),5)-I182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2878131</v>
      </c>
      <c r="V182" s="152">
        <f t="shared" si="7"/>
        <v>287813</v>
      </c>
      <c r="W182" s="152">
        <f t="shared" si="8"/>
        <v>2878130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8742</v>
      </c>
      <c r="D183" s="22">
        <f>IF(Notes!$B$2="June",ROUND('Budget by Source'!D183/10,0)+Q183,ROUND('Budget by Source'!D183/10,0))</f>
        <v>32241</v>
      </c>
      <c r="E183" s="22">
        <f>IF(Notes!$B$2="June",ROUND('Budget by Source'!E183/10,0)+R183,ROUND('Budget by Source'!E183/10,0))</f>
        <v>2777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147350</v>
      </c>
      <c r="I183" s="22">
        <f>INDEX(Data[],MATCH($A183,Data[Dist],0),MATCH(I$5,Data[#Headers],0))</f>
        <v>211690</v>
      </c>
      <c r="K183" s="69">
        <f>INDEX('Payment Total'!$A$7:$H$331,MATCH('Payment by Source'!$A183,'Payment Total'!$A$7:$A$331,0),5)-I183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1480481</v>
      </c>
      <c r="V183" s="152">
        <f t="shared" si="7"/>
        <v>148048</v>
      </c>
      <c r="W183" s="152">
        <f t="shared" si="8"/>
        <v>1480480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38769</v>
      </c>
      <c r="D184" s="22">
        <f>IF(Notes!$B$2="June",ROUND('Budget by Source'!D184/10,0)+Q184,ROUND('Budget by Source'!D184/10,0))</f>
        <v>122326</v>
      </c>
      <c r="E184" s="22">
        <f>IF(Notes!$B$2="June",ROUND('Budget by Source'!E184/10,0)+R184,ROUND('Budget by Source'!E184/10,0))</f>
        <v>14995</v>
      </c>
      <c r="F184" s="22">
        <f>IF(Notes!$B$2="June",ROUND('Budget by Source'!F184/10,0)+S184,ROUND('Budget by Source'!F184/10,0))</f>
        <v>14640</v>
      </c>
      <c r="G184" s="22">
        <f>IF(Notes!$B$2="June",ROUND('Budget by Source'!G184/10,0)+T184,ROUND('Budget by Source'!G184/10,0))</f>
        <v>66816</v>
      </c>
      <c r="H184" s="22">
        <f t="shared" si="6"/>
        <v>1203425</v>
      </c>
      <c r="I184" s="22">
        <f>INDEX(Data[],MATCH($A184,Data[Dist],0),MATCH(I$5,Data[#Headers],0))</f>
        <v>1460971</v>
      </c>
      <c r="K184" s="69">
        <f>INDEX('Payment Total'!$A$7:$H$331,MATCH('Payment by Source'!$A184,'Payment Total'!$A$7:$A$331,0),5)-I184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12061226</v>
      </c>
      <c r="V184" s="152">
        <f t="shared" si="7"/>
        <v>1206123</v>
      </c>
      <c r="W184" s="152">
        <f t="shared" si="8"/>
        <v>12061230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341994</v>
      </c>
      <c r="E185" s="22">
        <f>IF(Notes!$B$2="June",ROUND('Budget by Source'!E185/10,0)+R185,ROUND('Budget by Source'!E185/10,0))</f>
        <v>51798</v>
      </c>
      <c r="F185" s="22">
        <f>IF(Notes!$B$2="June",ROUND('Budget by Source'!F185/10,0)+S185,ROUND('Budget by Source'!F185/10,0))</f>
        <v>38350</v>
      </c>
      <c r="G185" s="22">
        <f>IF(Notes!$B$2="June",ROUND('Budget by Source'!G185/10,0)+T185,ROUND('Budget by Source'!G185/10,0))</f>
        <v>198081</v>
      </c>
      <c r="H185" s="22">
        <f t="shared" si="6"/>
        <v>3909194</v>
      </c>
      <c r="I185" s="22">
        <f>INDEX(Data[],MATCH($A185,Data[Dist],0),MATCH(I$5,Data[#Headers],0))</f>
        <v>4647363</v>
      </c>
      <c r="K185" s="69">
        <f>INDEX('Payment Total'!$A$7:$H$331,MATCH('Payment by Source'!$A185,'Payment Total'!$A$7:$A$331,0),5)-I185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39172632</v>
      </c>
      <c r="V185" s="152">
        <f t="shared" si="7"/>
        <v>3917263</v>
      </c>
      <c r="W185" s="152">
        <f t="shared" si="8"/>
        <v>39172630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7222</v>
      </c>
      <c r="D186" s="22">
        <f>IF(Notes!$B$2="June",ROUND('Budget by Source'!D186/10,0)+Q186,ROUND('Budget by Source'!D186/10,0))</f>
        <v>33370</v>
      </c>
      <c r="E186" s="22">
        <f>IF(Notes!$B$2="June",ROUND('Budget by Source'!E186/10,0)+R186,ROUND('Budget by Source'!E186/10,0))</f>
        <v>3688</v>
      </c>
      <c r="F186" s="22">
        <f>IF(Notes!$B$2="June",ROUND('Budget by Source'!F186/10,0)+S186,ROUND('Budget by Source'!F186/10,0))</f>
        <v>3268</v>
      </c>
      <c r="G186" s="22">
        <f>IF(Notes!$B$2="June",ROUND('Budget by Source'!G186/10,0)+T186,ROUND('Budget by Source'!G186/10,0))</f>
        <v>18847</v>
      </c>
      <c r="H186" s="22">
        <f t="shared" si="6"/>
        <v>266141</v>
      </c>
      <c r="I186" s="22">
        <f>INDEX(Data[],MATCH($A186,Data[Dist],0),MATCH(I$5,Data[#Headers],0))</f>
        <v>332536</v>
      </c>
      <c r="K186" s="69">
        <f>INDEX('Payment Total'!$A$7:$H$331,MATCH('Payment by Source'!$A186,'Payment Total'!$A$7:$A$331,0),5)-I186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2669097</v>
      </c>
      <c r="V186" s="152">
        <f t="shared" si="7"/>
        <v>266910</v>
      </c>
      <c r="W186" s="152">
        <f t="shared" si="8"/>
        <v>2669100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68417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29082</v>
      </c>
      <c r="F187" s="22">
        <f>IF(Notes!$B$2="June",ROUND('Budget by Source'!F187/10,0)+S187,ROUND('Budget by Source'!F187/10,0))</f>
        <v>25807</v>
      </c>
      <c r="G187" s="22">
        <f>IF(Notes!$B$2="June",ROUND('Budget by Source'!G187/10,0)+T187,ROUND('Budget by Source'!G187/10,0))</f>
        <v>125470</v>
      </c>
      <c r="H187" s="22">
        <f t="shared" si="6"/>
        <v>1972375</v>
      </c>
      <c r="I187" s="22">
        <f>INDEX(Data[],MATCH($A187,Data[Dist],0),MATCH(I$5,Data[#Headers],0))</f>
        <v>2439665</v>
      </c>
      <c r="K187" s="69">
        <f>INDEX('Payment Total'!$A$7:$H$331,MATCH('Payment by Source'!$A187,'Payment Total'!$A$7:$A$331,0),5)-I187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19774869</v>
      </c>
      <c r="V187" s="152">
        <f t="shared" si="7"/>
        <v>1977487</v>
      </c>
      <c r="W187" s="152">
        <f t="shared" si="8"/>
        <v>19774870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23186</v>
      </c>
      <c r="D188" s="22">
        <f>IF(Notes!$B$2="June",ROUND('Budget by Source'!D188/10,0)+Q188,ROUND('Budget by Source'!D188/10,0))</f>
        <v>97876</v>
      </c>
      <c r="E188" s="22">
        <f>IF(Notes!$B$2="June",ROUND('Budget by Source'!E188/10,0)+R188,ROUND('Budget by Source'!E188/10,0))</f>
        <v>11372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55873</v>
      </c>
      <c r="H188" s="22">
        <f t="shared" si="6"/>
        <v>776536</v>
      </c>
      <c r="I188" s="22">
        <f>INDEX(Data[],MATCH($A188,Data[Dist],0),MATCH(I$5,Data[#Headers],0))</f>
        <v>976476</v>
      </c>
      <c r="K188" s="69">
        <f>INDEX('Payment Total'!$A$7:$H$331,MATCH('Payment by Source'!$A188,'Payment Total'!$A$7:$A$331,0),5)-I188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7788113</v>
      </c>
      <c r="V188" s="152">
        <f t="shared" si="7"/>
        <v>778811</v>
      </c>
      <c r="W188" s="152">
        <f t="shared" si="8"/>
        <v>7788110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58009</v>
      </c>
      <c r="E189" s="22">
        <f>IF(Notes!$B$2="June",ROUND('Budget by Source'!E189/10,0)+R189,ROUND('Budget by Source'!E189/10,0))</f>
        <v>6157</v>
      </c>
      <c r="F189" s="22">
        <f>IF(Notes!$B$2="June",ROUND('Budget by Source'!F189/10,0)+S189,ROUND('Budget by Source'!F189/10,0))</f>
        <v>5808</v>
      </c>
      <c r="G189" s="22">
        <f>IF(Notes!$B$2="June",ROUND('Budget by Source'!G189/10,0)+T189,ROUND('Budget by Source'!G189/10,0))</f>
        <v>32257</v>
      </c>
      <c r="H189" s="22">
        <f t="shared" si="6"/>
        <v>453514</v>
      </c>
      <c r="I189" s="22">
        <f>INDEX(Data[],MATCH($A189,Data[Dist],0),MATCH(I$5,Data[#Headers],0))</f>
        <v>555745</v>
      </c>
      <c r="K189" s="69">
        <f>INDEX('Payment Total'!$A$7:$H$331,MATCH('Payment by Source'!$A189,'Payment Total'!$A$7:$A$331,0),5)-I189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4548277</v>
      </c>
      <c r="V189" s="152">
        <f t="shared" si="7"/>
        <v>454828</v>
      </c>
      <c r="W189" s="152">
        <f t="shared" si="8"/>
        <v>4548280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23223</v>
      </c>
      <c r="E190" s="22">
        <f>IF(Notes!$B$2="June",ROUND('Budget by Source'!E190/10,0)+R190,ROUND('Budget by Source'!E190/10,0))</f>
        <v>2865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11450</v>
      </c>
      <c r="H190" s="22">
        <f t="shared" si="6"/>
        <v>200871</v>
      </c>
      <c r="I190" s="22">
        <f>INDEX(Data[],MATCH($A190,Data[Dist],0),MATCH(I$5,Data[#Headers],0))</f>
        <v>248815</v>
      </c>
      <c r="K190" s="69">
        <f>INDEX('Payment Total'!$A$7:$H$331,MATCH('Payment by Source'!$A190,'Payment Total'!$A$7:$A$331,0),5)-I190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2013334</v>
      </c>
      <c r="V190" s="152">
        <f t="shared" si="7"/>
        <v>201333</v>
      </c>
      <c r="W190" s="152">
        <f t="shared" si="8"/>
        <v>2013330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7991</v>
      </c>
      <c r="D191" s="22">
        <f>IF(Notes!$B$2="June",ROUND('Budget by Source'!D191/10,0)+Q191,ROUND('Budget by Source'!D191/10,0))</f>
        <v>35176</v>
      </c>
      <c r="E191" s="22">
        <f>IF(Notes!$B$2="June",ROUND('Budget by Source'!E191/10,0)+R191,ROUND('Budget by Source'!E191/10,0))</f>
        <v>3777</v>
      </c>
      <c r="F191" s="22">
        <f>IF(Notes!$B$2="June",ROUND('Budget by Source'!F191/10,0)+S191,ROUND('Budget by Source'!F191/10,0))</f>
        <v>3550</v>
      </c>
      <c r="G191" s="22">
        <f>IF(Notes!$B$2="June",ROUND('Budget by Source'!G191/10,0)+T191,ROUND('Budget by Source'!G191/10,0))</f>
        <v>18493</v>
      </c>
      <c r="H191" s="22">
        <f t="shared" si="6"/>
        <v>245219</v>
      </c>
      <c r="I191" s="22">
        <f>INDEX(Data[],MATCH($A191,Data[Dist],0),MATCH(I$5,Data[#Headers],0))</f>
        <v>314206</v>
      </c>
      <c r="K191" s="69">
        <f>INDEX('Payment Total'!$A$7:$H$331,MATCH('Payment by Source'!$A191,'Payment Total'!$A$7:$A$331,0),5)-I191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2459727</v>
      </c>
      <c r="V191" s="152">
        <f t="shared" si="7"/>
        <v>245973</v>
      </c>
      <c r="W191" s="152">
        <f t="shared" si="8"/>
        <v>2459730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27747</v>
      </c>
      <c r="D192" s="22">
        <f>IF(Notes!$B$2="June",ROUND('Budget by Source'!D192/10,0)+Q192,ROUND('Budget by Source'!D192/10,0))</f>
        <v>82476</v>
      </c>
      <c r="E192" s="22">
        <f>IF(Notes!$B$2="June",ROUND('Budget by Source'!E192/10,0)+R192,ROUND('Budget by Source'!E192/10,0))</f>
        <v>9342</v>
      </c>
      <c r="F192" s="22">
        <f>IF(Notes!$B$2="June",ROUND('Budget by Source'!F192/10,0)+S192,ROUND('Budget by Source'!F192/10,0))</f>
        <v>9020</v>
      </c>
      <c r="G192" s="22">
        <f>IF(Notes!$B$2="June",ROUND('Budget by Source'!G192/10,0)+T192,ROUND('Budget by Source'!G192/10,0))</f>
        <v>45252</v>
      </c>
      <c r="H192" s="22">
        <f t="shared" si="6"/>
        <v>649684</v>
      </c>
      <c r="I192" s="22">
        <f>INDEX(Data[],MATCH($A192,Data[Dist],0),MATCH(I$5,Data[#Headers],0))</f>
        <v>823521</v>
      </c>
      <c r="K192" s="69">
        <f>INDEX('Payment Total'!$A$7:$H$331,MATCH('Payment by Source'!$A192,'Payment Total'!$A$7:$A$331,0),5)-I192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6515276</v>
      </c>
      <c r="V192" s="152">
        <f t="shared" si="7"/>
        <v>651528</v>
      </c>
      <c r="W192" s="152">
        <f t="shared" si="8"/>
        <v>6515280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11403</v>
      </c>
      <c r="D193" s="22">
        <f>IF(Notes!$B$2="June",ROUND('Budget by Source'!D193/10,0)+Q193,ROUND('Budget by Source'!D193/10,0))</f>
        <v>48105</v>
      </c>
      <c r="E193" s="22">
        <f>IF(Notes!$B$2="June",ROUND('Budget by Source'!E193/10,0)+R193,ROUND('Budget by Source'!E193/10,0))</f>
        <v>5690</v>
      </c>
      <c r="F193" s="22">
        <f>IF(Notes!$B$2="June",ROUND('Budget by Source'!F193/10,0)+S193,ROUND('Budget by Source'!F193/10,0))</f>
        <v>4875</v>
      </c>
      <c r="G193" s="22">
        <f>IF(Notes!$B$2="June",ROUND('Budget by Source'!G193/10,0)+T193,ROUND('Budget by Source'!G193/10,0))</f>
        <v>28104</v>
      </c>
      <c r="H193" s="22">
        <f t="shared" si="6"/>
        <v>421061</v>
      </c>
      <c r="I193" s="22">
        <f>INDEX(Data[],MATCH($A193,Data[Dist],0),MATCH(I$5,Data[#Headers],0))</f>
        <v>519238</v>
      </c>
      <c r="K193" s="69">
        <f>INDEX('Payment Total'!$A$7:$H$331,MATCH('Payment by Source'!$A193,'Payment Total'!$A$7:$A$331,0),5)-I193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4222060</v>
      </c>
      <c r="V193" s="152">
        <f t="shared" si="7"/>
        <v>422206</v>
      </c>
      <c r="W193" s="152">
        <f t="shared" si="8"/>
        <v>4222060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20905</v>
      </c>
      <c r="D194" s="22">
        <f>IF(Notes!$B$2="June",ROUND('Budget by Source'!D194/10,0)+Q194,ROUND('Budget by Source'!D194/10,0))</f>
        <v>54119</v>
      </c>
      <c r="E194" s="22">
        <f>IF(Notes!$B$2="June",ROUND('Budget by Source'!E194/10,0)+R194,ROUND('Budget by Source'!E194/10,0))</f>
        <v>6661</v>
      </c>
      <c r="F194" s="22">
        <f>IF(Notes!$B$2="June",ROUND('Budget by Source'!F194/10,0)+S194,ROUND('Budget by Source'!F194/10,0))</f>
        <v>6517</v>
      </c>
      <c r="G194" s="22">
        <f>IF(Notes!$B$2="June",ROUND('Budget by Source'!G194/10,0)+T194,ROUND('Budget by Source'!G194/10,0))</f>
        <v>29722</v>
      </c>
      <c r="H194" s="22">
        <f t="shared" si="6"/>
        <v>467536</v>
      </c>
      <c r="I194" s="22">
        <f>INDEX(Data[],MATCH($A194,Data[Dist],0),MATCH(I$5,Data[#Headers],0))</f>
        <v>585460</v>
      </c>
      <c r="K194" s="69">
        <f>INDEX('Payment Total'!$A$7:$H$331,MATCH('Payment by Source'!$A194,'Payment Total'!$A$7:$A$331,0),5)-I194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4687465</v>
      </c>
      <c r="V194" s="152">
        <f t="shared" si="7"/>
        <v>468747</v>
      </c>
      <c r="W194" s="152">
        <f t="shared" si="8"/>
        <v>4687470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12543</v>
      </c>
      <c r="D195" s="22">
        <f>IF(Notes!$B$2="June",ROUND('Budget by Source'!D195/10,0)+Q195,ROUND('Budget by Source'!D195/10,0))</f>
        <v>29861</v>
      </c>
      <c r="E195" s="22">
        <f>IF(Notes!$B$2="June",ROUND('Budget by Source'!E195/10,0)+R195,ROUND('Budget by Source'!E195/10,0))</f>
        <v>3827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17657</v>
      </c>
      <c r="H195" s="22">
        <f t="shared" si="6"/>
        <v>130432</v>
      </c>
      <c r="I195" s="22">
        <f>INDEX(Data[],MATCH($A195,Data[Dist],0),MATCH(I$5,Data[#Headers],0))</f>
        <v>197278</v>
      </c>
      <c r="K195" s="69">
        <f>INDEX('Payment Total'!$A$7:$H$331,MATCH('Payment by Source'!$A195,'Payment Total'!$A$7:$A$331,0),5)-I195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1311362</v>
      </c>
      <c r="V195" s="152">
        <f t="shared" si="7"/>
        <v>131136</v>
      </c>
      <c r="W195" s="152">
        <f t="shared" si="8"/>
        <v>1311360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22425</v>
      </c>
      <c r="D196" s="22">
        <f>IF(Notes!$B$2="June",ROUND('Budget by Source'!D196/10,0)+Q196,ROUND('Budget by Source'!D196/10,0))</f>
        <v>64048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6364</v>
      </c>
      <c r="G196" s="22">
        <f>IF(Notes!$B$2="June",ROUND('Budget by Source'!G196/10,0)+T196,ROUND('Budget by Source'!G196/10,0))</f>
        <v>35718</v>
      </c>
      <c r="H196" s="22">
        <f t="shared" si="6"/>
        <v>531627</v>
      </c>
      <c r="I196" s="22">
        <f>INDEX(Data[],MATCH($A196,Data[Dist],0),MATCH(I$5,Data[#Headers],0))</f>
        <v>667072</v>
      </c>
      <c r="K196" s="69">
        <f>INDEX('Payment Total'!$A$7:$H$331,MATCH('Payment by Source'!$A196,'Payment Total'!$A$7:$A$331,0),5)-I196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5330823</v>
      </c>
      <c r="V196" s="152">
        <f t="shared" si="7"/>
        <v>533082</v>
      </c>
      <c r="W196" s="152">
        <f t="shared" si="8"/>
        <v>5330820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6842</v>
      </c>
      <c r="D197" s="22">
        <f>IF(Notes!$B$2="June",ROUND('Budget by Source'!D197/10,0)+Q197,ROUND('Budget by Source'!D197/10,0))</f>
        <v>25727</v>
      </c>
      <c r="E197" s="22">
        <f>IF(Notes!$B$2="June",ROUND('Budget by Source'!E197/10,0)+R197,ROUND('Budget by Source'!E197/10,0))</f>
        <v>3206</v>
      </c>
      <c r="F197" s="22">
        <f>IF(Notes!$B$2="June",ROUND('Budget by Source'!F197/10,0)+S197,ROUND('Budget by Source'!F197/10,0))</f>
        <v>2888</v>
      </c>
      <c r="G197" s="22">
        <f>IF(Notes!$B$2="June",ROUND('Budget by Source'!G197/10,0)+T197,ROUND('Budget by Source'!G197/10,0))</f>
        <v>12733</v>
      </c>
      <c r="H197" s="22">
        <f t="shared" si="6"/>
        <v>193737</v>
      </c>
      <c r="I197" s="22">
        <f>INDEX(Data[],MATCH($A197,Data[Dist],0),MATCH(I$5,Data[#Headers],0))</f>
        <v>245133</v>
      </c>
      <c r="K197" s="69">
        <f>INDEX('Payment Total'!$A$7:$H$331,MATCH('Payment by Source'!$A197,'Payment Total'!$A$7:$A$331,0),5)-I197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1942571</v>
      </c>
      <c r="V197" s="152">
        <f t="shared" si="7"/>
        <v>194257</v>
      </c>
      <c r="W197" s="152">
        <f t="shared" si="8"/>
        <v>1942570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6091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1676</v>
      </c>
      <c r="F198" s="22">
        <f>IF(Notes!$B$2="June",ROUND('Budget by Source'!F198/10,0)+S198,ROUND('Budget by Source'!F198/10,0))</f>
        <v>1334</v>
      </c>
      <c r="G198" s="22">
        <f>IF(Notes!$B$2="June",ROUND('Budget by Source'!G198/10,0)+T198,ROUND('Budget by Source'!G198/10,0))</f>
        <v>7847</v>
      </c>
      <c r="H198" s="22">
        <f t="shared" si="6"/>
        <v>116234</v>
      </c>
      <c r="I198" s="22">
        <f>INDEX(Data[],MATCH($A198,Data[Dist],0),MATCH(I$5,Data[#Headers],0))</f>
        <v>147479</v>
      </c>
      <c r="K198" s="69">
        <f>INDEX('Payment Total'!$A$7:$H$331,MATCH('Payment by Source'!$A198,'Payment Total'!$A$7:$A$331,0),5)-I198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1231340</v>
      </c>
      <c r="V198" s="152">
        <f t="shared" si="7"/>
        <v>123134</v>
      </c>
      <c r="W198" s="152">
        <f t="shared" si="8"/>
        <v>1231340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5321</v>
      </c>
      <c r="D199" s="22">
        <f>IF(Notes!$B$2="June",ROUND('Budget by Source'!D199/10,0)+Q199,ROUND('Budget by Source'!D199/10,0))</f>
        <v>13037</v>
      </c>
      <c r="E199" s="22">
        <f>IF(Notes!$B$2="June",ROUND('Budget by Source'!E199/10,0)+R199,ROUND('Budget by Source'!E199/10,0))</f>
        <v>1867</v>
      </c>
      <c r="F199" s="22">
        <f>IF(Notes!$B$2="June",ROUND('Budget by Source'!F199/10,0)+S199,ROUND('Budget by Source'!F199/10,0))</f>
        <v>1432</v>
      </c>
      <c r="G199" s="22">
        <f>IF(Notes!$B$2="June",ROUND('Budget by Source'!G199/10,0)+T199,ROUND('Budget by Source'!G199/10,0))</f>
        <v>7150</v>
      </c>
      <c r="H199" s="22">
        <f t="shared" ref="H199:H262" si="9">I199-SUM(C199:G199)</f>
        <v>115839</v>
      </c>
      <c r="I199" s="22">
        <f>INDEX(Data[],MATCH($A199,Data[Dist],0),MATCH(I$5,Data[#Headers],0))</f>
        <v>144646</v>
      </c>
      <c r="K199" s="69">
        <f>INDEX('Payment Total'!$A$7:$H$331,MATCH('Payment by Source'!$A199,'Payment Total'!$A$7:$A$331,0),5)-I199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1161309</v>
      </c>
      <c r="V199" s="152">
        <f t="shared" ref="V199:V262" si="10">ROUND(U199/10,0)</f>
        <v>116131</v>
      </c>
      <c r="W199" s="152">
        <f t="shared" ref="W199:W262" si="11">V199*10</f>
        <v>1161310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1901</v>
      </c>
      <c r="D200" s="22">
        <f>IF(Notes!$B$2="June",ROUND('Budget by Source'!D200/10,0)+Q200,ROUND('Budget by Source'!D200/10,0))</f>
        <v>13364</v>
      </c>
      <c r="E200" s="22">
        <f>IF(Notes!$B$2="June",ROUND('Budget by Source'!E200/10,0)+R200,ROUND('Budget by Source'!E200/10,0))</f>
        <v>1555</v>
      </c>
      <c r="F200" s="22">
        <f>IF(Notes!$B$2="June",ROUND('Budget by Source'!F200/10,0)+S200,ROUND('Budget by Source'!F200/10,0))</f>
        <v>1389</v>
      </c>
      <c r="G200" s="22">
        <f>IF(Notes!$B$2="June",ROUND('Budget by Source'!G200/10,0)+T200,ROUND('Budget by Source'!G200/10,0))</f>
        <v>6814</v>
      </c>
      <c r="H200" s="22">
        <f t="shared" si="9"/>
        <v>100527</v>
      </c>
      <c r="I200" s="22">
        <f>INDEX(Data[],MATCH($A200,Data[Dist],0),MATCH(I$5,Data[#Headers],0))</f>
        <v>125550</v>
      </c>
      <c r="K200" s="69">
        <f>INDEX('Payment Total'!$A$7:$H$331,MATCH('Payment by Source'!$A200,'Payment Total'!$A$7:$A$331,0),5)-I200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1008040</v>
      </c>
      <c r="V200" s="152">
        <f t="shared" si="10"/>
        <v>100804</v>
      </c>
      <c r="W200" s="152">
        <f t="shared" si="11"/>
        <v>1008040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12923</v>
      </c>
      <c r="D201" s="22">
        <f>IF(Notes!$B$2="June",ROUND('Budget by Source'!D201/10,0)+Q201,ROUND('Budget by Source'!D201/10,0))</f>
        <v>43910</v>
      </c>
      <c r="E201" s="22">
        <f>IF(Notes!$B$2="June",ROUND('Budget by Source'!E201/10,0)+R201,ROUND('Budget by Source'!E201/10,0))</f>
        <v>5114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22049</v>
      </c>
      <c r="H201" s="22">
        <f t="shared" si="9"/>
        <v>290562</v>
      </c>
      <c r="I201" s="22">
        <f>INDEX(Data[],MATCH($A201,Data[Dist],0),MATCH(I$5,Data[#Headers],0))</f>
        <v>379969</v>
      </c>
      <c r="K201" s="69">
        <f>INDEX('Payment Total'!$A$7:$H$331,MATCH('Payment by Source'!$A201,'Payment Total'!$A$7:$A$331,0),5)-I201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2914607</v>
      </c>
      <c r="V201" s="152">
        <f t="shared" si="10"/>
        <v>291461</v>
      </c>
      <c r="W201" s="152">
        <f t="shared" si="11"/>
        <v>2914610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27747</v>
      </c>
      <c r="D202" s="22">
        <f>IF(Notes!$B$2="June",ROUND('Budget by Source'!D202/10,0)+Q202,ROUND('Budget by Source'!D202/10,0))</f>
        <v>115597</v>
      </c>
      <c r="E202" s="22">
        <f>IF(Notes!$B$2="June",ROUND('Budget by Source'!E202/10,0)+R202,ROUND('Budget by Source'!E202/10,0))</f>
        <v>15269</v>
      </c>
      <c r="F202" s="22">
        <f>IF(Notes!$B$2="June",ROUND('Budget by Source'!F202/10,0)+S202,ROUND('Budget by Source'!F202/10,0))</f>
        <v>13719</v>
      </c>
      <c r="G202" s="22">
        <f>IF(Notes!$B$2="June",ROUND('Budget by Source'!G202/10,0)+T202,ROUND('Budget by Source'!G202/10,0))</f>
        <v>66037</v>
      </c>
      <c r="H202" s="22">
        <f t="shared" si="9"/>
        <v>1080284</v>
      </c>
      <c r="I202" s="22">
        <f>INDEX(Data[],MATCH($A202,Data[Dist],0),MATCH(I$5,Data[#Headers],0))</f>
        <v>1318653</v>
      </c>
      <c r="K202" s="69">
        <f>INDEX('Payment Total'!$A$7:$H$331,MATCH('Payment by Source'!$A202,'Payment Total'!$A$7:$A$331,0),5)-I202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10829741</v>
      </c>
      <c r="V202" s="152">
        <f t="shared" si="10"/>
        <v>1082974</v>
      </c>
      <c r="W202" s="152">
        <f t="shared" si="11"/>
        <v>10829740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17104</v>
      </c>
      <c r="D203" s="22">
        <f>IF(Notes!$B$2="June",ROUND('Budget by Source'!D203/10,0)+Q203,ROUND('Budget by Source'!D203/10,0))</f>
        <v>73400</v>
      </c>
      <c r="E203" s="22">
        <f>IF(Notes!$B$2="June",ROUND('Budget by Source'!E203/10,0)+R203,ROUND('Budget by Source'!E203/10,0))</f>
        <v>9013</v>
      </c>
      <c r="F203" s="22">
        <f>IF(Notes!$B$2="June",ROUND('Budget by Source'!F203/10,0)+S203,ROUND('Budget by Source'!F203/10,0))</f>
        <v>8293</v>
      </c>
      <c r="G203" s="22">
        <f>IF(Notes!$B$2="June",ROUND('Budget by Source'!G203/10,0)+T203,ROUND('Budget by Source'!G203/10,0))</f>
        <v>40951</v>
      </c>
      <c r="H203" s="22">
        <f t="shared" si="9"/>
        <v>640793</v>
      </c>
      <c r="I203" s="22">
        <f>INDEX(Data[],MATCH($A203,Data[Dist],0),MATCH(I$5,Data[#Headers],0))</f>
        <v>789554</v>
      </c>
      <c r="K203" s="69">
        <f>INDEX('Payment Total'!$A$7:$H$331,MATCH('Payment by Source'!$A203,'Payment Total'!$A$7:$A$331,0),5)-I203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6424611</v>
      </c>
      <c r="V203" s="152">
        <f t="shared" si="10"/>
        <v>642461</v>
      </c>
      <c r="W203" s="152">
        <f t="shared" si="11"/>
        <v>6424610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8742</v>
      </c>
      <c r="D204" s="22">
        <f>IF(Notes!$B$2="June",ROUND('Budget by Source'!D204/10,0)+Q204,ROUND('Budget by Source'!D204/10,0))</f>
        <v>16857</v>
      </c>
      <c r="E204" s="22">
        <f>IF(Notes!$B$2="June",ROUND('Budget by Source'!E204/10,0)+R204,ROUND('Budget by Source'!E204/10,0))</f>
        <v>2061</v>
      </c>
      <c r="F204" s="22">
        <f>IF(Notes!$B$2="June",ROUND('Budget by Source'!F204/10,0)+S204,ROUND('Budget by Source'!F204/10,0))</f>
        <v>1704</v>
      </c>
      <c r="G204" s="22">
        <f>IF(Notes!$B$2="June",ROUND('Budget by Source'!G204/10,0)+T204,ROUND('Budget by Source'!G204/10,0))</f>
        <v>8174</v>
      </c>
      <c r="H204" s="22">
        <f t="shared" si="9"/>
        <v>137090</v>
      </c>
      <c r="I204" s="22">
        <f>INDEX(Data[],MATCH($A204,Data[Dist],0),MATCH(I$5,Data[#Headers],0))</f>
        <v>174628</v>
      </c>
      <c r="K204" s="69">
        <f>INDEX('Payment Total'!$A$7:$H$331,MATCH('Payment by Source'!$A204,'Payment Total'!$A$7:$A$331,0),5)-I204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1374228</v>
      </c>
      <c r="V204" s="152">
        <f t="shared" si="10"/>
        <v>137423</v>
      </c>
      <c r="W204" s="152">
        <f t="shared" si="11"/>
        <v>1374230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293830</v>
      </c>
      <c r="E205" s="22">
        <f>IF(Notes!$B$2="June",ROUND('Budget by Source'!E205/10,0)+R205,ROUND('Budget by Source'!E205/10,0))</f>
        <v>39019</v>
      </c>
      <c r="F205" s="22">
        <f>IF(Notes!$B$2="June",ROUND('Budget by Source'!F205/10,0)+S205,ROUND('Budget by Source'!F205/10,0))</f>
        <v>32252</v>
      </c>
      <c r="G205" s="22">
        <f>IF(Notes!$B$2="June",ROUND('Budget by Source'!G205/10,0)+T205,ROUND('Budget by Source'!G205/10,0))</f>
        <v>168595</v>
      </c>
      <c r="H205" s="22">
        <f t="shared" si="9"/>
        <v>2810213</v>
      </c>
      <c r="I205" s="22">
        <f>INDEX(Data[],MATCH($A205,Data[Dist],0),MATCH(I$5,Data[#Headers],0))</f>
        <v>3433620</v>
      </c>
      <c r="K205" s="69">
        <f>INDEX('Payment Total'!$A$7:$H$331,MATCH('Payment by Source'!$A205,'Payment Total'!$A$7:$A$331,0),5)-I205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28170803</v>
      </c>
      <c r="V205" s="152">
        <f t="shared" si="10"/>
        <v>2817080</v>
      </c>
      <c r="W205" s="152">
        <f t="shared" si="11"/>
        <v>28170800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14444</v>
      </c>
      <c r="D206" s="22">
        <f>IF(Notes!$B$2="June",ROUND('Budget by Source'!D206/10,0)+Q206,ROUND('Budget by Source'!D206/10,0))</f>
        <v>38034</v>
      </c>
      <c r="E206" s="22">
        <f>IF(Notes!$B$2="June",ROUND('Budget by Source'!E206/10,0)+R206,ROUND('Budget by Source'!E206/10,0))</f>
        <v>3899</v>
      </c>
      <c r="F206" s="22">
        <f>IF(Notes!$B$2="June",ROUND('Budget by Source'!F206/10,0)+S206,ROUND('Budget by Source'!F206/10,0))</f>
        <v>4319</v>
      </c>
      <c r="G206" s="22">
        <f>IF(Notes!$B$2="June",ROUND('Budget by Source'!G206/10,0)+T206,ROUND('Budget by Source'!G206/10,0))</f>
        <v>21839</v>
      </c>
      <c r="H206" s="22">
        <f t="shared" si="9"/>
        <v>307178</v>
      </c>
      <c r="I206" s="22">
        <f>INDEX(Data[],MATCH($A206,Data[Dist],0),MATCH(I$5,Data[#Headers],0))</f>
        <v>389713</v>
      </c>
      <c r="K206" s="69">
        <f>INDEX('Payment Total'!$A$7:$H$331,MATCH('Payment by Source'!$A206,'Payment Total'!$A$7:$A$331,0),5)-I206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3080686</v>
      </c>
      <c r="V206" s="152">
        <f t="shared" si="10"/>
        <v>308069</v>
      </c>
      <c r="W206" s="152">
        <f t="shared" si="11"/>
        <v>3080690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28507</v>
      </c>
      <c r="D207" s="22">
        <f>IF(Notes!$B$2="June",ROUND('Budget by Source'!D207/10,0)+Q207,ROUND('Budget by Source'!D207/10,0))</f>
        <v>91175</v>
      </c>
      <c r="E207" s="22">
        <f>IF(Notes!$B$2="June",ROUND('Budget by Source'!E207/10,0)+R207,ROUND('Budget by Source'!E207/10,0))</f>
        <v>12283</v>
      </c>
      <c r="F207" s="22">
        <f>IF(Notes!$B$2="June",ROUND('Budget by Source'!F207/10,0)+S207,ROUND('Budget by Source'!F207/10,0))</f>
        <v>10971</v>
      </c>
      <c r="G207" s="22">
        <f>IF(Notes!$B$2="June",ROUND('Budget by Source'!G207/10,0)+T207,ROUND('Budget by Source'!G207/10,0))</f>
        <v>51572</v>
      </c>
      <c r="H207" s="22">
        <f t="shared" si="9"/>
        <v>779829</v>
      </c>
      <c r="I207" s="22">
        <f>INDEX(Data[],MATCH($A207,Data[Dist],0),MATCH(I$5,Data[#Headers],0))</f>
        <v>974337</v>
      </c>
      <c r="K207" s="69">
        <f>INDEX('Payment Total'!$A$7:$H$331,MATCH('Payment by Source'!$A207,'Payment Total'!$A$7:$A$331,0),5)-I207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7819306</v>
      </c>
      <c r="V207" s="152">
        <f t="shared" si="10"/>
        <v>781931</v>
      </c>
      <c r="W207" s="152">
        <f t="shared" si="11"/>
        <v>7819310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11403</v>
      </c>
      <c r="D208" s="22">
        <f>IF(Notes!$B$2="June",ROUND('Budget by Source'!D208/10,0)+Q208,ROUND('Budget by Source'!D208/10,0))</f>
        <v>32971</v>
      </c>
      <c r="E208" s="22">
        <f>IF(Notes!$B$2="June",ROUND('Budget by Source'!E208/10,0)+R208,ROUND('Budget by Source'!E208/10,0))</f>
        <v>4220</v>
      </c>
      <c r="F208" s="22">
        <f>IF(Notes!$B$2="June",ROUND('Budget by Source'!F208/10,0)+S208,ROUND('Budget by Source'!F208/10,0))</f>
        <v>3547</v>
      </c>
      <c r="G208" s="22">
        <f>IF(Notes!$B$2="June",ROUND('Budget by Source'!G208/10,0)+T208,ROUND('Budget by Source'!G208/10,0))</f>
        <v>18275</v>
      </c>
      <c r="H208" s="22">
        <f t="shared" si="9"/>
        <v>222635</v>
      </c>
      <c r="I208" s="22">
        <f>INDEX(Data[],MATCH($A208,Data[Dist],0),MATCH(I$5,Data[#Headers],0))</f>
        <v>293051</v>
      </c>
      <c r="K208" s="69">
        <f>INDEX('Payment Total'!$A$7:$H$331,MATCH('Payment by Source'!$A208,'Payment Total'!$A$7:$A$331,0),5)-I208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2233792</v>
      </c>
      <c r="V208" s="152">
        <f t="shared" si="10"/>
        <v>223379</v>
      </c>
      <c r="W208" s="152">
        <f t="shared" si="11"/>
        <v>2233790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23946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6820</v>
      </c>
      <c r="G209" s="22">
        <f>IF(Notes!$B$2="June",ROUND('Budget by Source'!G209/10,0)+T209,ROUND('Budget by Source'!G209/10,0))</f>
        <v>34273</v>
      </c>
      <c r="H209" s="22">
        <f t="shared" si="9"/>
        <v>417541</v>
      </c>
      <c r="I209" s="22">
        <f>INDEX(Data[],MATCH($A209,Data[Dist],0),MATCH(I$5,Data[#Headers],0))</f>
        <v>549726</v>
      </c>
      <c r="K209" s="69">
        <f>INDEX('Payment Total'!$A$7:$H$331,MATCH('Payment by Source'!$A209,'Payment Total'!$A$7:$A$331,0),5)-I209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4189368</v>
      </c>
      <c r="V209" s="152">
        <f t="shared" si="10"/>
        <v>418937</v>
      </c>
      <c r="W209" s="152">
        <f t="shared" si="11"/>
        <v>4189370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36627</v>
      </c>
      <c r="E210" s="22">
        <f>IF(Notes!$B$2="June",ROUND('Budget by Source'!E210/10,0)+R210,ROUND('Budget by Source'!E210/10,0))</f>
        <v>4382</v>
      </c>
      <c r="F210" s="22">
        <f>IF(Notes!$B$2="June",ROUND('Budget by Source'!F210/10,0)+S210,ROUND('Budget by Source'!F210/10,0))</f>
        <v>3888</v>
      </c>
      <c r="G210" s="22">
        <f>IF(Notes!$B$2="June",ROUND('Budget by Source'!G210/10,0)+T210,ROUND('Budget by Source'!G210/10,0))</f>
        <v>19974</v>
      </c>
      <c r="H210" s="22">
        <f t="shared" si="9"/>
        <v>348931</v>
      </c>
      <c r="I210" s="22">
        <f>INDEX(Data[],MATCH($A210,Data[Dist],0),MATCH(I$5,Data[#Headers],0))</f>
        <v>422164</v>
      </c>
      <c r="K210" s="69">
        <f>INDEX('Payment Total'!$A$7:$H$331,MATCH('Payment by Source'!$A210,'Payment Total'!$A$7:$A$331,0),5)-I210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3541240</v>
      </c>
      <c r="V210" s="152">
        <f t="shared" si="10"/>
        <v>354124</v>
      </c>
      <c r="W210" s="152">
        <f t="shared" si="11"/>
        <v>3541240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40670</v>
      </c>
      <c r="D211" s="22">
        <f>IF(Notes!$B$2="June",ROUND('Budget by Source'!D211/10,0)+Q211,ROUND('Budget by Source'!D211/10,0))</f>
        <v>190434</v>
      </c>
      <c r="E211" s="22">
        <f>IF(Notes!$B$2="June",ROUND('Budget by Source'!E211/10,0)+R211,ROUND('Budget by Source'!E211/10,0))</f>
        <v>24649</v>
      </c>
      <c r="F211" s="22">
        <f>IF(Notes!$B$2="June",ROUND('Budget by Source'!F211/10,0)+S211,ROUND('Budget by Source'!F211/10,0))</f>
        <v>21233</v>
      </c>
      <c r="G211" s="22">
        <f>IF(Notes!$B$2="June",ROUND('Budget by Source'!G211/10,0)+T211,ROUND('Budget by Source'!G211/10,0))</f>
        <v>108996</v>
      </c>
      <c r="H211" s="22">
        <f t="shared" si="9"/>
        <v>1932195</v>
      </c>
      <c r="I211" s="22">
        <f>INDEX(Data[],MATCH($A211,Data[Dist],0),MATCH(I$5,Data[#Headers],0))</f>
        <v>2318177</v>
      </c>
      <c r="K211" s="69">
        <f>INDEX('Payment Total'!$A$7:$H$331,MATCH('Payment by Source'!$A211,'Payment Total'!$A$7:$A$331,0),5)-I211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19366356</v>
      </c>
      <c r="V211" s="152">
        <f t="shared" si="10"/>
        <v>1936636</v>
      </c>
      <c r="W211" s="152">
        <f t="shared" si="11"/>
        <v>19366360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17864</v>
      </c>
      <c r="D212" s="22">
        <f>IF(Notes!$B$2="June",ROUND('Budget by Source'!D212/10,0)+Q212,ROUND('Budget by Source'!D212/10,0))</f>
        <v>55193</v>
      </c>
      <c r="E212" s="22">
        <f>IF(Notes!$B$2="June",ROUND('Budget by Source'!E212/10,0)+R212,ROUND('Budget by Source'!E212/10,0))</f>
        <v>5789</v>
      </c>
      <c r="F212" s="22">
        <f>IF(Notes!$B$2="June",ROUND('Budget by Source'!F212/10,0)+S212,ROUND('Budget by Source'!F212/10,0))</f>
        <v>6202</v>
      </c>
      <c r="G212" s="22">
        <f>IF(Notes!$B$2="June",ROUND('Budget by Source'!G212/10,0)+T212,ROUND('Budget by Source'!G212/10,0))</f>
        <v>29678</v>
      </c>
      <c r="H212" s="22">
        <f t="shared" si="9"/>
        <v>414173</v>
      </c>
      <c r="I212" s="22">
        <f>INDEX(Data[],MATCH($A212,Data[Dist],0),MATCH(I$5,Data[#Headers],0))</f>
        <v>528899</v>
      </c>
      <c r="K212" s="69">
        <f>INDEX('Payment Total'!$A$7:$H$331,MATCH('Payment by Source'!$A212,'Payment Total'!$A$7:$A$331,0),5)-I212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4153821</v>
      </c>
      <c r="V212" s="152">
        <f t="shared" si="10"/>
        <v>415382</v>
      </c>
      <c r="W212" s="152">
        <f t="shared" si="11"/>
        <v>4153820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15204</v>
      </c>
      <c r="D213" s="22">
        <f>IF(Notes!$B$2="June",ROUND('Budget by Source'!D213/10,0)+Q213,ROUND('Budget by Source'!D213/10,0))</f>
        <v>37066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4181</v>
      </c>
      <c r="G213" s="22">
        <f>IF(Notes!$B$2="June",ROUND('Budget by Source'!G213/10,0)+T213,ROUND('Budget by Source'!G213/10,0))</f>
        <v>19422</v>
      </c>
      <c r="H213" s="22">
        <f t="shared" si="9"/>
        <v>268025</v>
      </c>
      <c r="I213" s="22">
        <f>INDEX(Data[],MATCH($A213,Data[Dist],0),MATCH(I$5,Data[#Headers],0))</f>
        <v>348387</v>
      </c>
      <c r="K213" s="69">
        <f>INDEX('Payment Total'!$A$7:$H$331,MATCH('Payment by Source'!$A213,'Payment Total'!$A$7:$A$331,0),5)-I213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2688168</v>
      </c>
      <c r="V213" s="152">
        <f t="shared" si="10"/>
        <v>268817</v>
      </c>
      <c r="W213" s="152">
        <f t="shared" si="11"/>
        <v>2688170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23566</v>
      </c>
      <c r="D214" s="22">
        <f>IF(Notes!$B$2="June",ROUND('Budget by Source'!D214/10,0)+Q214,ROUND('Budget by Source'!D214/10,0))</f>
        <v>75699</v>
      </c>
      <c r="E214" s="22">
        <f>IF(Notes!$B$2="June",ROUND('Budget by Source'!E214/10,0)+R214,ROUND('Budget by Source'!E214/10,0))</f>
        <v>8373</v>
      </c>
      <c r="F214" s="22">
        <f>IF(Notes!$B$2="June",ROUND('Budget by Source'!F214/10,0)+S214,ROUND('Budget by Source'!F214/10,0))</f>
        <v>8309</v>
      </c>
      <c r="G214" s="22">
        <f>IF(Notes!$B$2="June",ROUND('Budget by Source'!G214/10,0)+T214,ROUND('Budget by Source'!G214/10,0))</f>
        <v>41939</v>
      </c>
      <c r="H214" s="22">
        <f t="shared" si="9"/>
        <v>658011</v>
      </c>
      <c r="I214" s="22">
        <f>INDEX(Data[],MATCH($A214,Data[Dist],0),MATCH(I$5,Data[#Headers],0))</f>
        <v>815897</v>
      </c>
      <c r="K214" s="69">
        <f>INDEX('Payment Total'!$A$7:$H$331,MATCH('Payment by Source'!$A214,'Payment Total'!$A$7:$A$331,0),5)-I214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6597205</v>
      </c>
      <c r="V214" s="152">
        <f t="shared" si="10"/>
        <v>659721</v>
      </c>
      <c r="W214" s="152">
        <f t="shared" si="11"/>
        <v>6597210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9882</v>
      </c>
      <c r="D215" s="22">
        <f>IF(Notes!$B$2="June",ROUND('Budget by Source'!D215/10,0)+Q215,ROUND('Budget by Source'!D215/10,0))</f>
        <v>33418</v>
      </c>
      <c r="E215" s="22">
        <f>IF(Notes!$B$2="June",ROUND('Budget by Source'!E215/10,0)+R215,ROUND('Budget by Source'!E215/10,0))</f>
        <v>4193</v>
      </c>
      <c r="F215" s="22">
        <f>IF(Notes!$B$2="June",ROUND('Budget by Source'!F215/10,0)+S215,ROUND('Budget by Source'!F215/10,0))</f>
        <v>3611</v>
      </c>
      <c r="G215" s="22">
        <f>IF(Notes!$B$2="June",ROUND('Budget by Source'!G215/10,0)+T215,ROUND('Budget by Source'!G215/10,0))</f>
        <v>18003</v>
      </c>
      <c r="H215" s="22">
        <f t="shared" si="9"/>
        <v>235832</v>
      </c>
      <c r="I215" s="22">
        <f>INDEX(Data[],MATCH($A215,Data[Dist],0),MATCH(I$5,Data[#Headers],0))</f>
        <v>304939</v>
      </c>
      <c r="K215" s="69">
        <f>INDEX('Payment Total'!$A$7:$H$331,MATCH('Payment by Source'!$A215,'Payment Total'!$A$7:$A$331,0),5)-I215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2365658</v>
      </c>
      <c r="V215" s="152">
        <f t="shared" si="10"/>
        <v>236566</v>
      </c>
      <c r="W215" s="152">
        <f t="shared" si="11"/>
        <v>2365660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7602</v>
      </c>
      <c r="D216" s="22">
        <f>IF(Notes!$B$2="June",ROUND('Budget by Source'!D216/10,0)+Q216,ROUND('Budget by Source'!D216/10,0))</f>
        <v>35956</v>
      </c>
      <c r="E216" s="22">
        <f>IF(Notes!$B$2="June",ROUND('Budget by Source'!E216/10,0)+R216,ROUND('Budget by Source'!E216/10,0))</f>
        <v>3818</v>
      </c>
      <c r="F216" s="22">
        <f>IF(Notes!$B$2="June",ROUND('Budget by Source'!F216/10,0)+S216,ROUND('Budget by Source'!F216/10,0))</f>
        <v>3789</v>
      </c>
      <c r="G216" s="22">
        <f>IF(Notes!$B$2="June",ROUND('Budget by Source'!G216/10,0)+T216,ROUND('Budget by Source'!G216/10,0))</f>
        <v>20523</v>
      </c>
      <c r="H216" s="22">
        <f t="shared" si="9"/>
        <v>274924</v>
      </c>
      <c r="I216" s="22">
        <f>INDEX(Data[],MATCH($A216,Data[Dist],0),MATCH(I$5,Data[#Headers],0))</f>
        <v>346612</v>
      </c>
      <c r="K216" s="69">
        <f>INDEX('Payment Total'!$A$7:$H$331,MATCH('Payment by Source'!$A216,'Payment Total'!$A$7:$A$331,0),5)-I216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2757603</v>
      </c>
      <c r="V216" s="152">
        <f t="shared" si="10"/>
        <v>275760</v>
      </c>
      <c r="W216" s="152">
        <f t="shared" si="11"/>
        <v>2757600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9122</v>
      </c>
      <c r="D217" s="22">
        <f>IF(Notes!$B$2="June",ROUND('Budget by Source'!D217/10,0)+Q217,ROUND('Budget by Source'!D217/10,0))</f>
        <v>16719</v>
      </c>
      <c r="E217" s="22">
        <f>IF(Notes!$B$2="June",ROUND('Budget by Source'!E217/10,0)+R217,ROUND('Budget by Source'!E217/10,0))</f>
        <v>1703</v>
      </c>
      <c r="F217" s="22">
        <f>IF(Notes!$B$2="June",ROUND('Budget by Source'!F217/10,0)+S217,ROUND('Budget by Source'!F217/10,0))</f>
        <v>1873</v>
      </c>
      <c r="G217" s="22">
        <f>IF(Notes!$B$2="June",ROUND('Budget by Source'!G217/10,0)+T217,ROUND('Budget by Source'!G217/10,0))</f>
        <v>9153</v>
      </c>
      <c r="H217" s="22">
        <f t="shared" si="9"/>
        <v>35040</v>
      </c>
      <c r="I217" s="22">
        <f>INDEX(Data[],MATCH($A217,Data[Dist],0),MATCH(I$5,Data[#Headers],0))</f>
        <v>73610</v>
      </c>
      <c r="K217" s="69">
        <f>INDEX('Payment Total'!$A$7:$H$331,MATCH('Payment by Source'!$A217,'Payment Total'!$A$7:$A$331,0),5)-I217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353957</v>
      </c>
      <c r="V217" s="152">
        <f t="shared" si="10"/>
        <v>35396</v>
      </c>
      <c r="W217" s="152">
        <f t="shared" si="11"/>
        <v>353960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39910</v>
      </c>
      <c r="D218" s="22">
        <f>IF(Notes!$B$2="June",ROUND('Budget by Source'!D218/10,0)+Q218,ROUND('Budget by Source'!D218/10,0))</f>
        <v>128632</v>
      </c>
      <c r="E218" s="22">
        <f>IF(Notes!$B$2="June",ROUND('Budget by Source'!E218/10,0)+R218,ROUND('Budget by Source'!E218/10,0))</f>
        <v>13503</v>
      </c>
      <c r="F218" s="22">
        <f>IF(Notes!$B$2="June",ROUND('Budget by Source'!F218/10,0)+S218,ROUND('Budget by Source'!F218/10,0))</f>
        <v>13519</v>
      </c>
      <c r="G218" s="22">
        <f>IF(Notes!$B$2="June",ROUND('Budget by Source'!G218/10,0)+T218,ROUND('Budget by Source'!G218/10,0))</f>
        <v>77137</v>
      </c>
      <c r="H218" s="22">
        <f t="shared" si="9"/>
        <v>1230297</v>
      </c>
      <c r="I218" s="22">
        <f>INDEX(Data[],MATCH($A218,Data[Dist],0),MATCH(I$5,Data[#Headers],0))</f>
        <v>1502998</v>
      </c>
      <c r="K218" s="69">
        <f>INDEX('Payment Total'!$A$7:$H$331,MATCH('Payment by Source'!$A218,'Payment Total'!$A$7:$A$331,0),5)-I218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12334400</v>
      </c>
      <c r="V218" s="152">
        <f t="shared" si="10"/>
        <v>1233440</v>
      </c>
      <c r="W218" s="152">
        <f t="shared" si="11"/>
        <v>12334400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55113</v>
      </c>
      <c r="D219" s="22">
        <f>IF(Notes!$B$2="June",ROUND('Budget by Source'!D219/10,0)+Q219,ROUND('Budget by Source'!D219/10,0))</f>
        <v>199913</v>
      </c>
      <c r="E219" s="22">
        <f>IF(Notes!$B$2="June",ROUND('Budget by Source'!E219/10,0)+R219,ROUND('Budget by Source'!E219/10,0))</f>
        <v>21959</v>
      </c>
      <c r="F219" s="22">
        <f>IF(Notes!$B$2="June",ROUND('Budget by Source'!F219/10,0)+S219,ROUND('Budget by Source'!F219/10,0))</f>
        <v>22442</v>
      </c>
      <c r="G219" s="22">
        <f>IF(Notes!$B$2="June",ROUND('Budget by Source'!G219/10,0)+T219,ROUND('Budget by Source'!G219/10,0))</f>
        <v>114156</v>
      </c>
      <c r="H219" s="22">
        <f t="shared" si="9"/>
        <v>1628759</v>
      </c>
      <c r="I219" s="22">
        <f>INDEX(Data[],MATCH($A219,Data[Dist],0),MATCH(I$5,Data[#Headers],0))</f>
        <v>2042342</v>
      </c>
      <c r="K219" s="69">
        <f>INDEX('Payment Total'!$A$7:$H$331,MATCH('Payment by Source'!$A219,'Payment Total'!$A$7:$A$331,0),5)-I219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16334096</v>
      </c>
      <c r="V219" s="152">
        <f t="shared" si="10"/>
        <v>1633410</v>
      </c>
      <c r="W219" s="152">
        <f t="shared" si="11"/>
        <v>16334100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12923</v>
      </c>
      <c r="D220" s="22">
        <f>IF(Notes!$B$2="June",ROUND('Budget by Source'!D220/10,0)+Q220,ROUND('Budget by Source'!D220/10,0))</f>
        <v>32488</v>
      </c>
      <c r="E220" s="22">
        <f>IF(Notes!$B$2="June",ROUND('Budget by Source'!E220/10,0)+R220,ROUND('Budget by Source'!E220/10,0))</f>
        <v>3360</v>
      </c>
      <c r="F220" s="22">
        <f>IF(Notes!$B$2="June",ROUND('Budget by Source'!F220/10,0)+S220,ROUND('Budget by Source'!F220/10,0))</f>
        <v>3495</v>
      </c>
      <c r="G220" s="22">
        <f>IF(Notes!$B$2="June",ROUND('Budget by Source'!G220/10,0)+T220,ROUND('Budget by Source'!G220/10,0))</f>
        <v>16694</v>
      </c>
      <c r="H220" s="22">
        <f t="shared" si="9"/>
        <v>200788</v>
      </c>
      <c r="I220" s="22">
        <f>INDEX(Data[],MATCH($A220,Data[Dist],0),MATCH(I$5,Data[#Headers],0))</f>
        <v>269748</v>
      </c>
      <c r="K220" s="69">
        <f>INDEX('Payment Total'!$A$7:$H$331,MATCH('Payment by Source'!$A220,'Payment Total'!$A$7:$A$331,0),5)-I220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2014666</v>
      </c>
      <c r="V220" s="152">
        <f t="shared" si="10"/>
        <v>201467</v>
      </c>
      <c r="W220" s="152">
        <f t="shared" si="11"/>
        <v>2014670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15584</v>
      </c>
      <c r="D221" s="22">
        <f>IF(Notes!$B$2="June",ROUND('Budget by Source'!D221/10,0)+Q221,ROUND('Budget by Source'!D221/10,0))</f>
        <v>33192</v>
      </c>
      <c r="E221" s="22">
        <f>IF(Notes!$B$2="June",ROUND('Budget by Source'!E221/10,0)+R221,ROUND('Budget by Source'!E221/10,0))</f>
        <v>3371</v>
      </c>
      <c r="F221" s="22">
        <f>IF(Notes!$B$2="June",ROUND('Budget by Source'!F221/10,0)+S221,ROUND('Budget by Source'!F221/10,0))</f>
        <v>3798</v>
      </c>
      <c r="G221" s="22">
        <f>IF(Notes!$B$2="June",ROUND('Budget by Source'!G221/10,0)+T221,ROUND('Budget by Source'!G221/10,0))</f>
        <v>18832</v>
      </c>
      <c r="H221" s="22">
        <f t="shared" si="9"/>
        <v>260303</v>
      </c>
      <c r="I221" s="22">
        <f>INDEX(Data[],MATCH($A221,Data[Dist],0),MATCH(I$5,Data[#Headers],0))</f>
        <v>335080</v>
      </c>
      <c r="K221" s="69">
        <f>INDEX('Payment Total'!$A$7:$H$331,MATCH('Payment by Source'!$A221,'Payment Total'!$A$7:$A$331,0),5)-I221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2610709</v>
      </c>
      <c r="V221" s="152">
        <f t="shared" si="10"/>
        <v>261071</v>
      </c>
      <c r="W221" s="152">
        <f t="shared" si="11"/>
        <v>2610710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44091</v>
      </c>
      <c r="D222" s="22">
        <f>IF(Notes!$B$2="June",ROUND('Budget by Source'!D222/10,0)+Q222,ROUND('Budget by Source'!D222/10,0))</f>
        <v>226173</v>
      </c>
      <c r="E222" s="22">
        <f>IF(Notes!$B$2="June",ROUND('Budget by Source'!E222/10,0)+R222,ROUND('Budget by Source'!E222/10,0))</f>
        <v>24107</v>
      </c>
      <c r="F222" s="22">
        <f>IF(Notes!$B$2="June",ROUND('Budget by Source'!F222/10,0)+S222,ROUND('Budget by Source'!F222/10,0))</f>
        <v>23905</v>
      </c>
      <c r="G222" s="22">
        <f>IF(Notes!$B$2="June",ROUND('Budget by Source'!G222/10,0)+T222,ROUND('Budget by Source'!G222/10,0))</f>
        <v>126233</v>
      </c>
      <c r="H222" s="22">
        <f t="shared" si="9"/>
        <v>2236965</v>
      </c>
      <c r="I222" s="22">
        <f>INDEX(Data[],MATCH($A222,Data[Dist],0),MATCH(I$5,Data[#Headers],0))</f>
        <v>2681474</v>
      </c>
      <c r="K222" s="69">
        <f>INDEX('Payment Total'!$A$7:$H$331,MATCH('Payment by Source'!$A222,'Payment Total'!$A$7:$A$331,0),5)-I222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22421082</v>
      </c>
      <c r="V222" s="152">
        <f t="shared" si="10"/>
        <v>2242108</v>
      </c>
      <c r="W222" s="152">
        <f t="shared" si="11"/>
        <v>22421080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15204</v>
      </c>
      <c r="D223" s="22">
        <f>IF(Notes!$B$2="June",ROUND('Budget by Source'!D223/10,0)+Q223,ROUND('Budget by Source'!D223/10,0))</f>
        <v>47041</v>
      </c>
      <c r="E223" s="22">
        <f>IF(Notes!$B$2="June",ROUND('Budget by Source'!E223/10,0)+R223,ROUND('Budget by Source'!E223/10,0))</f>
        <v>4902</v>
      </c>
      <c r="F223" s="22">
        <f>IF(Notes!$B$2="June",ROUND('Budget by Source'!F223/10,0)+S223,ROUND('Budget by Source'!F223/10,0))</f>
        <v>5121</v>
      </c>
      <c r="G223" s="22">
        <f>IF(Notes!$B$2="June",ROUND('Budget by Source'!G223/10,0)+T223,ROUND('Budget by Source'!G223/10,0))</f>
        <v>26394</v>
      </c>
      <c r="H223" s="22">
        <f t="shared" si="9"/>
        <v>344139</v>
      </c>
      <c r="I223" s="22">
        <f>INDEX(Data[],MATCH($A223,Data[Dist],0),MATCH(I$5,Data[#Headers],0))</f>
        <v>442801</v>
      </c>
      <c r="K223" s="69">
        <f>INDEX('Payment Total'!$A$7:$H$331,MATCH('Payment by Source'!$A223,'Payment Total'!$A$7:$A$331,0),5)-I223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3452148</v>
      </c>
      <c r="V223" s="152">
        <f t="shared" si="10"/>
        <v>345215</v>
      </c>
      <c r="W223" s="152">
        <f t="shared" si="11"/>
        <v>3452150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17864</v>
      </c>
      <c r="D224" s="22">
        <f>IF(Notes!$B$2="June",ROUND('Budget by Source'!D224/10,0)+Q224,ROUND('Budget by Source'!D224/10,0))</f>
        <v>64301</v>
      </c>
      <c r="E224" s="22">
        <f>IF(Notes!$B$2="June",ROUND('Budget by Source'!E224/10,0)+R224,ROUND('Budget by Source'!E224/10,0))</f>
        <v>6983</v>
      </c>
      <c r="F224" s="22">
        <f>IF(Notes!$B$2="June",ROUND('Budget by Source'!F224/10,0)+S224,ROUND('Budget by Source'!F224/10,0))</f>
        <v>7432</v>
      </c>
      <c r="G224" s="22">
        <f>IF(Notes!$B$2="June",ROUND('Budget by Source'!G224/10,0)+T224,ROUND('Budget by Source'!G224/10,0))</f>
        <v>34096</v>
      </c>
      <c r="H224" s="22">
        <f t="shared" si="9"/>
        <v>411201</v>
      </c>
      <c r="I224" s="22">
        <f>INDEX(Data[],MATCH($A224,Data[Dist],0),MATCH(I$5,Data[#Headers],0))</f>
        <v>541877</v>
      </c>
      <c r="K224" s="69">
        <f>INDEX('Payment Total'!$A$7:$H$331,MATCH('Payment by Source'!$A224,'Payment Total'!$A$7:$A$331,0),5)-I224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4125895</v>
      </c>
      <c r="V224" s="152">
        <f t="shared" si="10"/>
        <v>412590</v>
      </c>
      <c r="W224" s="152">
        <f t="shared" si="11"/>
        <v>4125900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14063</v>
      </c>
      <c r="D225" s="22">
        <f>IF(Notes!$B$2="June",ROUND('Budget by Source'!D225/10,0)+Q225,ROUND('Budget by Source'!D225/10,0))</f>
        <v>87930</v>
      </c>
      <c r="E225" s="22">
        <f>IF(Notes!$B$2="June",ROUND('Budget by Source'!E225/10,0)+R225,ROUND('Budget by Source'!E225/10,0))</f>
        <v>10326</v>
      </c>
      <c r="F225" s="22">
        <f>IF(Notes!$B$2="June",ROUND('Budget by Source'!F225/10,0)+S225,ROUND('Budget by Source'!F225/10,0))</f>
        <v>10083</v>
      </c>
      <c r="G225" s="22">
        <f>IF(Notes!$B$2="June",ROUND('Budget by Source'!G225/10,0)+T225,ROUND('Budget by Source'!G225/10,0))</f>
        <v>48867</v>
      </c>
      <c r="H225" s="22">
        <f t="shared" si="9"/>
        <v>926445</v>
      </c>
      <c r="I225" s="22">
        <f>INDEX(Data[],MATCH($A225,Data[Dist],0),MATCH(I$5,Data[#Headers],0))</f>
        <v>1097714</v>
      </c>
      <c r="K225" s="69">
        <f>INDEX('Payment Total'!$A$7:$H$331,MATCH('Payment by Source'!$A225,'Payment Total'!$A$7:$A$331,0),5)-I225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9284356</v>
      </c>
      <c r="V225" s="152">
        <f t="shared" si="10"/>
        <v>928436</v>
      </c>
      <c r="W225" s="152">
        <f t="shared" si="11"/>
        <v>9284360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39977</v>
      </c>
      <c r="E226" s="22">
        <f>IF(Notes!$B$2="June",ROUND('Budget by Source'!E226/10,0)+R226,ROUND('Budget by Source'!E226/10,0))</f>
        <v>4349</v>
      </c>
      <c r="F226" s="22">
        <f>IF(Notes!$B$2="June",ROUND('Budget by Source'!F226/10,0)+S226,ROUND('Budget by Source'!F226/10,0))</f>
        <v>4365</v>
      </c>
      <c r="G226" s="22">
        <f>IF(Notes!$B$2="June",ROUND('Budget by Source'!G226/10,0)+T226,ROUND('Budget by Source'!G226/10,0))</f>
        <v>21736</v>
      </c>
      <c r="H226" s="22">
        <f t="shared" si="9"/>
        <v>244638</v>
      </c>
      <c r="I226" s="22">
        <f>INDEX(Data[],MATCH($A226,Data[Dist],0),MATCH(I$5,Data[#Headers],0))</f>
        <v>331409</v>
      </c>
      <c r="K226" s="69">
        <f>INDEX('Payment Total'!$A$7:$H$331,MATCH('Payment by Source'!$A226,'Payment Total'!$A$7:$A$331,0),5)-I226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2455230</v>
      </c>
      <c r="V226" s="152">
        <f t="shared" si="10"/>
        <v>245523</v>
      </c>
      <c r="W226" s="152">
        <f t="shared" si="11"/>
        <v>2455230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25846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7952</v>
      </c>
      <c r="F227" s="22">
        <f>IF(Notes!$B$2="June",ROUND('Budget by Source'!F227/10,0)+S227,ROUND('Budget by Source'!F227/10,0))</f>
        <v>8073</v>
      </c>
      <c r="G227" s="22">
        <f>IF(Notes!$B$2="June",ROUND('Budget by Source'!G227/10,0)+T227,ROUND('Budget by Source'!G227/10,0))</f>
        <v>39278</v>
      </c>
      <c r="H227" s="22">
        <f t="shared" si="9"/>
        <v>-73903</v>
      </c>
      <c r="I227" s="22">
        <f>INDEX(Data[],MATCH($A227,Data[Dist],0),MATCH(I$5,Data[#Headers],0))</f>
        <v>78192</v>
      </c>
      <c r="K227" s="69">
        <f>INDEX('Payment Total'!$A$7:$H$331,MATCH('Payment by Source'!$A227,'Payment Total'!$A$7:$A$331,0),5)-I227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-723027</v>
      </c>
      <c r="V227" s="152">
        <f t="shared" si="10"/>
        <v>-72303</v>
      </c>
      <c r="W227" s="152">
        <f t="shared" si="11"/>
        <v>-723030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3801</v>
      </c>
      <c r="D228" s="22">
        <f>IF(Notes!$B$2="June",ROUND('Budget by Source'!D228/10,0)+Q228,ROUND('Budget by Source'!D228/10,0))</f>
        <v>17019</v>
      </c>
      <c r="E228" s="22">
        <f>IF(Notes!$B$2="June",ROUND('Budget by Source'!E228/10,0)+R228,ROUND('Budget by Source'!E228/10,0))</f>
        <v>1744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7942</v>
      </c>
      <c r="H228" s="22">
        <f t="shared" si="9"/>
        <v>114050</v>
      </c>
      <c r="I228" s="22">
        <f>INDEX(Data[],MATCH($A228,Data[Dist],0),MATCH(I$5,Data[#Headers],0))</f>
        <v>146324</v>
      </c>
      <c r="K228" s="69">
        <f>INDEX('Payment Total'!$A$7:$H$331,MATCH('Payment by Source'!$A228,'Payment Total'!$A$7:$A$331,0),5)-I228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1143741</v>
      </c>
      <c r="V228" s="152">
        <f t="shared" si="10"/>
        <v>114374</v>
      </c>
      <c r="W228" s="152">
        <f t="shared" si="11"/>
        <v>1143740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1520</v>
      </c>
      <c r="D229" s="22">
        <f>IF(Notes!$B$2="June",ROUND('Budget by Source'!D229/10,0)+Q229,ROUND('Budget by Source'!D229/10,0))</f>
        <v>14294</v>
      </c>
      <c r="E229" s="22">
        <f>IF(Notes!$B$2="June",ROUND('Budget by Source'!E229/10,0)+R229,ROUND('Budget by Source'!E229/10,0))</f>
        <v>1150</v>
      </c>
      <c r="F229" s="22">
        <f>IF(Notes!$B$2="June",ROUND('Budget by Source'!F229/10,0)+S229,ROUND('Budget by Source'!F229/10,0))</f>
        <v>1593</v>
      </c>
      <c r="G229" s="22">
        <f>IF(Notes!$B$2="June",ROUND('Budget by Source'!G229/10,0)+T229,ROUND('Budget by Source'!G229/10,0))</f>
        <v>6564</v>
      </c>
      <c r="H229" s="22">
        <f t="shared" si="9"/>
        <v>55090</v>
      </c>
      <c r="I229" s="22">
        <f>INDEX(Data[],MATCH($A229,Data[Dist],0),MATCH(I$5,Data[#Headers],0))</f>
        <v>80211</v>
      </c>
      <c r="K229" s="69">
        <f>INDEX('Payment Total'!$A$7:$H$331,MATCH('Payment by Source'!$A229,'Payment Total'!$A$7:$A$331,0),5)-I229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553577</v>
      </c>
      <c r="V229" s="152">
        <f t="shared" si="10"/>
        <v>55358</v>
      </c>
      <c r="W229" s="152">
        <f t="shared" si="11"/>
        <v>553580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23946</v>
      </c>
      <c r="D230" s="22">
        <f>IF(Notes!$B$2="June",ROUND('Budget by Source'!D230/10,0)+Q230,ROUND('Budget by Source'!D230/10,0))</f>
        <v>58476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6644</v>
      </c>
      <c r="G230" s="22">
        <f>IF(Notes!$B$2="June",ROUND('Budget by Source'!G230/10,0)+T230,ROUND('Budget by Source'!G230/10,0))</f>
        <v>32899</v>
      </c>
      <c r="H230" s="22">
        <f t="shared" si="9"/>
        <v>460272</v>
      </c>
      <c r="I230" s="22">
        <f>INDEX(Data[],MATCH($A230,Data[Dist],0),MATCH(I$5,Data[#Headers],0))</f>
        <v>588585</v>
      </c>
      <c r="K230" s="69">
        <f>INDEX('Payment Total'!$A$7:$H$331,MATCH('Payment by Source'!$A230,'Payment Total'!$A$7:$A$331,0),5)-I230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4616121</v>
      </c>
      <c r="V230" s="152">
        <f t="shared" si="10"/>
        <v>461612</v>
      </c>
      <c r="W230" s="152">
        <f t="shared" si="11"/>
        <v>4616120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45231</v>
      </c>
      <c r="D231" s="22">
        <f>IF(Notes!$B$2="June",ROUND('Budget by Source'!D231/10,0)+Q231,ROUND('Budget by Source'!D231/10,0))</f>
        <v>144703</v>
      </c>
      <c r="E231" s="22">
        <f>IF(Notes!$B$2="June",ROUND('Budget by Source'!E231/10,0)+R231,ROUND('Budget by Source'!E231/10,0))</f>
        <v>18783</v>
      </c>
      <c r="F231" s="22">
        <f>IF(Notes!$B$2="June",ROUND('Budget by Source'!F231/10,0)+S231,ROUND('Budget by Source'!F231/10,0))</f>
        <v>16921</v>
      </c>
      <c r="G231" s="22">
        <f>IF(Notes!$B$2="June",ROUND('Budget by Source'!G231/10,0)+T231,ROUND('Budget by Source'!G231/10,0))</f>
        <v>83089</v>
      </c>
      <c r="H231" s="22">
        <f t="shared" si="9"/>
        <v>1383536</v>
      </c>
      <c r="I231" s="22">
        <f>INDEX(Data[],MATCH($A231,Data[Dist],0),MATCH(I$5,Data[#Headers],0))</f>
        <v>1692263</v>
      </c>
      <c r="K231" s="69">
        <f>INDEX('Payment Total'!$A$7:$H$331,MATCH('Payment by Source'!$A231,'Payment Total'!$A$7:$A$331,0),5)-I231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13869218</v>
      </c>
      <c r="V231" s="152">
        <f t="shared" si="10"/>
        <v>1386922</v>
      </c>
      <c r="W231" s="152">
        <f t="shared" si="11"/>
        <v>13869220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93503</v>
      </c>
      <c r="D232" s="22">
        <f>IF(Notes!$B$2="June",ROUND('Budget by Source'!D232/10,0)+Q232,ROUND('Budget by Source'!D232/10,0))</f>
        <v>321538</v>
      </c>
      <c r="E232" s="22">
        <f>IF(Notes!$B$2="June",ROUND('Budget by Source'!E232/10,0)+R232,ROUND('Budget by Source'!E232/10,0))</f>
        <v>45518</v>
      </c>
      <c r="F232" s="22">
        <f>IF(Notes!$B$2="June",ROUND('Budget by Source'!F232/10,0)+S232,ROUND('Budget by Source'!F232/10,0))</f>
        <v>36453</v>
      </c>
      <c r="G232" s="22">
        <f>IF(Notes!$B$2="June",ROUND('Budget by Source'!G232/10,0)+T232,ROUND('Budget by Source'!G232/10,0))</f>
        <v>186738</v>
      </c>
      <c r="H232" s="22">
        <f t="shared" si="9"/>
        <v>3786230</v>
      </c>
      <c r="I232" s="22">
        <f>INDEX(Data[],MATCH($A232,Data[Dist],0),MATCH(I$5,Data[#Headers],0))</f>
        <v>4469980</v>
      </c>
      <c r="K232" s="69">
        <f>INDEX('Payment Total'!$A$7:$H$331,MATCH('Payment by Source'!$A232,'Payment Total'!$A$7:$A$331,0),5)-I232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37938386</v>
      </c>
      <c r="V232" s="152">
        <f t="shared" si="10"/>
        <v>3793839</v>
      </c>
      <c r="W232" s="152">
        <f t="shared" si="11"/>
        <v>37938390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12923</v>
      </c>
      <c r="D233" s="22">
        <f>IF(Notes!$B$2="June",ROUND('Budget by Source'!D233/10,0)+Q233,ROUND('Budget by Source'!D233/10,0))</f>
        <v>42733</v>
      </c>
      <c r="E233" s="22">
        <f>IF(Notes!$B$2="June",ROUND('Budget by Source'!E233/10,0)+R233,ROUND('Budget by Source'!E233/10,0))</f>
        <v>4539</v>
      </c>
      <c r="F233" s="22">
        <f>IF(Notes!$B$2="June",ROUND('Budget by Source'!F233/10,0)+S233,ROUND('Budget by Source'!F233/10,0))</f>
        <v>4280</v>
      </c>
      <c r="G233" s="22">
        <f>IF(Notes!$B$2="June",ROUND('Budget by Source'!G233/10,0)+T233,ROUND('Budget by Source'!G233/10,0))</f>
        <v>24567</v>
      </c>
      <c r="H233" s="22">
        <f t="shared" si="9"/>
        <v>264857</v>
      </c>
      <c r="I233" s="22">
        <f>INDEX(Data[],MATCH($A233,Data[Dist],0),MATCH(I$5,Data[#Headers],0))</f>
        <v>353899</v>
      </c>
      <c r="K233" s="69">
        <f>INDEX('Payment Total'!$A$7:$H$331,MATCH('Payment by Source'!$A233,'Payment Total'!$A$7:$A$331,0),5)-I233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2658226</v>
      </c>
      <c r="V233" s="152">
        <f t="shared" si="10"/>
        <v>265823</v>
      </c>
      <c r="W233" s="152">
        <f t="shared" si="11"/>
        <v>2658230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4181</v>
      </c>
      <c r="D234" s="22">
        <f>IF(Notes!$B$2="June",ROUND('Budget by Source'!D234/10,0)+Q234,ROUND('Budget by Source'!D234/10,0))</f>
        <v>12563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1151</v>
      </c>
      <c r="G234" s="22">
        <f>IF(Notes!$B$2="June",ROUND('Budget by Source'!G234/10,0)+T234,ROUND('Budget by Source'!G234/10,0))</f>
        <v>6881</v>
      </c>
      <c r="H234" s="22">
        <f t="shared" si="9"/>
        <v>73998</v>
      </c>
      <c r="I234" s="22">
        <f>INDEX(Data[],MATCH($A234,Data[Dist],0),MATCH(I$5,Data[#Headers],0))</f>
        <v>100288</v>
      </c>
      <c r="K234" s="69">
        <f>INDEX('Payment Total'!$A$7:$H$331,MATCH('Payment by Source'!$A234,'Payment Total'!$A$7:$A$331,0),5)-I234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742782</v>
      </c>
      <c r="V234" s="152">
        <f t="shared" si="10"/>
        <v>74278</v>
      </c>
      <c r="W234" s="152">
        <f t="shared" si="11"/>
        <v>742780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14444</v>
      </c>
      <c r="D235" s="22">
        <f>IF(Notes!$B$2="June",ROUND('Budget by Source'!D235/10,0)+Q235,ROUND('Budget by Source'!D235/10,0))</f>
        <v>37731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4421</v>
      </c>
      <c r="G235" s="22">
        <f>IF(Notes!$B$2="June",ROUND('Budget by Source'!G235/10,0)+T235,ROUND('Budget by Source'!G235/10,0))</f>
        <v>20693</v>
      </c>
      <c r="H235" s="22">
        <f t="shared" si="9"/>
        <v>93864</v>
      </c>
      <c r="I235" s="22">
        <f>INDEX(Data[],MATCH($A235,Data[Dist],0),MATCH(I$5,Data[#Headers],0))</f>
        <v>175033</v>
      </c>
      <c r="K235" s="69">
        <f>INDEX('Payment Total'!$A$7:$H$331,MATCH('Payment by Source'!$A235,'Payment Total'!$A$7:$A$331,0),5)-I235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947075</v>
      </c>
      <c r="V235" s="152">
        <f t="shared" si="10"/>
        <v>94708</v>
      </c>
      <c r="W235" s="152">
        <f t="shared" si="11"/>
        <v>947080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14824</v>
      </c>
      <c r="D236" s="22">
        <f>IF(Notes!$B$2="June",ROUND('Budget by Source'!D236/10,0)+Q236,ROUND('Budget by Source'!D236/10,0))</f>
        <v>36444</v>
      </c>
      <c r="E236" s="22">
        <f>IF(Notes!$B$2="June",ROUND('Budget by Source'!E236/10,0)+R236,ROUND('Budget by Source'!E236/10,0))</f>
        <v>4247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20584</v>
      </c>
      <c r="H236" s="22">
        <f t="shared" si="9"/>
        <v>245883</v>
      </c>
      <c r="I236" s="22">
        <f>INDEX(Data[],MATCH($A236,Data[Dist],0),MATCH(I$5,Data[#Headers],0))</f>
        <v>326081</v>
      </c>
      <c r="K236" s="69">
        <f>INDEX('Payment Total'!$A$7:$H$331,MATCH('Payment by Source'!$A236,'Payment Total'!$A$7:$A$331,0),5)-I236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2467078</v>
      </c>
      <c r="V236" s="152">
        <f t="shared" si="10"/>
        <v>246708</v>
      </c>
      <c r="W236" s="152">
        <f t="shared" si="11"/>
        <v>2467080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44091</v>
      </c>
      <c r="D237" s="22">
        <f>IF(Notes!$B$2="June",ROUND('Budget by Source'!D237/10,0)+Q237,ROUND('Budget by Source'!D237/10,0))</f>
        <v>136484</v>
      </c>
      <c r="E237" s="22">
        <f>IF(Notes!$B$2="June",ROUND('Budget by Source'!E237/10,0)+R237,ROUND('Budget by Source'!E237/10,0))</f>
        <v>15912</v>
      </c>
      <c r="F237" s="22">
        <f>IF(Notes!$B$2="June",ROUND('Budget by Source'!F237/10,0)+S237,ROUND('Budget by Source'!F237/10,0))</f>
        <v>14763</v>
      </c>
      <c r="G237" s="22">
        <f>IF(Notes!$B$2="June",ROUND('Budget by Source'!G237/10,0)+T237,ROUND('Budget by Source'!G237/10,0))</f>
        <v>80329</v>
      </c>
      <c r="H237" s="22">
        <f t="shared" si="9"/>
        <v>1072498</v>
      </c>
      <c r="I237" s="22">
        <f>INDEX(Data[],MATCH($A237,Data[Dist],0),MATCH(I$5,Data[#Headers],0))</f>
        <v>1364077</v>
      </c>
      <c r="K237" s="69">
        <f>INDEX('Payment Total'!$A$7:$H$331,MATCH('Payment by Source'!$A237,'Payment Total'!$A$7:$A$331,0),5)-I237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10757707</v>
      </c>
      <c r="V237" s="152">
        <f t="shared" si="10"/>
        <v>1075771</v>
      </c>
      <c r="W237" s="152">
        <f t="shared" si="11"/>
        <v>10757710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34588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17972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68329</v>
      </c>
      <c r="H238" s="22">
        <f t="shared" si="9"/>
        <v>1325212</v>
      </c>
      <c r="I238" s="22">
        <f>INDEX(Data[],MATCH($A238,Data[Dist],0),MATCH(I$5,Data[#Headers],0))</f>
        <v>1583208</v>
      </c>
      <c r="K238" s="69">
        <f>INDEX('Payment Total'!$A$7:$H$331,MATCH('Payment by Source'!$A238,'Payment Total'!$A$7:$A$331,0),5)-I238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13279947</v>
      </c>
      <c r="V238" s="152">
        <f t="shared" si="10"/>
        <v>1327995</v>
      </c>
      <c r="W238" s="152">
        <f t="shared" si="11"/>
        <v>13279950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85483</v>
      </c>
      <c r="D239" s="22">
        <f>IF(Notes!$B$2="June",ROUND('Budget by Source'!D239/10,0)+Q239,ROUND('Budget by Source'!D239/10,0))</f>
        <v>341832</v>
      </c>
      <c r="E239" s="22">
        <f>IF(Notes!$B$2="June",ROUND('Budget by Source'!E239/10,0)+R239,ROUND('Budget by Source'!E239/10,0))</f>
        <v>36658</v>
      </c>
      <c r="F239" s="22">
        <f>IF(Notes!$B$2="June",ROUND('Budget by Source'!F239/10,0)+S239,ROUND('Budget by Source'!F239/10,0))</f>
        <v>39359</v>
      </c>
      <c r="G239" s="22">
        <f>IF(Notes!$B$2="June",ROUND('Budget by Source'!G239/10,0)+T239,ROUND('Budget by Source'!G239/10,0))</f>
        <v>204785</v>
      </c>
      <c r="H239" s="22">
        <f t="shared" si="9"/>
        <v>2982925</v>
      </c>
      <c r="I239" s="22">
        <f>INDEX(Data[],MATCH($A239,Data[Dist],0),MATCH(I$5,Data[#Headers],0))</f>
        <v>3691042</v>
      </c>
      <c r="K239" s="69">
        <f>INDEX('Payment Total'!$A$7:$H$331,MATCH('Payment by Source'!$A239,'Payment Total'!$A$7:$A$331,0),5)-I239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29912675</v>
      </c>
      <c r="V239" s="152">
        <f t="shared" si="10"/>
        <v>2991268</v>
      </c>
      <c r="W239" s="152">
        <f t="shared" si="11"/>
        <v>29912680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11023</v>
      </c>
      <c r="D240" s="22">
        <f>IF(Notes!$B$2="June",ROUND('Budget by Source'!D240/10,0)+Q240,ROUND('Budget by Source'!D240/10,0))</f>
        <v>46548</v>
      </c>
      <c r="E240" s="22">
        <f>IF(Notes!$B$2="June",ROUND('Budget by Source'!E240/10,0)+R240,ROUND('Budget by Source'!E240/10,0))</f>
        <v>6102</v>
      </c>
      <c r="F240" s="22">
        <f>IF(Notes!$B$2="June",ROUND('Budget by Source'!F240/10,0)+S240,ROUND('Budget by Source'!F240/10,0))</f>
        <v>4939</v>
      </c>
      <c r="G240" s="22">
        <f>IF(Notes!$B$2="June",ROUND('Budget by Source'!G240/10,0)+T240,ROUND('Budget by Source'!G240/10,0))</f>
        <v>26232</v>
      </c>
      <c r="H240" s="22">
        <f t="shared" si="9"/>
        <v>464028</v>
      </c>
      <c r="I240" s="22">
        <f>INDEX(Data[],MATCH($A240,Data[Dist],0),MATCH(I$5,Data[#Headers],0))</f>
        <v>558872</v>
      </c>
      <c r="K240" s="69">
        <f>INDEX('Payment Total'!$A$7:$H$331,MATCH('Payment by Source'!$A240,'Payment Total'!$A$7:$A$331,0),5)-I240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4650964</v>
      </c>
      <c r="V240" s="152">
        <f t="shared" si="10"/>
        <v>465096</v>
      </c>
      <c r="W240" s="152">
        <f t="shared" si="11"/>
        <v>4650960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14444</v>
      </c>
      <c r="D241" s="22">
        <f>IF(Notes!$B$2="June",ROUND('Budget by Source'!D241/10,0)+Q241,ROUND('Budget by Source'!D241/10,0))</f>
        <v>50701</v>
      </c>
      <c r="E241" s="22">
        <f>IF(Notes!$B$2="June",ROUND('Budget by Source'!E241/10,0)+R241,ROUND('Budget by Source'!E241/10,0))</f>
        <v>4817</v>
      </c>
      <c r="F241" s="22">
        <f>IF(Notes!$B$2="June",ROUND('Budget by Source'!F241/10,0)+S241,ROUND('Budget by Source'!F241/10,0))</f>
        <v>6288</v>
      </c>
      <c r="G241" s="22">
        <f>IF(Notes!$B$2="June",ROUND('Budget by Source'!G241/10,0)+T241,ROUND('Budget by Source'!G241/10,0))</f>
        <v>24684</v>
      </c>
      <c r="H241" s="22">
        <f t="shared" si="9"/>
        <v>122191</v>
      </c>
      <c r="I241" s="22">
        <f>INDEX(Data[],MATCH($A241,Data[Dist],0),MATCH(I$5,Data[#Headers],0))</f>
        <v>223125</v>
      </c>
      <c r="K241" s="69">
        <f>INDEX('Payment Total'!$A$7:$H$331,MATCH('Payment by Source'!$A241,'Payment Total'!$A$7:$A$331,0),5)-I241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1439389</v>
      </c>
      <c r="V241" s="152">
        <f t="shared" si="10"/>
        <v>143939</v>
      </c>
      <c r="W241" s="152">
        <f t="shared" si="11"/>
        <v>1439390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10263</v>
      </c>
      <c r="D242" s="22">
        <f>IF(Notes!$B$2="June",ROUND('Budget by Source'!D242/10,0)+Q242,ROUND('Budget by Source'!D242/10,0))</f>
        <v>46691</v>
      </c>
      <c r="E242" s="22">
        <f>IF(Notes!$B$2="June",ROUND('Budget by Source'!E242/10,0)+R242,ROUND('Budget by Source'!E242/10,0))</f>
        <v>7002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25543</v>
      </c>
      <c r="H242" s="22">
        <f t="shared" si="9"/>
        <v>481132</v>
      </c>
      <c r="I242" s="22">
        <f>INDEX(Data[],MATCH($A242,Data[Dist],0),MATCH(I$5,Data[#Headers],0))</f>
        <v>575306</v>
      </c>
      <c r="K242" s="69">
        <f>INDEX('Payment Total'!$A$7:$H$331,MATCH('Payment by Source'!$A242,'Payment Total'!$A$7:$A$331,0),5)-I242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4821721</v>
      </c>
      <c r="V242" s="152">
        <f t="shared" si="10"/>
        <v>482172</v>
      </c>
      <c r="W242" s="152">
        <f t="shared" si="11"/>
        <v>4821720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21285</v>
      </c>
      <c r="D243" s="22">
        <f>IF(Notes!$B$2="June",ROUND('Budget by Source'!D243/10,0)+Q243,ROUND('Budget by Source'!D243/10,0))</f>
        <v>66084</v>
      </c>
      <c r="E243" s="22">
        <f>IF(Notes!$B$2="June",ROUND('Budget by Source'!E243/10,0)+R243,ROUND('Budget by Source'!E243/10,0))</f>
        <v>7386</v>
      </c>
      <c r="F243" s="22">
        <f>IF(Notes!$B$2="June",ROUND('Budget by Source'!F243/10,0)+S243,ROUND('Budget by Source'!F243/10,0))</f>
        <v>7154</v>
      </c>
      <c r="G243" s="22">
        <f>IF(Notes!$B$2="June",ROUND('Budget by Source'!G243/10,0)+T243,ROUND('Budget by Source'!G243/10,0))</f>
        <v>38036</v>
      </c>
      <c r="H243" s="22">
        <f t="shared" si="9"/>
        <v>583958</v>
      </c>
      <c r="I243" s="22">
        <f>INDEX(Data[],MATCH($A243,Data[Dist],0),MATCH(I$5,Data[#Headers],0))</f>
        <v>723903</v>
      </c>
      <c r="K243" s="69">
        <f>INDEX('Payment Total'!$A$7:$H$331,MATCH('Payment by Source'!$A243,'Payment Total'!$A$7:$A$331,0),5)-I243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5855083</v>
      </c>
      <c r="V243" s="152">
        <f t="shared" si="10"/>
        <v>585508</v>
      </c>
      <c r="W243" s="152">
        <f t="shared" si="11"/>
        <v>5855080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26226</v>
      </c>
      <c r="D244" s="22">
        <f>IF(Notes!$B$2="June",ROUND('Budget by Source'!D244/10,0)+Q244,ROUND('Budget by Source'!D244/10,0))</f>
        <v>69678</v>
      </c>
      <c r="E244" s="22">
        <f>IF(Notes!$B$2="June",ROUND('Budget by Source'!E244/10,0)+R244,ROUND('Budget by Source'!E244/10,0))</f>
        <v>9275</v>
      </c>
      <c r="F244" s="22">
        <f>IF(Notes!$B$2="June",ROUND('Budget by Source'!F244/10,0)+S244,ROUND('Budget by Source'!F244/10,0))</f>
        <v>7727</v>
      </c>
      <c r="G244" s="22">
        <f>IF(Notes!$B$2="June",ROUND('Budget by Source'!G244/10,0)+T244,ROUND('Budget by Source'!G244/10,0))</f>
        <v>38396</v>
      </c>
      <c r="H244" s="22">
        <f t="shared" si="9"/>
        <v>521135</v>
      </c>
      <c r="I244" s="22">
        <f>INDEX(Data[],MATCH($A244,Data[Dist],0),MATCH(I$5,Data[#Headers],0))</f>
        <v>672437</v>
      </c>
      <c r="K244" s="69">
        <f>INDEX('Payment Total'!$A$7:$H$331,MATCH('Payment by Source'!$A244,'Payment Total'!$A$7:$A$331,0),5)-I244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5701944</v>
      </c>
      <c r="V244" s="152">
        <f t="shared" si="10"/>
        <v>570194</v>
      </c>
      <c r="W244" s="152">
        <f t="shared" si="11"/>
        <v>5701940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5321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2251</v>
      </c>
      <c r="F245" s="22">
        <f>IF(Notes!$B$2="June",ROUND('Budget by Source'!F245/10,0)+S245,ROUND('Budget by Source'!F245/10,0))</f>
        <v>2367</v>
      </c>
      <c r="G245" s="22">
        <f>IF(Notes!$B$2="June",ROUND('Budget by Source'!G245/10,0)+T245,ROUND('Budget by Source'!G245/10,0))</f>
        <v>12309</v>
      </c>
      <c r="H245" s="22">
        <f t="shared" si="9"/>
        <v>102475</v>
      </c>
      <c r="I245" s="22">
        <f>INDEX(Data[],MATCH($A245,Data[Dist],0),MATCH(I$5,Data[#Headers],0))</f>
        <v>147755</v>
      </c>
      <c r="K245" s="69">
        <f>INDEX('Payment Total'!$A$7:$H$331,MATCH('Payment by Source'!$A245,'Payment Total'!$A$7:$A$331,0),5)-I245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1029759</v>
      </c>
      <c r="V245" s="152">
        <f t="shared" si="10"/>
        <v>102976</v>
      </c>
      <c r="W245" s="152">
        <f t="shared" si="11"/>
        <v>1029760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11403</v>
      </c>
      <c r="D246" s="22">
        <f>IF(Notes!$B$2="June",ROUND('Budget by Source'!D246/10,0)+Q246,ROUND('Budget by Source'!D246/10,0))</f>
        <v>27150</v>
      </c>
      <c r="E246" s="22">
        <f>IF(Notes!$B$2="June",ROUND('Budget by Source'!E246/10,0)+R246,ROUND('Budget by Source'!E246/10,0))</f>
        <v>2455</v>
      </c>
      <c r="F246" s="22">
        <f>IF(Notes!$B$2="June",ROUND('Budget by Source'!F246/10,0)+S246,ROUND('Budget by Source'!F246/10,0))</f>
        <v>3293</v>
      </c>
      <c r="G246" s="22">
        <f>IF(Notes!$B$2="June",ROUND('Budget by Source'!G246/10,0)+T246,ROUND('Budget by Source'!G246/10,0))</f>
        <v>12217</v>
      </c>
      <c r="H246" s="22">
        <f t="shared" si="9"/>
        <v>96429</v>
      </c>
      <c r="I246" s="22">
        <f>INDEX(Data[],MATCH($A246,Data[Dist],0),MATCH(I$5,Data[#Headers],0))</f>
        <v>152947</v>
      </c>
      <c r="K246" s="69">
        <f>INDEX('Payment Total'!$A$7:$H$331,MATCH('Payment by Source'!$A246,'Payment Total'!$A$7:$A$331,0),5)-I246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969273</v>
      </c>
      <c r="V246" s="152">
        <f t="shared" si="10"/>
        <v>96927</v>
      </c>
      <c r="W246" s="152">
        <f t="shared" si="11"/>
        <v>969270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26606</v>
      </c>
      <c r="D247" s="22">
        <f>IF(Notes!$B$2="June",ROUND('Budget by Source'!D247/10,0)+Q247,ROUND('Budget by Source'!D247/10,0))</f>
        <v>56879</v>
      </c>
      <c r="E247" s="22">
        <f>IF(Notes!$B$2="June",ROUND('Budget by Source'!E247/10,0)+R247,ROUND('Budget by Source'!E247/10,0))</f>
        <v>7826</v>
      </c>
      <c r="F247" s="22">
        <f>IF(Notes!$B$2="June",ROUND('Budget by Source'!F247/10,0)+S247,ROUND('Budget by Source'!F247/10,0))</f>
        <v>6070</v>
      </c>
      <c r="G247" s="22">
        <f>IF(Notes!$B$2="June",ROUND('Budget by Source'!G247/10,0)+T247,ROUND('Budget by Source'!G247/10,0))</f>
        <v>31369</v>
      </c>
      <c r="H247" s="22">
        <f t="shared" si="9"/>
        <v>466148</v>
      </c>
      <c r="I247" s="22">
        <f>INDEX(Data[],MATCH($A247,Data[Dist],0),MATCH(I$5,Data[#Headers],0))</f>
        <v>594898</v>
      </c>
      <c r="K247" s="69">
        <f>INDEX('Payment Total'!$A$7:$H$331,MATCH('Payment by Source'!$A247,'Payment Total'!$A$7:$A$331,0),5)-I247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4674251</v>
      </c>
      <c r="V247" s="152">
        <f t="shared" si="10"/>
        <v>467425</v>
      </c>
      <c r="W247" s="152">
        <f t="shared" si="11"/>
        <v>4674250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19765</v>
      </c>
      <c r="D248" s="22">
        <f>IF(Notes!$B$2="June",ROUND('Budget by Source'!D248/10,0)+Q248,ROUND('Budget by Source'!D248/10,0))</f>
        <v>64389</v>
      </c>
      <c r="E248" s="22">
        <f>IF(Notes!$B$2="June",ROUND('Budget by Source'!E248/10,0)+R248,ROUND('Budget by Source'!E248/10,0))</f>
        <v>7426</v>
      </c>
      <c r="F248" s="22">
        <f>IF(Notes!$B$2="June",ROUND('Budget by Source'!F248/10,0)+S248,ROUND('Budget by Source'!F248/10,0))</f>
        <v>7925</v>
      </c>
      <c r="G248" s="22">
        <f>IF(Notes!$B$2="June",ROUND('Budget by Source'!G248/10,0)+T248,ROUND('Budget by Source'!G248/10,0))</f>
        <v>37008</v>
      </c>
      <c r="H248" s="22">
        <f t="shared" si="9"/>
        <v>541257</v>
      </c>
      <c r="I248" s="22">
        <f>INDEX(Data[],MATCH($A248,Data[Dist],0),MATCH(I$5,Data[#Headers],0))</f>
        <v>677770</v>
      </c>
      <c r="K248" s="69">
        <f>INDEX('Payment Total'!$A$7:$H$331,MATCH('Payment by Source'!$A248,'Payment Total'!$A$7:$A$331,0),5)-I248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5427652</v>
      </c>
      <c r="V248" s="152">
        <f t="shared" si="10"/>
        <v>542765</v>
      </c>
      <c r="W248" s="152">
        <f t="shared" si="11"/>
        <v>5427650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28993</v>
      </c>
      <c r="E249" s="22">
        <f>IF(Notes!$B$2="June",ROUND('Budget by Source'!E249/10,0)+R249,ROUND('Budget by Source'!E249/10,0))</f>
        <v>3121</v>
      </c>
      <c r="F249" s="22">
        <f>IF(Notes!$B$2="June",ROUND('Budget by Source'!F249/10,0)+S249,ROUND('Budget by Source'!F249/10,0))</f>
        <v>3274</v>
      </c>
      <c r="G249" s="22">
        <f>IF(Notes!$B$2="June",ROUND('Budget by Source'!G249/10,0)+T249,ROUND('Budget by Source'!G249/10,0))</f>
        <v>15699</v>
      </c>
      <c r="H249" s="22">
        <f t="shared" si="9"/>
        <v>208230</v>
      </c>
      <c r="I249" s="22">
        <f>INDEX(Data[],MATCH($A249,Data[Dist],0),MATCH(I$5,Data[#Headers],0))</f>
        <v>267679</v>
      </c>
      <c r="K249" s="69">
        <f>INDEX('Payment Total'!$A$7:$H$331,MATCH('Payment by Source'!$A249,'Payment Total'!$A$7:$A$331,0),5)-I249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2088692</v>
      </c>
      <c r="V249" s="152">
        <f t="shared" si="10"/>
        <v>208869</v>
      </c>
      <c r="W249" s="152">
        <f t="shared" si="11"/>
        <v>2088690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3801</v>
      </c>
      <c r="D250" s="22">
        <f>IF(Notes!$B$2="June",ROUND('Budget by Source'!D250/10,0)+Q250,ROUND('Budget by Source'!D250/10,0))</f>
        <v>14004</v>
      </c>
      <c r="E250" s="22">
        <f>IF(Notes!$B$2="June",ROUND('Budget by Source'!E250/10,0)+R250,ROUND('Budget by Source'!E250/10,0))</f>
        <v>1678</v>
      </c>
      <c r="F250" s="22">
        <f>IF(Notes!$B$2="June",ROUND('Budget by Source'!F250/10,0)+S250,ROUND('Budget by Source'!F250/10,0))</f>
        <v>1540</v>
      </c>
      <c r="G250" s="22">
        <f>IF(Notes!$B$2="June",ROUND('Budget by Source'!G250/10,0)+T250,ROUND('Budget by Source'!G250/10,0))</f>
        <v>7156</v>
      </c>
      <c r="H250" s="22">
        <f t="shared" si="9"/>
        <v>97626</v>
      </c>
      <c r="I250" s="22">
        <f>INDEX(Data[],MATCH($A250,Data[Dist],0),MATCH(I$5,Data[#Headers],0))</f>
        <v>125805</v>
      </c>
      <c r="K250" s="69">
        <f>INDEX('Payment Total'!$A$7:$H$331,MATCH('Payment by Source'!$A250,'Payment Total'!$A$7:$A$331,0),5)-I250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979151</v>
      </c>
      <c r="V250" s="152">
        <f t="shared" si="10"/>
        <v>97915</v>
      </c>
      <c r="W250" s="152">
        <f t="shared" si="11"/>
        <v>979150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11783</v>
      </c>
      <c r="D251" s="22">
        <f>IF(Notes!$B$2="June",ROUND('Budget by Source'!D251/10,0)+Q251,ROUND('Budget by Source'!D251/10,0))</f>
        <v>36742</v>
      </c>
      <c r="E251" s="22">
        <f>IF(Notes!$B$2="June",ROUND('Budget by Source'!E251/10,0)+R251,ROUND('Budget by Source'!E251/10,0))</f>
        <v>4144</v>
      </c>
      <c r="F251" s="22">
        <f>IF(Notes!$B$2="June",ROUND('Budget by Source'!F251/10,0)+S251,ROUND('Budget by Source'!F251/10,0))</f>
        <v>4292</v>
      </c>
      <c r="G251" s="22">
        <f>IF(Notes!$B$2="June",ROUND('Budget by Source'!G251/10,0)+T251,ROUND('Budget by Source'!G251/10,0))</f>
        <v>21032</v>
      </c>
      <c r="H251" s="22">
        <f t="shared" si="9"/>
        <v>238967</v>
      </c>
      <c r="I251" s="22">
        <f>INDEX(Data[],MATCH($A251,Data[Dist],0),MATCH(I$5,Data[#Headers],0))</f>
        <v>316960</v>
      </c>
      <c r="K251" s="69">
        <f>INDEX('Payment Total'!$A$7:$H$331,MATCH('Payment by Source'!$A251,'Payment Total'!$A$7:$A$331,0),5)-I251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2398236</v>
      </c>
      <c r="V251" s="152">
        <f t="shared" si="10"/>
        <v>239824</v>
      </c>
      <c r="W251" s="152">
        <f t="shared" si="11"/>
        <v>2398240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17864</v>
      </c>
      <c r="D252" s="22">
        <f>IF(Notes!$B$2="June",ROUND('Budget by Source'!D252/10,0)+Q252,ROUND('Budget by Source'!D252/10,0))</f>
        <v>74427</v>
      </c>
      <c r="E252" s="22">
        <f>IF(Notes!$B$2="June",ROUND('Budget by Source'!E252/10,0)+R252,ROUND('Budget by Source'!E252/10,0))</f>
        <v>9521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39322</v>
      </c>
      <c r="H252" s="22">
        <f t="shared" si="9"/>
        <v>160204</v>
      </c>
      <c r="I252" s="22">
        <f>INDEX(Data[],MATCH($A252,Data[Dist],0),MATCH(I$5,Data[#Headers],0))</f>
        <v>309364</v>
      </c>
      <c r="K252" s="69">
        <f>INDEX('Payment Total'!$A$7:$H$331,MATCH('Payment by Source'!$A252,'Payment Total'!$A$7:$A$331,0),5)-I252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1618061</v>
      </c>
      <c r="V252" s="152">
        <f t="shared" si="10"/>
        <v>161806</v>
      </c>
      <c r="W252" s="152">
        <f t="shared" si="11"/>
        <v>1618060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6462</v>
      </c>
      <c r="D253" s="22">
        <f>IF(Notes!$B$2="June",ROUND('Budget by Source'!D253/10,0)+Q253,ROUND('Budget by Source'!D253/10,0))</f>
        <v>25110</v>
      </c>
      <c r="E253" s="22">
        <f>IF(Notes!$B$2="June",ROUND('Budget by Source'!E253/10,0)+R253,ROUND('Budget by Source'!E253/10,0))</f>
        <v>2505</v>
      </c>
      <c r="F253" s="22">
        <f>IF(Notes!$B$2="June",ROUND('Budget by Source'!F253/10,0)+S253,ROUND('Budget by Source'!F253/10,0))</f>
        <v>2828</v>
      </c>
      <c r="G253" s="22">
        <f>IF(Notes!$B$2="June",ROUND('Budget by Source'!G253/10,0)+T253,ROUND('Budget by Source'!G253/10,0))</f>
        <v>13310</v>
      </c>
      <c r="H253" s="22">
        <f t="shared" si="9"/>
        <v>143050</v>
      </c>
      <c r="I253" s="22">
        <f>INDEX(Data[],MATCH($A253,Data[Dist],0),MATCH(I$5,Data[#Headers],0))</f>
        <v>193265</v>
      </c>
      <c r="K253" s="69">
        <f>INDEX('Payment Total'!$A$7:$H$331,MATCH('Payment by Source'!$A253,'Payment Total'!$A$7:$A$331,0),5)-I253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1435838</v>
      </c>
      <c r="V253" s="152">
        <f t="shared" si="10"/>
        <v>143584</v>
      </c>
      <c r="W253" s="152">
        <f t="shared" si="11"/>
        <v>1435840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4941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1540</v>
      </c>
      <c r="F254" s="22">
        <f>IF(Notes!$B$2="June",ROUND('Budget by Source'!F254/10,0)+S254,ROUND('Budget by Source'!F254/10,0))</f>
        <v>1169</v>
      </c>
      <c r="G254" s="22">
        <f>IF(Notes!$B$2="June",ROUND('Budget by Source'!G254/10,0)+T254,ROUND('Budget by Source'!G254/10,0))</f>
        <v>8086</v>
      </c>
      <c r="H254" s="22">
        <f t="shared" si="9"/>
        <v>67062</v>
      </c>
      <c r="I254" s="22">
        <f>INDEX(Data[],MATCH($A254,Data[Dist],0),MATCH(I$5,Data[#Headers],0))</f>
        <v>95642</v>
      </c>
      <c r="K254" s="69">
        <f>INDEX('Payment Total'!$A$7:$H$331,MATCH('Payment by Source'!$A254,'Payment Total'!$A$7:$A$331,0),5)-I254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673855</v>
      </c>
      <c r="V254" s="152">
        <f t="shared" si="10"/>
        <v>67386</v>
      </c>
      <c r="W254" s="152">
        <f t="shared" si="11"/>
        <v>673860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94325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11335</v>
      </c>
      <c r="G255" s="22">
        <f>IF(Notes!$B$2="June",ROUND('Budget by Source'!G255/10,0)+T255,ROUND('Budget by Source'!G255/10,0))</f>
        <v>52464</v>
      </c>
      <c r="H255" s="22">
        <f t="shared" si="9"/>
        <v>648825</v>
      </c>
      <c r="I255" s="22">
        <f>INDEX(Data[],MATCH($A255,Data[Dist],0),MATCH(I$5,Data[#Headers],0))</f>
        <v>842826</v>
      </c>
      <c r="K255" s="69">
        <f>INDEX('Payment Total'!$A$7:$H$331,MATCH('Payment by Source'!$A255,'Payment Total'!$A$7:$A$331,0),5)-I255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6509621</v>
      </c>
      <c r="V255" s="152">
        <f t="shared" si="10"/>
        <v>650962</v>
      </c>
      <c r="W255" s="152">
        <f t="shared" si="11"/>
        <v>6509620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4941</v>
      </c>
      <c r="D256" s="22">
        <f>IF(Notes!$B$2="June",ROUND('Budget by Source'!D256/10,0)+Q256,ROUND('Budget by Source'!D256/10,0))</f>
        <v>19633</v>
      </c>
      <c r="E256" s="22">
        <f>IF(Notes!$B$2="June",ROUND('Budget by Source'!E256/10,0)+R256,ROUND('Budget by Source'!E256/10,0))</f>
        <v>2227</v>
      </c>
      <c r="F256" s="22">
        <f>IF(Notes!$B$2="June",ROUND('Budget by Source'!F256/10,0)+S256,ROUND('Budget by Source'!F256/10,0))</f>
        <v>2168</v>
      </c>
      <c r="G256" s="22">
        <f>IF(Notes!$B$2="June",ROUND('Budget by Source'!G256/10,0)+T256,ROUND('Budget by Source'!G256/10,0))</f>
        <v>9110</v>
      </c>
      <c r="H256" s="22">
        <f t="shared" si="9"/>
        <v>110194</v>
      </c>
      <c r="I256" s="22">
        <f>INDEX(Data[],MATCH($A256,Data[Dist],0),MATCH(I$5,Data[#Headers],0))</f>
        <v>148273</v>
      </c>
      <c r="K256" s="69">
        <f>INDEX('Payment Total'!$A$7:$H$331,MATCH('Payment by Source'!$A256,'Payment Total'!$A$7:$A$331,0),5)-I256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1111152</v>
      </c>
      <c r="V256" s="152">
        <f t="shared" si="10"/>
        <v>111115</v>
      </c>
      <c r="W256" s="152">
        <f t="shared" si="11"/>
        <v>1111150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15213</v>
      </c>
      <c r="D257" s="22">
        <f>IF(Notes!$B$2="June",ROUND('Budget by Source'!D257/10,0)+Q257,ROUND('Budget by Source'!D257/10,0))</f>
        <v>54657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6262</v>
      </c>
      <c r="G257" s="22">
        <f>IF(Notes!$B$2="June",ROUND('Budget by Source'!G257/10,0)+T257,ROUND('Budget by Source'!G257/10,0))</f>
        <v>28148</v>
      </c>
      <c r="H257" s="22">
        <f t="shared" si="9"/>
        <v>353183</v>
      </c>
      <c r="I257" s="22">
        <f>INDEX(Data[],MATCH($A257,Data[Dist],0),MATCH(I$5,Data[#Headers],0))</f>
        <v>462705</v>
      </c>
      <c r="K257" s="69">
        <f>INDEX('Payment Total'!$A$7:$H$331,MATCH('Payment by Source'!$A257,'Payment Total'!$A$7:$A$331,0),5)-I257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3543286</v>
      </c>
      <c r="V257" s="152">
        <f t="shared" si="10"/>
        <v>354329</v>
      </c>
      <c r="W257" s="152">
        <f t="shared" si="11"/>
        <v>3543290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31548</v>
      </c>
      <c r="D258" s="22">
        <f>IF(Notes!$B$2="June",ROUND('Budget by Source'!D258/10,0)+Q258,ROUND('Budget by Source'!D258/10,0))</f>
        <v>69943</v>
      </c>
      <c r="E258" s="22">
        <f>IF(Notes!$B$2="June",ROUND('Budget by Source'!E258/10,0)+R258,ROUND('Budget by Source'!E258/10,0))</f>
        <v>8664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40634</v>
      </c>
      <c r="H258" s="22">
        <f t="shared" si="9"/>
        <v>629381</v>
      </c>
      <c r="I258" s="22">
        <f>INDEX(Data[],MATCH($A258,Data[Dist],0),MATCH(I$5,Data[#Headers],0))</f>
        <v>787628</v>
      </c>
      <c r="K258" s="69">
        <f>INDEX('Payment Total'!$A$7:$H$331,MATCH('Payment by Source'!$A258,'Payment Total'!$A$7:$A$331,0),5)-I258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6310362</v>
      </c>
      <c r="V258" s="152">
        <f t="shared" si="10"/>
        <v>631036</v>
      </c>
      <c r="W258" s="152">
        <f t="shared" si="11"/>
        <v>6310360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13303</v>
      </c>
      <c r="D259" s="22">
        <f>IF(Notes!$B$2="June",ROUND('Budget by Source'!D259/10,0)+Q259,ROUND('Budget by Source'!D259/10,0))</f>
        <v>72051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7835</v>
      </c>
      <c r="G259" s="22">
        <f>IF(Notes!$B$2="June",ROUND('Budget by Source'!G259/10,0)+T259,ROUND('Budget by Source'!G259/10,0))</f>
        <v>38707</v>
      </c>
      <c r="H259" s="22">
        <f t="shared" si="9"/>
        <v>564644</v>
      </c>
      <c r="I259" s="22">
        <f>INDEX(Data[],MATCH($A259,Data[Dist],0),MATCH(I$5,Data[#Headers],0))</f>
        <v>705664</v>
      </c>
      <c r="K259" s="69">
        <f>INDEX('Payment Total'!$A$7:$H$331,MATCH('Payment by Source'!$A259,'Payment Total'!$A$7:$A$331,0),5)-I259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5662205</v>
      </c>
      <c r="V259" s="152">
        <f t="shared" si="10"/>
        <v>566221</v>
      </c>
      <c r="W259" s="152">
        <f t="shared" si="11"/>
        <v>5662210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15584</v>
      </c>
      <c r="D260" s="22">
        <f>IF(Notes!$B$2="June",ROUND('Budget by Source'!D260/10,0)+Q260,ROUND('Budget by Source'!D260/10,0))</f>
        <v>47094</v>
      </c>
      <c r="E260" s="22">
        <f>IF(Notes!$B$2="June",ROUND('Budget by Source'!E260/10,0)+R260,ROUND('Budget by Source'!E260/10,0))</f>
        <v>5526</v>
      </c>
      <c r="F260" s="22">
        <f>IF(Notes!$B$2="June",ROUND('Budget by Source'!F260/10,0)+S260,ROUND('Budget by Source'!F260/10,0))</f>
        <v>4848</v>
      </c>
      <c r="G260" s="22">
        <f>IF(Notes!$B$2="June",ROUND('Budget by Source'!G260/10,0)+T260,ROUND('Budget by Source'!G260/10,0))</f>
        <v>25404</v>
      </c>
      <c r="H260" s="22">
        <f t="shared" si="9"/>
        <v>344051</v>
      </c>
      <c r="I260" s="22">
        <f>INDEX(Data[],MATCH($A260,Data[Dist],0),MATCH(I$5,Data[#Headers],0))</f>
        <v>442507</v>
      </c>
      <c r="K260" s="69">
        <f>INDEX('Payment Total'!$A$7:$H$331,MATCH('Payment by Source'!$A260,'Payment Total'!$A$7:$A$331,0),5)-I260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3450863</v>
      </c>
      <c r="V260" s="152">
        <f t="shared" si="10"/>
        <v>345086</v>
      </c>
      <c r="W260" s="152">
        <f t="shared" si="11"/>
        <v>3450860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9122</v>
      </c>
      <c r="D261" s="22">
        <f>IF(Notes!$B$2="June",ROUND('Budget by Source'!D261/10,0)+Q261,ROUND('Budget by Source'!D261/10,0))</f>
        <v>28018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14225</v>
      </c>
      <c r="H261" s="22">
        <f t="shared" si="9"/>
        <v>214282</v>
      </c>
      <c r="I261" s="22">
        <f>INDEX(Data[],MATCH($A261,Data[Dist],0),MATCH(I$5,Data[#Headers],0))</f>
        <v>271801</v>
      </c>
      <c r="K261" s="69">
        <f>INDEX('Payment Total'!$A$7:$H$331,MATCH('Payment by Source'!$A261,'Payment Total'!$A$7:$A$331,0),5)-I261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2148607</v>
      </c>
      <c r="V261" s="152">
        <f t="shared" si="10"/>
        <v>214861</v>
      </c>
      <c r="W261" s="152">
        <f t="shared" si="11"/>
        <v>2148610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11783</v>
      </c>
      <c r="D262" s="22">
        <f>IF(Notes!$B$2="June",ROUND('Budget by Source'!D262/10,0)+Q262,ROUND('Budget by Source'!D262/10,0))</f>
        <v>38526</v>
      </c>
      <c r="E262" s="22">
        <f>IF(Notes!$B$2="June",ROUND('Budget by Source'!E262/10,0)+R262,ROUND('Budget by Source'!E262/10,0))</f>
        <v>4248</v>
      </c>
      <c r="F262" s="22">
        <f>IF(Notes!$B$2="June",ROUND('Budget by Source'!F262/10,0)+S262,ROUND('Budget by Source'!F262/10,0))</f>
        <v>4065</v>
      </c>
      <c r="G262" s="22">
        <f>IF(Notes!$B$2="June",ROUND('Budget by Source'!G262/10,0)+T262,ROUND('Budget by Source'!G262/10,0))</f>
        <v>20354</v>
      </c>
      <c r="H262" s="22">
        <f t="shared" si="9"/>
        <v>319319</v>
      </c>
      <c r="I262" s="22">
        <f>INDEX(Data[],MATCH($A262,Data[Dist],0),MATCH(I$5,Data[#Headers],0))</f>
        <v>398295</v>
      </c>
      <c r="K262" s="69">
        <f>INDEX('Payment Total'!$A$7:$H$331,MATCH('Payment by Source'!$A262,'Payment Total'!$A$7:$A$331,0),5)-I262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3201483</v>
      </c>
      <c r="V262" s="152">
        <f t="shared" si="10"/>
        <v>320148</v>
      </c>
      <c r="W262" s="152">
        <f t="shared" si="11"/>
        <v>3201480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51312</v>
      </c>
      <c r="D263" s="22">
        <f>IF(Notes!$B$2="June",ROUND('Budget by Source'!D263/10,0)+Q263,ROUND('Budget by Source'!D263/10,0))</f>
        <v>99053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12569</v>
      </c>
      <c r="G263" s="22">
        <f>IF(Notes!$B$2="June",ROUND('Budget by Source'!G263/10,0)+T263,ROUND('Budget by Source'!G263/10,0))</f>
        <v>55294</v>
      </c>
      <c r="H263" s="22">
        <f t="shared" ref="H263:H326" si="12">I263-SUM(C263:G263)</f>
        <v>870956</v>
      </c>
      <c r="I263" s="22">
        <f>INDEX(Data[],MATCH($A263,Data[Dist],0),MATCH(I$5,Data[#Headers],0))</f>
        <v>1102446</v>
      </c>
      <c r="K263" s="69">
        <f>INDEX('Payment Total'!$A$7:$H$331,MATCH('Payment by Source'!$A263,'Payment Total'!$A$7:$A$331,0),5)-I263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8732076</v>
      </c>
      <c r="V263" s="152">
        <f t="shared" ref="V263:V326" si="13">ROUND(U263/10,0)</f>
        <v>873208</v>
      </c>
      <c r="W263" s="152">
        <f t="shared" ref="W263:W326" si="14">V263*10</f>
        <v>8732080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231096</v>
      </c>
      <c r="D264" s="22">
        <f>IF(Notes!$B$2="June",ROUND('Budget by Source'!D264/10,0)+Q264,ROUND('Budget by Source'!D264/10,0))</f>
        <v>946834</v>
      </c>
      <c r="E264" s="22">
        <f>IF(Notes!$B$2="June",ROUND('Budget by Source'!E264/10,0)+R264,ROUND('Budget by Source'!E264/10,0))</f>
        <v>138512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546880</v>
      </c>
      <c r="H264" s="22">
        <f t="shared" si="12"/>
        <v>10953556</v>
      </c>
      <c r="I264" s="22">
        <f>INDEX(Data[],MATCH($A264,Data[Dist],0),MATCH(I$5,Data[#Headers],0))</f>
        <v>12929124</v>
      </c>
      <c r="K264" s="69">
        <f>INDEX('Payment Total'!$A$7:$H$331,MATCH('Payment by Source'!$A264,'Payment Total'!$A$7:$A$331,0),5)-I264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109758334</v>
      </c>
      <c r="V264" s="152">
        <f t="shared" si="13"/>
        <v>10975833</v>
      </c>
      <c r="W264" s="152">
        <f t="shared" si="14"/>
        <v>109758330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12923</v>
      </c>
      <c r="D265" s="22">
        <f>IF(Notes!$B$2="June",ROUND('Budget by Source'!D265/10,0)+Q265,ROUND('Budget by Source'!D265/10,0))</f>
        <v>34204</v>
      </c>
      <c r="E265" s="22">
        <f>IF(Notes!$B$2="June",ROUND('Budget by Source'!E265/10,0)+R265,ROUND('Budget by Source'!E265/10,0))</f>
        <v>3625</v>
      </c>
      <c r="F265" s="22">
        <f>IF(Notes!$B$2="June",ROUND('Budget by Source'!F265/10,0)+S265,ROUND('Budget by Source'!F265/10,0))</f>
        <v>3914</v>
      </c>
      <c r="G265" s="22">
        <f>IF(Notes!$B$2="June",ROUND('Budget by Source'!G265/10,0)+T265,ROUND('Budget by Source'!G265/10,0))</f>
        <v>16263</v>
      </c>
      <c r="H265" s="22">
        <f t="shared" si="12"/>
        <v>198244</v>
      </c>
      <c r="I265" s="22">
        <f>INDEX(Data[],MATCH($A265,Data[Dist],0),MATCH(I$5,Data[#Headers],0))</f>
        <v>269173</v>
      </c>
      <c r="K265" s="69">
        <f>INDEX('Payment Total'!$A$7:$H$331,MATCH('Payment by Source'!$A265,'Payment Total'!$A$7:$A$331,0),5)-I265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1989064</v>
      </c>
      <c r="V265" s="152">
        <f t="shared" si="13"/>
        <v>198906</v>
      </c>
      <c r="W265" s="152">
        <f t="shared" si="14"/>
        <v>1989060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19385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7302</v>
      </c>
      <c r="F266" s="22">
        <f>IF(Notes!$B$2="June",ROUND('Budget by Source'!F266/10,0)+S266,ROUND('Budget by Source'!F266/10,0))</f>
        <v>6891</v>
      </c>
      <c r="G266" s="22">
        <f>IF(Notes!$B$2="June",ROUND('Budget by Source'!G266/10,0)+T266,ROUND('Budget by Source'!G266/10,0))</f>
        <v>34218</v>
      </c>
      <c r="H266" s="22">
        <f t="shared" si="12"/>
        <v>387547</v>
      </c>
      <c r="I266" s="22">
        <f>INDEX(Data[],MATCH($A266,Data[Dist],0),MATCH(I$5,Data[#Headers],0))</f>
        <v>522065</v>
      </c>
      <c r="K266" s="69">
        <f>INDEX('Payment Total'!$A$7:$H$331,MATCH('Payment by Source'!$A266,'Payment Total'!$A$7:$A$331,0),5)-I266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3889405</v>
      </c>
      <c r="V266" s="152">
        <f t="shared" si="13"/>
        <v>388941</v>
      </c>
      <c r="W266" s="152">
        <f t="shared" si="14"/>
        <v>3889410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23566</v>
      </c>
      <c r="D267" s="22">
        <f>IF(Notes!$B$2="June",ROUND('Budget by Source'!D267/10,0)+Q267,ROUND('Budget by Source'!D267/10,0))</f>
        <v>91364</v>
      </c>
      <c r="E267" s="22">
        <f>IF(Notes!$B$2="June",ROUND('Budget by Source'!E267/10,0)+R267,ROUND('Budget by Source'!E267/10,0))</f>
        <v>8939</v>
      </c>
      <c r="F267" s="22">
        <f>IF(Notes!$B$2="June",ROUND('Budget by Source'!F267/10,0)+S267,ROUND('Budget by Source'!F267/10,0))</f>
        <v>9558</v>
      </c>
      <c r="G267" s="22">
        <f>IF(Notes!$B$2="June",ROUND('Budget by Source'!G267/10,0)+T267,ROUND('Budget by Source'!G267/10,0))</f>
        <v>53485</v>
      </c>
      <c r="H267" s="22">
        <f t="shared" si="12"/>
        <v>749890</v>
      </c>
      <c r="I267" s="22">
        <f>INDEX(Data[],MATCH($A267,Data[Dist],0),MATCH(I$5,Data[#Headers],0))</f>
        <v>936802</v>
      </c>
      <c r="K267" s="69">
        <f>INDEX('Payment Total'!$A$7:$H$331,MATCH('Payment by Source'!$A267,'Payment Total'!$A$7:$A$331,0),5)-I267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7520696</v>
      </c>
      <c r="V267" s="152">
        <f t="shared" si="13"/>
        <v>752070</v>
      </c>
      <c r="W267" s="152">
        <f t="shared" si="14"/>
        <v>7520700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34406</v>
      </c>
      <c r="E268" s="22">
        <f>IF(Notes!$B$2="June",ROUND('Budget by Source'!E268/10,0)+R268,ROUND('Budget by Source'!E268/10,0))</f>
        <v>3563</v>
      </c>
      <c r="F268" s="22">
        <f>IF(Notes!$B$2="June",ROUND('Budget by Source'!F268/10,0)+S268,ROUND('Budget by Source'!F268/10,0))</f>
        <v>3656</v>
      </c>
      <c r="G268" s="22">
        <f>IF(Notes!$B$2="June",ROUND('Budget by Source'!G268/10,0)+T268,ROUND('Budget by Source'!G268/10,0))</f>
        <v>19017</v>
      </c>
      <c r="H268" s="22">
        <f t="shared" si="12"/>
        <v>306349</v>
      </c>
      <c r="I268" s="22">
        <f>INDEX(Data[],MATCH($A268,Data[Dist],0),MATCH(I$5,Data[#Headers],0))</f>
        <v>374973</v>
      </c>
      <c r="K268" s="69">
        <f>INDEX('Payment Total'!$A$7:$H$331,MATCH('Payment by Source'!$A268,'Payment Total'!$A$7:$A$331,0),5)-I268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3071089</v>
      </c>
      <c r="V268" s="152">
        <f t="shared" si="13"/>
        <v>307109</v>
      </c>
      <c r="W268" s="152">
        <f t="shared" si="14"/>
        <v>3071090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13303</v>
      </c>
      <c r="D269" s="22">
        <f>IF(Notes!$B$2="June",ROUND('Budget by Source'!D269/10,0)+Q269,ROUND('Budget by Source'!D269/10,0))</f>
        <v>45111</v>
      </c>
      <c r="E269" s="22">
        <f>IF(Notes!$B$2="June",ROUND('Budget by Source'!E269/10,0)+R269,ROUND('Budget by Source'!E269/10,0))</f>
        <v>5128</v>
      </c>
      <c r="F269" s="22">
        <f>IF(Notes!$B$2="June",ROUND('Budget by Source'!F269/10,0)+S269,ROUND('Budget by Source'!F269/10,0))</f>
        <v>5311</v>
      </c>
      <c r="G269" s="22">
        <f>IF(Notes!$B$2="June",ROUND('Budget by Source'!G269/10,0)+T269,ROUND('Budget by Source'!G269/10,0))</f>
        <v>23096</v>
      </c>
      <c r="H269" s="22">
        <f t="shared" si="12"/>
        <v>271346</v>
      </c>
      <c r="I269" s="22">
        <f>INDEX(Data[],MATCH($A269,Data[Dist],0),MATCH(I$5,Data[#Headers],0))</f>
        <v>363295</v>
      </c>
      <c r="K269" s="69">
        <f>INDEX('Payment Total'!$A$7:$H$331,MATCH('Payment by Source'!$A269,'Payment Total'!$A$7:$A$331,0),5)-I269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2722879</v>
      </c>
      <c r="V269" s="152">
        <f t="shared" si="13"/>
        <v>272288</v>
      </c>
      <c r="W269" s="152">
        <f t="shared" si="14"/>
        <v>2722880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18244</v>
      </c>
      <c r="D270" s="22">
        <f>IF(Notes!$B$2="June",ROUND('Budget by Source'!D270/10,0)+Q270,ROUND('Budget by Source'!D270/10,0))</f>
        <v>78326</v>
      </c>
      <c r="E270" s="22">
        <f>IF(Notes!$B$2="June",ROUND('Budget by Source'!E270/10,0)+R270,ROUND('Budget by Source'!E270/10,0))</f>
        <v>8939</v>
      </c>
      <c r="F270" s="22">
        <f>IF(Notes!$B$2="June",ROUND('Budget by Source'!F270/10,0)+S270,ROUND('Budget by Source'!F270/10,0))</f>
        <v>9224</v>
      </c>
      <c r="G270" s="22">
        <f>IF(Notes!$B$2="June",ROUND('Budget by Source'!G270/10,0)+T270,ROUND('Budget by Source'!G270/10,0))</f>
        <v>40306</v>
      </c>
      <c r="H270" s="22">
        <f t="shared" si="12"/>
        <v>541917</v>
      </c>
      <c r="I270" s="22">
        <f>INDEX(Data[],MATCH($A270,Data[Dist],0),MATCH(I$5,Data[#Headers],0))</f>
        <v>696956</v>
      </c>
      <c r="K270" s="69">
        <f>INDEX('Payment Total'!$A$7:$H$331,MATCH('Payment by Source'!$A270,'Payment Total'!$A$7:$A$331,0),5)-I270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5435572</v>
      </c>
      <c r="V270" s="152">
        <f t="shared" si="13"/>
        <v>543557</v>
      </c>
      <c r="W270" s="152">
        <f t="shared" si="14"/>
        <v>5435570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760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1277</v>
      </c>
      <c r="F271" s="22">
        <f>IF(Notes!$B$2="June",ROUND('Budget by Source'!F271/10,0)+S271,ROUND('Budget by Source'!F271/10,0))</f>
        <v>1509</v>
      </c>
      <c r="G271" s="22">
        <f>IF(Notes!$B$2="June",ROUND('Budget by Source'!G271/10,0)+T271,ROUND('Budget by Source'!G271/10,0))</f>
        <v>7267</v>
      </c>
      <c r="H271" s="22">
        <f t="shared" si="12"/>
        <v>96652</v>
      </c>
      <c r="I271" s="22">
        <f>INDEX(Data[],MATCH($A271,Data[Dist],0),MATCH(I$5,Data[#Headers],0))</f>
        <v>122314</v>
      </c>
      <c r="K271" s="69">
        <f>INDEX('Payment Total'!$A$7:$H$331,MATCH('Payment by Source'!$A271,'Payment Total'!$A$7:$A$331,0),5)-I271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969427</v>
      </c>
      <c r="V271" s="152">
        <f t="shared" si="13"/>
        <v>96943</v>
      </c>
      <c r="W271" s="152">
        <f t="shared" si="14"/>
        <v>969430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26226</v>
      </c>
      <c r="D272" s="22">
        <f>IF(Notes!$B$2="June",ROUND('Budget by Source'!D272/10,0)+Q272,ROUND('Budget by Source'!D272/10,0))</f>
        <v>97490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10253</v>
      </c>
      <c r="G272" s="22">
        <f>IF(Notes!$B$2="June",ROUND('Budget by Source'!G272/10,0)+T272,ROUND('Budget by Source'!G272/10,0))</f>
        <v>53341</v>
      </c>
      <c r="H272" s="22">
        <f t="shared" si="12"/>
        <v>754424</v>
      </c>
      <c r="I272" s="22">
        <f>INDEX(Data[],MATCH($A272,Data[Dist],0),MATCH(I$5,Data[#Headers],0))</f>
        <v>954377</v>
      </c>
      <c r="K272" s="69">
        <f>INDEX('Payment Total'!$A$7:$H$331,MATCH('Payment by Source'!$A272,'Payment Total'!$A$7:$A$331,0),5)-I272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8827443</v>
      </c>
      <c r="V272" s="152">
        <f t="shared" si="13"/>
        <v>882744</v>
      </c>
      <c r="W272" s="152">
        <f t="shared" si="14"/>
        <v>8827440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19765</v>
      </c>
      <c r="D273" s="22">
        <f>IF(Notes!$B$2="June",ROUND('Budget by Source'!D273/10,0)+Q273,ROUND('Budget by Source'!D273/10,0))</f>
        <v>34861</v>
      </c>
      <c r="E273" s="22">
        <f>IF(Notes!$B$2="June",ROUND('Budget by Source'!E273/10,0)+R273,ROUND('Budget by Source'!E273/10,0))</f>
        <v>3184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19042</v>
      </c>
      <c r="H273" s="22">
        <f t="shared" si="12"/>
        <v>270199</v>
      </c>
      <c r="I273" s="22">
        <f>INDEX(Data[],MATCH($A273,Data[Dist],0),MATCH(I$5,Data[#Headers],0))</f>
        <v>351057</v>
      </c>
      <c r="K273" s="69">
        <f>INDEX('Payment Total'!$A$7:$H$331,MATCH('Payment by Source'!$A273,'Payment Total'!$A$7:$A$331,0),5)-I273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2709746</v>
      </c>
      <c r="V273" s="152">
        <f t="shared" si="13"/>
        <v>270975</v>
      </c>
      <c r="W273" s="152">
        <f t="shared" si="14"/>
        <v>2709750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105285</v>
      </c>
      <c r="D274" s="22">
        <f>IF(Notes!$B$2="June",ROUND('Budget by Source'!D274/10,0)+Q274,ROUND('Budget by Source'!D274/10,0))</f>
        <v>447673</v>
      </c>
      <c r="E274" s="22">
        <f>IF(Notes!$B$2="June",ROUND('Budget by Source'!E274/10,0)+R274,ROUND('Budget by Source'!E274/10,0))</f>
        <v>51371</v>
      </c>
      <c r="F274" s="22">
        <f>IF(Notes!$B$2="June",ROUND('Budget by Source'!F274/10,0)+S274,ROUND('Budget by Source'!F274/10,0))</f>
        <v>51191</v>
      </c>
      <c r="G274" s="22">
        <f>IF(Notes!$B$2="June",ROUND('Budget by Source'!G274/10,0)+T274,ROUND('Budget by Source'!G274/10,0))</f>
        <v>265747</v>
      </c>
      <c r="H274" s="22">
        <f t="shared" si="12"/>
        <v>4436409</v>
      </c>
      <c r="I274" s="22">
        <f>INDEX(Data[],MATCH($A274,Data[Dist],0),MATCH(I$5,Data[#Headers],0))</f>
        <v>5357676</v>
      </c>
      <c r="K274" s="69">
        <f>INDEX('Payment Total'!$A$7:$H$331,MATCH('Payment by Source'!$A274,'Payment Total'!$A$7:$A$331,0),5)-I274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44472332</v>
      </c>
      <c r="V274" s="152">
        <f t="shared" si="13"/>
        <v>4447233</v>
      </c>
      <c r="W274" s="152">
        <f t="shared" si="14"/>
        <v>44472330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61575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15978</v>
      </c>
      <c r="F275" s="22">
        <f>IF(Notes!$B$2="June",ROUND('Budget by Source'!F275/10,0)+S275,ROUND('Budget by Source'!F275/10,0))</f>
        <v>16107</v>
      </c>
      <c r="G275" s="22">
        <f>IF(Notes!$B$2="June",ROUND('Budget by Source'!G275/10,0)+T275,ROUND('Budget by Source'!G275/10,0))</f>
        <v>74638</v>
      </c>
      <c r="H275" s="22">
        <f t="shared" si="12"/>
        <v>1255836</v>
      </c>
      <c r="I275" s="22">
        <f>INDEX(Data[],MATCH($A275,Data[Dist],0),MATCH(I$5,Data[#Headers],0))</f>
        <v>1558377</v>
      </c>
      <c r="K275" s="69">
        <f>INDEX('Payment Total'!$A$7:$H$331,MATCH('Payment by Source'!$A275,'Payment Total'!$A$7:$A$331,0),5)-I275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12588756</v>
      </c>
      <c r="V275" s="152">
        <f t="shared" si="13"/>
        <v>1258876</v>
      </c>
      <c r="W275" s="152">
        <f t="shared" si="14"/>
        <v>12588760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28507</v>
      </c>
      <c r="D276" s="22">
        <f>IF(Notes!$B$2="June",ROUND('Budget by Source'!D276/10,0)+Q276,ROUND('Budget by Source'!D276/10,0))</f>
        <v>76802</v>
      </c>
      <c r="E276" s="22">
        <f>IF(Notes!$B$2="June",ROUND('Budget by Source'!E276/10,0)+R276,ROUND('Budget by Source'!E276/10,0))</f>
        <v>8787</v>
      </c>
      <c r="F276" s="22">
        <f>IF(Notes!$B$2="June",ROUND('Budget by Source'!F276/10,0)+S276,ROUND('Budget by Source'!F276/10,0))</f>
        <v>9066</v>
      </c>
      <c r="G276" s="22">
        <f>IF(Notes!$B$2="June",ROUND('Budget by Source'!G276/10,0)+T276,ROUND('Budget by Source'!G276/10,0))</f>
        <v>43041</v>
      </c>
      <c r="H276" s="22">
        <f t="shared" si="12"/>
        <v>138966</v>
      </c>
      <c r="I276" s="22">
        <f>INDEX(Data[],MATCH($A276,Data[Dist],0),MATCH(I$5,Data[#Headers],0))</f>
        <v>305169</v>
      </c>
      <c r="K276" s="69">
        <f>INDEX('Payment Total'!$A$7:$H$331,MATCH('Payment by Source'!$A276,'Payment Total'!$A$7:$A$331,0),5)-I276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1407192</v>
      </c>
      <c r="V276" s="152">
        <f t="shared" si="13"/>
        <v>140719</v>
      </c>
      <c r="W276" s="152">
        <f t="shared" si="14"/>
        <v>1407190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9882</v>
      </c>
      <c r="D277" s="22">
        <f>IF(Notes!$B$2="June",ROUND('Budget by Source'!D277/10,0)+Q277,ROUND('Budget by Source'!D277/10,0))</f>
        <v>28544</v>
      </c>
      <c r="E277" s="22">
        <f>IF(Notes!$B$2="June",ROUND('Budget by Source'!E277/10,0)+R277,ROUND('Budget by Source'!E277/10,0))</f>
        <v>2625</v>
      </c>
      <c r="F277" s="22">
        <f>IF(Notes!$B$2="June",ROUND('Budget by Source'!F277/10,0)+S277,ROUND('Budget by Source'!F277/10,0))</f>
        <v>2785</v>
      </c>
      <c r="G277" s="22">
        <f>IF(Notes!$B$2="June",ROUND('Budget by Source'!G277/10,0)+T277,ROUND('Budget by Source'!G277/10,0))</f>
        <v>14988</v>
      </c>
      <c r="H277" s="22">
        <f t="shared" si="12"/>
        <v>225151</v>
      </c>
      <c r="I277" s="22">
        <f>INDEX(Data[],MATCH($A277,Data[Dist],0),MATCH(I$5,Data[#Headers],0))</f>
        <v>283975</v>
      </c>
      <c r="K277" s="69">
        <f>INDEX('Payment Total'!$A$7:$H$331,MATCH('Payment by Source'!$A277,'Payment Total'!$A$7:$A$331,0),5)-I277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2257619</v>
      </c>
      <c r="V277" s="152">
        <f t="shared" si="13"/>
        <v>225762</v>
      </c>
      <c r="W277" s="152">
        <f t="shared" si="14"/>
        <v>2257620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8742</v>
      </c>
      <c r="D278" s="22">
        <f>IF(Notes!$B$2="June",ROUND('Budget by Source'!D278/10,0)+Q278,ROUND('Budget by Source'!D278/10,0))</f>
        <v>14698</v>
      </c>
      <c r="E278" s="22">
        <f>IF(Notes!$B$2="June",ROUND('Budget by Source'!E278/10,0)+R278,ROUND('Budget by Source'!E278/10,0))</f>
        <v>1503</v>
      </c>
      <c r="F278" s="22">
        <f>IF(Notes!$B$2="June",ROUND('Budget by Source'!F278/10,0)+S278,ROUND('Budget by Source'!F278/10,0))</f>
        <v>1804</v>
      </c>
      <c r="G278" s="22">
        <f>IF(Notes!$B$2="June",ROUND('Budget by Source'!G278/10,0)+T278,ROUND('Budget by Source'!G278/10,0))</f>
        <v>7260</v>
      </c>
      <c r="H278" s="22">
        <f t="shared" si="12"/>
        <v>116406</v>
      </c>
      <c r="I278" s="22">
        <f>INDEX(Data[],MATCH($A278,Data[Dist],0),MATCH(I$5,Data[#Headers],0))</f>
        <v>150413</v>
      </c>
      <c r="K278" s="69">
        <f>INDEX('Payment Total'!$A$7:$H$331,MATCH('Payment by Source'!$A278,'Payment Total'!$A$7:$A$331,0),5)-I278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1167021</v>
      </c>
      <c r="V278" s="152">
        <f t="shared" si="13"/>
        <v>116702</v>
      </c>
      <c r="W278" s="152">
        <f t="shared" si="14"/>
        <v>1167020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11403</v>
      </c>
      <c r="D279" s="22">
        <f>IF(Notes!$B$2="June",ROUND('Budget by Source'!D279/10,0)+Q279,ROUND('Budget by Source'!D279/10,0))</f>
        <v>41803</v>
      </c>
      <c r="E279" s="22">
        <f>IF(Notes!$B$2="June",ROUND('Budget by Source'!E279/10,0)+R279,ROUND('Budget by Source'!E279/10,0))</f>
        <v>5136</v>
      </c>
      <c r="F279" s="22">
        <f>IF(Notes!$B$2="June",ROUND('Budget by Source'!F279/10,0)+S279,ROUND('Budget by Source'!F279/10,0))</f>
        <v>4645</v>
      </c>
      <c r="G279" s="22">
        <f>IF(Notes!$B$2="June",ROUND('Budget by Source'!G279/10,0)+T279,ROUND('Budget by Source'!G279/10,0))</f>
        <v>21633</v>
      </c>
      <c r="H279" s="22">
        <f t="shared" si="12"/>
        <v>314573</v>
      </c>
      <c r="I279" s="22">
        <f>INDEX(Data[],MATCH($A279,Data[Dist],0),MATCH(I$5,Data[#Headers],0))</f>
        <v>399193</v>
      </c>
      <c r="K279" s="69">
        <f>INDEX('Payment Total'!$A$7:$H$331,MATCH('Payment by Source'!$A279,'Payment Total'!$A$7:$A$331,0),5)-I279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3194746</v>
      </c>
      <c r="V279" s="152">
        <f t="shared" si="13"/>
        <v>319475</v>
      </c>
      <c r="W279" s="152">
        <f t="shared" si="14"/>
        <v>3194750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63475</v>
      </c>
      <c r="D280" s="22">
        <f>IF(Notes!$B$2="June",ROUND('Budget by Source'!D280/10,0)+Q280,ROUND('Budget by Source'!D280/10,0))</f>
        <v>162310</v>
      </c>
      <c r="E280" s="22">
        <f>IF(Notes!$B$2="June",ROUND('Budget by Source'!E280/10,0)+R280,ROUND('Budget by Source'!E280/10,0))</f>
        <v>23520</v>
      </c>
      <c r="F280" s="22">
        <f>IF(Notes!$B$2="June",ROUND('Budget by Source'!F280/10,0)+S280,ROUND('Budget by Source'!F280/10,0))</f>
        <v>18676</v>
      </c>
      <c r="G280" s="22">
        <f>IF(Notes!$B$2="June",ROUND('Budget by Source'!G280/10,0)+T280,ROUND('Budget by Source'!G280/10,0))</f>
        <v>93301</v>
      </c>
      <c r="H280" s="22">
        <f t="shared" si="12"/>
        <v>1906472</v>
      </c>
      <c r="I280" s="22">
        <f>INDEX(Data[],MATCH($A280,Data[Dist],0),MATCH(I$5,Data[#Headers],0))</f>
        <v>2267754</v>
      </c>
      <c r="K280" s="69">
        <f>INDEX('Payment Total'!$A$7:$H$331,MATCH('Payment by Source'!$A280,'Payment Total'!$A$7:$A$331,0),5)-I280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19102738</v>
      </c>
      <c r="V280" s="152">
        <f t="shared" si="13"/>
        <v>1910274</v>
      </c>
      <c r="W280" s="152">
        <f t="shared" si="14"/>
        <v>19102740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6462</v>
      </c>
      <c r="D281" s="22">
        <f>IF(Notes!$B$2="June",ROUND('Budget by Source'!D281/10,0)+Q281,ROUND('Budget by Source'!D281/10,0))</f>
        <v>8413</v>
      </c>
      <c r="E281" s="22">
        <f>IF(Notes!$B$2="June",ROUND('Budget by Source'!E281/10,0)+R281,ROUND('Budget by Source'!E281/10,0))</f>
        <v>947</v>
      </c>
      <c r="F281" s="22">
        <f>IF(Notes!$B$2="June",ROUND('Budget by Source'!F281/10,0)+S281,ROUND('Budget by Source'!F281/10,0))</f>
        <v>836</v>
      </c>
      <c r="G281" s="22">
        <f>IF(Notes!$B$2="June",ROUND('Budget by Source'!G281/10,0)+T281,ROUND('Budget by Source'!G281/10,0))</f>
        <v>4894</v>
      </c>
      <c r="H281" s="22">
        <f t="shared" si="12"/>
        <v>69610</v>
      </c>
      <c r="I281" s="22">
        <f>INDEX(Data[],MATCH($A281,Data[Dist],0),MATCH(I$5,Data[#Headers],0))</f>
        <v>91162</v>
      </c>
      <c r="K281" s="69">
        <f>INDEX('Payment Total'!$A$7:$H$331,MATCH('Payment by Source'!$A281,'Payment Total'!$A$7:$A$331,0),5)-I281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698097</v>
      </c>
      <c r="V281" s="152">
        <f t="shared" si="13"/>
        <v>69810</v>
      </c>
      <c r="W281" s="152">
        <f t="shared" si="14"/>
        <v>698100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18625</v>
      </c>
      <c r="D282" s="22">
        <f>IF(Notes!$B$2="June",ROUND('Budget by Source'!D282/10,0)+Q282,ROUND('Budget by Source'!D282/10,0))</f>
        <v>63409</v>
      </c>
      <c r="E282" s="22">
        <f>IF(Notes!$B$2="June",ROUND('Budget by Source'!E282/10,0)+R282,ROUND('Budget by Source'!E282/10,0))</f>
        <v>6964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34907</v>
      </c>
      <c r="H282" s="22">
        <f t="shared" si="12"/>
        <v>417312</v>
      </c>
      <c r="I282" s="22">
        <f>INDEX(Data[],MATCH($A282,Data[Dist],0),MATCH(I$5,Data[#Headers],0))</f>
        <v>547531</v>
      </c>
      <c r="K282" s="69">
        <f>INDEX('Payment Total'!$A$7:$H$331,MATCH('Payment by Source'!$A282,'Payment Total'!$A$7:$A$331,0),5)-I282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4187341</v>
      </c>
      <c r="V282" s="152">
        <f t="shared" si="13"/>
        <v>418734</v>
      </c>
      <c r="W282" s="152">
        <f t="shared" si="14"/>
        <v>4187340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17104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5709</v>
      </c>
      <c r="G283" s="22">
        <f>IF(Notes!$B$2="June",ROUND('Budget by Source'!G283/10,0)+T283,ROUND('Budget by Source'!G283/10,0))</f>
        <v>28362</v>
      </c>
      <c r="H283" s="22">
        <f t="shared" si="12"/>
        <v>404308</v>
      </c>
      <c r="I283" s="22">
        <f>INDEX(Data[],MATCH($A283,Data[Dist],0),MATCH(I$5,Data[#Headers],0))</f>
        <v>512592</v>
      </c>
      <c r="K283" s="69">
        <f>INDEX('Payment Total'!$A$7:$H$331,MATCH('Payment by Source'!$A283,'Payment Total'!$A$7:$A$331,0),5)-I283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4054630</v>
      </c>
      <c r="V283" s="152">
        <f t="shared" si="13"/>
        <v>405463</v>
      </c>
      <c r="W283" s="152">
        <f t="shared" si="14"/>
        <v>4054630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12163</v>
      </c>
      <c r="D284" s="22">
        <f>IF(Notes!$B$2="June",ROUND('Budget by Source'!D284/10,0)+Q284,ROUND('Budget by Source'!D284/10,0))</f>
        <v>53397</v>
      </c>
      <c r="E284" s="22">
        <f>IF(Notes!$B$2="June",ROUND('Budget by Source'!E284/10,0)+R284,ROUND('Budget by Source'!E284/10,0))</f>
        <v>6295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30540</v>
      </c>
      <c r="H284" s="22">
        <f t="shared" si="12"/>
        <v>474968</v>
      </c>
      <c r="I284" s="22">
        <f>INDEX(Data[],MATCH($A284,Data[Dist],0),MATCH(I$5,Data[#Headers],0))</f>
        <v>583086</v>
      </c>
      <c r="K284" s="69">
        <f>INDEX('Payment Total'!$A$7:$H$331,MATCH('Payment by Source'!$A284,'Payment Total'!$A$7:$A$331,0),5)-I284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4762119</v>
      </c>
      <c r="V284" s="152">
        <f t="shared" si="13"/>
        <v>476212</v>
      </c>
      <c r="W284" s="152">
        <f t="shared" si="14"/>
        <v>4762120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38070</v>
      </c>
      <c r="E285" s="22">
        <f>IF(Notes!$B$2="June",ROUND('Budget by Source'!E285/10,0)+R285,ROUND('Budget by Source'!E285/10,0))</f>
        <v>4239</v>
      </c>
      <c r="F285" s="22">
        <f>IF(Notes!$B$2="June",ROUND('Budget by Source'!F285/10,0)+S285,ROUND('Budget by Source'!F285/10,0))</f>
        <v>4033</v>
      </c>
      <c r="G285" s="22">
        <f>IF(Notes!$B$2="June",ROUND('Budget by Source'!G285/10,0)+T285,ROUND('Budget by Source'!G285/10,0))</f>
        <v>21198</v>
      </c>
      <c r="H285" s="22">
        <f t="shared" si="12"/>
        <v>271656</v>
      </c>
      <c r="I285" s="22">
        <f>INDEX(Data[],MATCH($A285,Data[Dist],0),MATCH(I$5,Data[#Headers],0))</f>
        <v>339196</v>
      </c>
      <c r="K285" s="69">
        <f>INDEX('Payment Total'!$A$7:$H$331,MATCH('Payment by Source'!$A285,'Payment Total'!$A$7:$A$331,0),5)-I285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2725190</v>
      </c>
      <c r="V285" s="152">
        <f t="shared" si="13"/>
        <v>272519</v>
      </c>
      <c r="W285" s="152">
        <f t="shared" si="14"/>
        <v>2725190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15964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4794</v>
      </c>
      <c r="F286" s="22">
        <f>IF(Notes!$B$2="June",ROUND('Budget by Source'!F286/10,0)+S286,ROUND('Budget by Source'!F286/10,0))</f>
        <v>4849</v>
      </c>
      <c r="G286" s="22">
        <f>IF(Notes!$B$2="June",ROUND('Budget by Source'!G286/10,0)+T286,ROUND('Budget by Source'!G286/10,0))</f>
        <v>24179</v>
      </c>
      <c r="H286" s="22">
        <f t="shared" si="12"/>
        <v>360571</v>
      </c>
      <c r="I286" s="22">
        <f>INDEX(Data[],MATCH($A286,Data[Dist],0),MATCH(I$5,Data[#Headers],0))</f>
        <v>453596</v>
      </c>
      <c r="K286" s="69">
        <f>INDEX('Payment Total'!$A$7:$H$331,MATCH('Payment by Source'!$A286,'Payment Total'!$A$7:$A$331,0),5)-I286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3615558</v>
      </c>
      <c r="V286" s="152">
        <f t="shared" si="13"/>
        <v>361556</v>
      </c>
      <c r="W286" s="152">
        <f t="shared" si="14"/>
        <v>3615560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4941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2337</v>
      </c>
      <c r="F287" s="22">
        <f>IF(Notes!$B$2="June",ROUND('Budget by Source'!F287/10,0)+S287,ROUND('Budget by Source'!F287/10,0))</f>
        <v>1858</v>
      </c>
      <c r="G287" s="22">
        <f>IF(Notes!$B$2="June",ROUND('Budget by Source'!G287/10,0)+T287,ROUND('Budget by Source'!G287/10,0))</f>
        <v>9796</v>
      </c>
      <c r="H287" s="22">
        <f t="shared" si="12"/>
        <v>138640</v>
      </c>
      <c r="I287" s="22">
        <f>INDEX(Data[],MATCH($A287,Data[Dist],0),MATCH(I$5,Data[#Headers],0))</f>
        <v>177402</v>
      </c>
      <c r="K287" s="69">
        <f>INDEX('Payment Total'!$A$7:$H$331,MATCH('Payment by Source'!$A287,'Payment Total'!$A$7:$A$331,0),5)-I287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1390396</v>
      </c>
      <c r="V287" s="152">
        <f t="shared" si="13"/>
        <v>139040</v>
      </c>
      <c r="W287" s="152">
        <f t="shared" si="14"/>
        <v>1390400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26930</v>
      </c>
      <c r="E288" s="22">
        <f>IF(Notes!$B$2="June",ROUND('Budget by Source'!E288/10,0)+R288,ROUND('Budget by Source'!E288/10,0))</f>
        <v>2911</v>
      </c>
      <c r="F288" s="22">
        <f>IF(Notes!$B$2="June",ROUND('Budget by Source'!F288/10,0)+S288,ROUND('Budget by Source'!F288/10,0))</f>
        <v>2806</v>
      </c>
      <c r="G288" s="22">
        <f>IF(Notes!$B$2="June",ROUND('Budget by Source'!G288/10,0)+T288,ROUND('Budget by Source'!G288/10,0))</f>
        <v>14030</v>
      </c>
      <c r="H288" s="22">
        <f t="shared" si="12"/>
        <v>230047</v>
      </c>
      <c r="I288" s="22">
        <f>INDEX(Data[],MATCH($A288,Data[Dist],0),MATCH(I$5,Data[#Headers],0))</f>
        <v>276724</v>
      </c>
      <c r="K288" s="69">
        <f>INDEX('Payment Total'!$A$7:$H$331,MATCH('Payment by Source'!$A288,'Payment Total'!$A$7:$A$331,0),5)-I288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2306194</v>
      </c>
      <c r="V288" s="152">
        <f t="shared" si="13"/>
        <v>230619</v>
      </c>
      <c r="W288" s="152">
        <f t="shared" si="14"/>
        <v>2306190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12543</v>
      </c>
      <c r="D289" s="22">
        <f>IF(Notes!$B$2="June",ROUND('Budget by Source'!D289/10,0)+Q289,ROUND('Budget by Source'!D289/10,0))</f>
        <v>24893</v>
      </c>
      <c r="E289" s="22">
        <f>IF(Notes!$B$2="June",ROUND('Budget by Source'!E289/10,0)+R289,ROUND('Budget by Source'!E289/10,0))</f>
        <v>2157</v>
      </c>
      <c r="F289" s="22">
        <f>IF(Notes!$B$2="June",ROUND('Budget by Source'!F289/10,0)+S289,ROUND('Budget by Source'!F289/10,0))</f>
        <v>2850</v>
      </c>
      <c r="G289" s="22">
        <f>IF(Notes!$B$2="June",ROUND('Budget by Source'!G289/10,0)+T289,ROUND('Budget by Source'!G289/10,0))</f>
        <v>13075</v>
      </c>
      <c r="H289" s="22">
        <f t="shared" si="12"/>
        <v>165338</v>
      </c>
      <c r="I289" s="22">
        <f>INDEX(Data[],MATCH($A289,Data[Dist],0),MATCH(I$5,Data[#Headers],0))</f>
        <v>220856</v>
      </c>
      <c r="K289" s="69">
        <f>INDEX('Payment Total'!$A$7:$H$331,MATCH('Payment by Source'!$A289,'Payment Total'!$A$7:$A$331,0),5)-I289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1658700</v>
      </c>
      <c r="V289" s="152">
        <f t="shared" si="13"/>
        <v>165870</v>
      </c>
      <c r="W289" s="152">
        <f t="shared" si="14"/>
        <v>1658700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5321</v>
      </c>
      <c r="D290" s="22">
        <f>IF(Notes!$B$2="June",ROUND('Budget by Source'!D290/10,0)+Q290,ROUND('Budget by Source'!D290/10,0))</f>
        <v>22946</v>
      </c>
      <c r="E290" s="22">
        <f>IF(Notes!$B$2="June",ROUND('Budget by Source'!E290/10,0)+R290,ROUND('Budget by Source'!E290/10,0))</f>
        <v>2798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11904</v>
      </c>
      <c r="H290" s="22">
        <f t="shared" si="12"/>
        <v>209282</v>
      </c>
      <c r="I290" s="22">
        <f>INDEX(Data[],MATCH($A290,Data[Dist],0),MATCH(I$5,Data[#Headers],0))</f>
        <v>254667</v>
      </c>
      <c r="K290" s="69">
        <f>INDEX('Payment Total'!$A$7:$H$331,MATCH('Payment by Source'!$A290,'Payment Total'!$A$7:$A$331,0),5)-I290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2097671</v>
      </c>
      <c r="V290" s="152">
        <f t="shared" si="13"/>
        <v>209767</v>
      </c>
      <c r="W290" s="152">
        <f t="shared" si="14"/>
        <v>2097670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760</v>
      </c>
      <c r="D291" s="22">
        <f>IF(Notes!$B$2="June",ROUND('Budget by Source'!D291/10,0)+Q291,ROUND('Budget by Source'!D291/10,0))</f>
        <v>11705</v>
      </c>
      <c r="E291" s="22">
        <f>IF(Notes!$B$2="June",ROUND('Budget by Source'!E291/10,0)+R291,ROUND('Budget by Source'!E291/10,0))</f>
        <v>1165</v>
      </c>
      <c r="F291" s="22">
        <f>IF(Notes!$B$2="June",ROUND('Budget by Source'!F291/10,0)+S291,ROUND('Budget by Source'!F291/10,0))</f>
        <v>1166</v>
      </c>
      <c r="G291" s="22">
        <f>IF(Notes!$B$2="June",ROUND('Budget by Source'!G291/10,0)+T291,ROUND('Budget by Source'!G291/10,0))</f>
        <v>5897</v>
      </c>
      <c r="H291" s="22">
        <f t="shared" si="12"/>
        <v>59685</v>
      </c>
      <c r="I291" s="22">
        <f>INDEX(Data[],MATCH($A291,Data[Dist],0),MATCH(I$5,Data[#Headers],0))</f>
        <v>80378</v>
      </c>
      <c r="K291" s="69">
        <f>INDEX('Payment Total'!$A$7:$H$331,MATCH('Payment by Source'!$A291,'Payment Total'!$A$7:$A$331,0),5)-I291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599265</v>
      </c>
      <c r="V291" s="152">
        <f t="shared" si="13"/>
        <v>59927</v>
      </c>
      <c r="W291" s="152">
        <f t="shared" si="14"/>
        <v>599270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13303</v>
      </c>
      <c r="D292" s="22">
        <f>IF(Notes!$B$2="June",ROUND('Budget by Source'!D292/10,0)+Q292,ROUND('Budget by Source'!D292/10,0))</f>
        <v>47961</v>
      </c>
      <c r="E292" s="22">
        <f>IF(Notes!$B$2="June",ROUND('Budget by Source'!E292/10,0)+R292,ROUND('Budget by Source'!E292/10,0))</f>
        <v>5511</v>
      </c>
      <c r="F292" s="22">
        <f>IF(Notes!$B$2="June",ROUND('Budget by Source'!F292/10,0)+S292,ROUND('Budget by Source'!F292/10,0))</f>
        <v>5001</v>
      </c>
      <c r="G292" s="22">
        <f>IF(Notes!$B$2="June",ROUND('Budget by Source'!G292/10,0)+T292,ROUND('Budget by Source'!G292/10,0))</f>
        <v>28182</v>
      </c>
      <c r="H292" s="22">
        <f t="shared" si="12"/>
        <v>411752</v>
      </c>
      <c r="I292" s="22">
        <f>INDEX(Data[],MATCH($A292,Data[Dist],0),MATCH(I$5,Data[#Headers],0))</f>
        <v>511710</v>
      </c>
      <c r="K292" s="69">
        <f>INDEX('Payment Total'!$A$7:$H$331,MATCH('Payment by Source'!$A292,'Payment Total'!$A$7:$A$331,0),5)-I292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4128996</v>
      </c>
      <c r="V292" s="152">
        <f t="shared" si="13"/>
        <v>412900</v>
      </c>
      <c r="W292" s="152">
        <f t="shared" si="14"/>
        <v>4129000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20145</v>
      </c>
      <c r="D293" s="22">
        <f>IF(Notes!$B$2="June",ROUND('Budget by Source'!D293/10,0)+Q293,ROUND('Budget by Source'!D293/10,0))</f>
        <v>22304</v>
      </c>
      <c r="E293" s="22">
        <f>IF(Notes!$B$2="June",ROUND('Budget by Source'!E293/10,0)+R293,ROUND('Budget by Source'!E293/10,0))</f>
        <v>2982</v>
      </c>
      <c r="F293" s="22">
        <f>IF(Notes!$B$2="June",ROUND('Budget by Source'!F293/10,0)+S293,ROUND('Budget by Source'!F293/10,0))</f>
        <v>1992</v>
      </c>
      <c r="G293" s="22">
        <f>IF(Notes!$B$2="June",ROUND('Budget by Source'!G293/10,0)+T293,ROUND('Budget by Source'!G293/10,0))</f>
        <v>14222</v>
      </c>
      <c r="H293" s="22">
        <f t="shared" si="12"/>
        <v>100175</v>
      </c>
      <c r="I293" s="22">
        <f>INDEX(Data[],MATCH($A293,Data[Dist],0),MATCH(I$5,Data[#Headers],0))</f>
        <v>161820</v>
      </c>
      <c r="K293" s="69">
        <f>INDEX('Payment Total'!$A$7:$H$331,MATCH('Payment by Source'!$A293,'Payment Total'!$A$7:$A$331,0),5)-I293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1007553</v>
      </c>
      <c r="V293" s="152">
        <f t="shared" si="13"/>
        <v>100755</v>
      </c>
      <c r="W293" s="152">
        <f t="shared" si="14"/>
        <v>1007550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74869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127069</v>
      </c>
      <c r="H294" s="22">
        <f t="shared" si="12"/>
        <v>1873630</v>
      </c>
      <c r="I294" s="22">
        <f>INDEX(Data[],MATCH($A294,Data[Dist],0),MATCH(I$5,Data[#Headers],0))</f>
        <v>2356980</v>
      </c>
      <c r="K294" s="69">
        <f>INDEX('Payment Total'!$A$7:$H$331,MATCH('Payment by Source'!$A294,'Payment Total'!$A$7:$A$331,0),5)-I294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18788061</v>
      </c>
      <c r="V294" s="152">
        <f t="shared" si="13"/>
        <v>1878806</v>
      </c>
      <c r="W294" s="152">
        <f t="shared" si="14"/>
        <v>18788060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21285</v>
      </c>
      <c r="D295" s="22">
        <f>IF(Notes!$B$2="June",ROUND('Budget by Source'!D295/10,0)+Q295,ROUND('Budget by Source'!D295/10,0))</f>
        <v>63300</v>
      </c>
      <c r="E295" s="22">
        <f>IF(Notes!$B$2="June",ROUND('Budget by Source'!E295/10,0)+R295,ROUND('Budget by Source'!E295/10,0))</f>
        <v>7655</v>
      </c>
      <c r="F295" s="22">
        <f>IF(Notes!$B$2="June",ROUND('Budget by Source'!F295/10,0)+S295,ROUND('Budget by Source'!F295/10,0))</f>
        <v>6344</v>
      </c>
      <c r="G295" s="22">
        <f>IF(Notes!$B$2="June",ROUND('Budget by Source'!G295/10,0)+T295,ROUND('Budget by Source'!G295/10,0))</f>
        <v>35641</v>
      </c>
      <c r="H295" s="22">
        <f t="shared" si="12"/>
        <v>487002</v>
      </c>
      <c r="I295" s="22">
        <f>INDEX(Data[],MATCH($A295,Data[Dist],0),MATCH(I$5,Data[#Headers],0))</f>
        <v>621227</v>
      </c>
      <c r="K295" s="69">
        <f>INDEX('Payment Total'!$A$7:$H$331,MATCH('Payment by Source'!$A295,'Payment Total'!$A$7:$A$331,0),5)-I295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4884546</v>
      </c>
      <c r="V295" s="152">
        <f t="shared" si="13"/>
        <v>488455</v>
      </c>
      <c r="W295" s="152">
        <f t="shared" si="14"/>
        <v>4884550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19005</v>
      </c>
      <c r="D296" s="22">
        <f>IF(Notes!$B$2="June",ROUND('Budget by Source'!D296/10,0)+Q296,ROUND('Budget by Source'!D296/10,0))</f>
        <v>60180</v>
      </c>
      <c r="E296" s="22">
        <f>IF(Notes!$B$2="June",ROUND('Budget by Source'!E296/10,0)+R296,ROUND('Budget by Source'!E296/10,0))</f>
        <v>6627</v>
      </c>
      <c r="F296" s="22">
        <f>IF(Notes!$B$2="June",ROUND('Budget by Source'!F296/10,0)+S296,ROUND('Budget by Source'!F296/10,0))</f>
        <v>6278</v>
      </c>
      <c r="G296" s="22">
        <f>IF(Notes!$B$2="June",ROUND('Budget by Source'!G296/10,0)+T296,ROUND('Budget by Source'!G296/10,0))</f>
        <v>32965</v>
      </c>
      <c r="H296" s="22">
        <f t="shared" si="12"/>
        <v>470267</v>
      </c>
      <c r="I296" s="22">
        <f>INDEX(Data[],MATCH($A296,Data[Dist],0),MATCH(I$5,Data[#Headers],0))</f>
        <v>595322</v>
      </c>
      <c r="K296" s="69">
        <f>INDEX('Payment Total'!$A$7:$H$331,MATCH('Payment by Source'!$A296,'Payment Total'!$A$7:$A$331,0),5)-I296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4716101</v>
      </c>
      <c r="V296" s="152">
        <f t="shared" si="13"/>
        <v>471610</v>
      </c>
      <c r="W296" s="152">
        <f t="shared" si="14"/>
        <v>4716100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6082</v>
      </c>
      <c r="D297" s="22">
        <f>IF(Notes!$B$2="June",ROUND('Budget by Source'!D297/10,0)+Q297,ROUND('Budget by Source'!D297/10,0))</f>
        <v>20799</v>
      </c>
      <c r="E297" s="22">
        <f>IF(Notes!$B$2="June",ROUND('Budget by Source'!E297/10,0)+R297,ROUND('Budget by Source'!E297/10,0))</f>
        <v>2549</v>
      </c>
      <c r="F297" s="22">
        <f>IF(Notes!$B$2="June",ROUND('Budget by Source'!F297/10,0)+S297,ROUND('Budget by Source'!F297/10,0))</f>
        <v>2250</v>
      </c>
      <c r="G297" s="22">
        <f>IF(Notes!$B$2="June",ROUND('Budget by Source'!G297/10,0)+T297,ROUND('Budget by Source'!G297/10,0))</f>
        <v>11465</v>
      </c>
      <c r="H297" s="22">
        <f t="shared" si="12"/>
        <v>164499</v>
      </c>
      <c r="I297" s="22">
        <f>INDEX(Data[],MATCH($A297,Data[Dist],0),MATCH(I$5,Data[#Headers],0))</f>
        <v>207644</v>
      </c>
      <c r="K297" s="69">
        <f>INDEX('Payment Total'!$A$7:$H$331,MATCH('Payment by Source'!$A297,'Payment Total'!$A$7:$A$331,0),5)-I297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1649673</v>
      </c>
      <c r="V297" s="152">
        <f t="shared" si="13"/>
        <v>164967</v>
      </c>
      <c r="W297" s="152">
        <f t="shared" si="14"/>
        <v>1649670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32688</v>
      </c>
      <c r="D298" s="22">
        <f>IF(Notes!$B$2="June",ROUND('Budget by Source'!D298/10,0)+Q298,ROUND('Budget by Source'!D298/10,0))</f>
        <v>109686</v>
      </c>
      <c r="E298" s="22">
        <f>IF(Notes!$B$2="June",ROUND('Budget by Source'!E298/10,0)+R298,ROUND('Budget by Source'!E298/10,0))</f>
        <v>12096</v>
      </c>
      <c r="F298" s="22">
        <f>IF(Notes!$B$2="June",ROUND('Budget by Source'!F298/10,0)+S298,ROUND('Budget by Source'!F298/10,0))</f>
        <v>12349</v>
      </c>
      <c r="G298" s="22">
        <f>IF(Notes!$B$2="June",ROUND('Budget by Source'!G298/10,0)+T298,ROUND('Budget by Source'!G298/10,0))</f>
        <v>59757</v>
      </c>
      <c r="H298" s="22">
        <f t="shared" si="12"/>
        <v>942537</v>
      </c>
      <c r="I298" s="22">
        <f>INDEX(Data[],MATCH($A298,Data[Dist],0),MATCH(I$5,Data[#Headers],0))</f>
        <v>1169113</v>
      </c>
      <c r="K298" s="69">
        <f>INDEX('Payment Total'!$A$7:$H$331,MATCH('Payment by Source'!$A298,'Payment Total'!$A$7:$A$331,0),5)-I298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9449697</v>
      </c>
      <c r="V298" s="152">
        <f t="shared" si="13"/>
        <v>944970</v>
      </c>
      <c r="W298" s="152">
        <f t="shared" si="14"/>
        <v>9449700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11783</v>
      </c>
      <c r="D299" s="22">
        <f>IF(Notes!$B$2="June",ROUND('Budget by Source'!D299/10,0)+Q299,ROUND('Budget by Source'!D299/10,0))</f>
        <v>35608</v>
      </c>
      <c r="E299" s="22">
        <f>IF(Notes!$B$2="June",ROUND('Budget by Source'!E299/10,0)+R299,ROUND('Budget by Source'!E299/10,0))</f>
        <v>3889</v>
      </c>
      <c r="F299" s="22">
        <f>IF(Notes!$B$2="June",ROUND('Budget by Source'!F299/10,0)+S299,ROUND('Budget by Source'!F299/10,0))</f>
        <v>3833</v>
      </c>
      <c r="G299" s="22">
        <f>IF(Notes!$B$2="June",ROUND('Budget by Source'!G299/10,0)+T299,ROUND('Budget by Source'!G299/10,0))</f>
        <v>18036</v>
      </c>
      <c r="H299" s="22">
        <f t="shared" si="12"/>
        <v>303081</v>
      </c>
      <c r="I299" s="22">
        <f>INDEX(Data[],MATCH($A299,Data[Dist],0),MATCH(I$5,Data[#Headers],0))</f>
        <v>376230</v>
      </c>
      <c r="K299" s="69">
        <f>INDEX('Payment Total'!$A$7:$H$331,MATCH('Payment by Source'!$A299,'Payment Total'!$A$7:$A$331,0),5)-I299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3038170</v>
      </c>
      <c r="V299" s="152">
        <f t="shared" si="13"/>
        <v>303817</v>
      </c>
      <c r="W299" s="152">
        <f t="shared" si="14"/>
        <v>3038170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12933</v>
      </c>
      <c r="D300" s="22">
        <f>IF(Notes!$B$2="June",ROUND('Budget by Source'!D300/10,0)+Q300,ROUND('Budget by Source'!D300/10,0))</f>
        <v>57949</v>
      </c>
      <c r="E300" s="22">
        <f>IF(Notes!$B$2="June",ROUND('Budget by Source'!E300/10,0)+R300,ROUND('Budget by Source'!E300/10,0))</f>
        <v>6701</v>
      </c>
      <c r="F300" s="22">
        <f>IF(Notes!$B$2="June",ROUND('Budget by Source'!F300/10,0)+S300,ROUND('Budget by Source'!F300/10,0))</f>
        <v>6174</v>
      </c>
      <c r="G300" s="22">
        <f>IF(Notes!$B$2="June",ROUND('Budget by Source'!G300/10,0)+T300,ROUND('Budget by Source'!G300/10,0))</f>
        <v>30791</v>
      </c>
      <c r="H300" s="22">
        <f t="shared" si="12"/>
        <v>395980</v>
      </c>
      <c r="I300" s="22">
        <f>INDEX(Data[],MATCH($A300,Data[Dist],0),MATCH(I$5,Data[#Headers],0))</f>
        <v>510528</v>
      </c>
      <c r="K300" s="69">
        <f>INDEX('Payment Total'!$A$7:$H$331,MATCH('Payment by Source'!$A300,'Payment Total'!$A$7:$A$331,0),5)-I300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3972358</v>
      </c>
      <c r="V300" s="152">
        <f t="shared" si="13"/>
        <v>397236</v>
      </c>
      <c r="W300" s="152">
        <f t="shared" si="14"/>
        <v>3972360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9882</v>
      </c>
      <c r="D301" s="22">
        <f>IF(Notes!$B$2="June",ROUND('Budget by Source'!D301/10,0)+Q301,ROUND('Budget by Source'!D301/10,0))</f>
        <v>36850</v>
      </c>
      <c r="E301" s="22">
        <f>IF(Notes!$B$2="June",ROUND('Budget by Source'!E301/10,0)+R301,ROUND('Budget by Source'!E301/10,0))</f>
        <v>4587</v>
      </c>
      <c r="F301" s="22">
        <f>IF(Notes!$B$2="June",ROUND('Budget by Source'!F301/10,0)+S301,ROUND('Budget by Source'!F301/10,0))</f>
        <v>3854</v>
      </c>
      <c r="G301" s="22">
        <f>IF(Notes!$B$2="June",ROUND('Budget by Source'!G301/10,0)+T301,ROUND('Budget by Source'!G301/10,0))</f>
        <v>19694</v>
      </c>
      <c r="H301" s="22">
        <f t="shared" si="12"/>
        <v>297446</v>
      </c>
      <c r="I301" s="22">
        <f>INDEX(Data[],MATCH($A301,Data[Dist],0),MATCH(I$5,Data[#Headers],0))</f>
        <v>372313</v>
      </c>
      <c r="K301" s="69">
        <f>INDEX('Payment Total'!$A$7:$H$331,MATCH('Payment by Source'!$A301,'Payment Total'!$A$7:$A$331,0),5)-I301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2982471</v>
      </c>
      <c r="V301" s="152">
        <f t="shared" si="13"/>
        <v>298247</v>
      </c>
      <c r="W301" s="152">
        <f t="shared" si="14"/>
        <v>2982470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17484</v>
      </c>
      <c r="D302" s="22">
        <f>IF(Notes!$B$2="June",ROUND('Budget by Source'!D302/10,0)+Q302,ROUND('Budget by Source'!D302/10,0))</f>
        <v>46390</v>
      </c>
      <c r="E302" s="22">
        <f>IF(Notes!$B$2="June",ROUND('Budget by Source'!E302/10,0)+R302,ROUND('Budget by Source'!E302/10,0))</f>
        <v>5116</v>
      </c>
      <c r="F302" s="22">
        <f>IF(Notes!$B$2="June",ROUND('Budget by Source'!F302/10,0)+S302,ROUND('Budget by Source'!F302/10,0))</f>
        <v>4841</v>
      </c>
      <c r="G302" s="22">
        <f>IF(Notes!$B$2="June",ROUND('Budget by Source'!G302/10,0)+T302,ROUND('Budget by Source'!G302/10,0))</f>
        <v>24238</v>
      </c>
      <c r="H302" s="22">
        <f t="shared" si="12"/>
        <v>379590</v>
      </c>
      <c r="I302" s="22">
        <f>INDEX(Data[],MATCH($A302,Data[Dist],0),MATCH(I$5,Data[#Headers],0))</f>
        <v>477659</v>
      </c>
      <c r="K302" s="69">
        <f>INDEX('Payment Total'!$A$7:$H$331,MATCH('Payment by Source'!$A302,'Payment Total'!$A$7:$A$331,0),5)-I302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3805771</v>
      </c>
      <c r="V302" s="152">
        <f t="shared" si="13"/>
        <v>380577</v>
      </c>
      <c r="W302" s="152">
        <f t="shared" si="14"/>
        <v>3805770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106823</v>
      </c>
      <c r="E303" s="22">
        <f>IF(Notes!$B$2="June",ROUND('Budget by Source'!E303/10,0)+R303,ROUND('Budget by Source'!E303/10,0))</f>
        <v>13150</v>
      </c>
      <c r="F303" s="22">
        <f>IF(Notes!$B$2="June",ROUND('Budget by Source'!F303/10,0)+S303,ROUND('Budget by Source'!F303/10,0))</f>
        <v>11865</v>
      </c>
      <c r="G303" s="22">
        <f>IF(Notes!$B$2="June",ROUND('Budget by Source'!G303/10,0)+T303,ROUND('Budget by Source'!G303/10,0))</f>
        <v>59923</v>
      </c>
      <c r="H303" s="22">
        <f t="shared" si="12"/>
        <v>1015489</v>
      </c>
      <c r="I303" s="22">
        <f>INDEX(Data[],MATCH($A303,Data[Dist],0),MATCH(I$5,Data[#Headers],0))</f>
        <v>1240318</v>
      </c>
      <c r="K303" s="69">
        <f>INDEX('Payment Total'!$A$7:$H$331,MATCH('Payment by Source'!$A303,'Payment Total'!$A$7:$A$331,0),5)-I303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10179299</v>
      </c>
      <c r="V303" s="152">
        <f t="shared" si="13"/>
        <v>1017930</v>
      </c>
      <c r="W303" s="152">
        <f t="shared" si="14"/>
        <v>10179300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191566</v>
      </c>
      <c r="D304" s="22">
        <f>IF(Notes!$B$2="June",ROUND('Budget by Source'!D304/10,0)+Q304,ROUND('Budget by Source'!D304/10,0))</f>
        <v>688171</v>
      </c>
      <c r="E304" s="22">
        <f>IF(Notes!$B$2="June",ROUND('Budget by Source'!E304/10,0)+R304,ROUND('Budget by Source'!E304/10,0))</f>
        <v>94471</v>
      </c>
      <c r="F304" s="22">
        <f>IF(Notes!$B$2="June",ROUND('Budget by Source'!F304/10,0)+S304,ROUND('Budget by Source'!F304/10,0))</f>
        <v>75304</v>
      </c>
      <c r="G304" s="22">
        <f>IF(Notes!$B$2="June",ROUND('Budget by Source'!G304/10,0)+T304,ROUND('Budget by Source'!G304/10,0))</f>
        <v>393306</v>
      </c>
      <c r="H304" s="22">
        <f t="shared" si="12"/>
        <v>7803388</v>
      </c>
      <c r="I304" s="22">
        <f>INDEX(Data[],MATCH($A304,Data[Dist],0),MATCH(I$5,Data[#Headers],0))</f>
        <v>9246206</v>
      </c>
      <c r="K304" s="69">
        <f>INDEX('Payment Total'!$A$7:$H$331,MATCH('Payment by Source'!$A304,'Payment Total'!$A$7:$A$331,0),5)-I304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78194087</v>
      </c>
      <c r="V304" s="152">
        <f t="shared" si="13"/>
        <v>7819409</v>
      </c>
      <c r="W304" s="152">
        <f t="shared" si="14"/>
        <v>78194090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83620</v>
      </c>
      <c r="D305" s="22">
        <f>IF(Notes!$B$2="June",ROUND('Budget by Source'!D305/10,0)+Q305,ROUND('Budget by Source'!D305/10,0))</f>
        <v>771384</v>
      </c>
      <c r="E305" s="22">
        <f>IF(Notes!$B$2="June",ROUND('Budget by Source'!E305/10,0)+R305,ROUND('Budget by Source'!E305/10,0))</f>
        <v>101206</v>
      </c>
      <c r="F305" s="22">
        <f>IF(Notes!$B$2="June",ROUND('Budget by Source'!F305/10,0)+S305,ROUND('Budget by Source'!F305/10,0))</f>
        <v>80712</v>
      </c>
      <c r="G305" s="22">
        <f>IF(Notes!$B$2="June",ROUND('Budget by Source'!G305/10,0)+T305,ROUND('Budget by Source'!G305/10,0))</f>
        <v>484761</v>
      </c>
      <c r="H305" s="22">
        <f t="shared" si="12"/>
        <v>6730805</v>
      </c>
      <c r="I305" s="22">
        <f>INDEX(Data[],MATCH($A305,Data[Dist],0),MATCH(I$5,Data[#Headers],0))</f>
        <v>8252488</v>
      </c>
      <c r="K305" s="69">
        <f>INDEX('Payment Total'!$A$7:$H$331,MATCH('Payment by Source'!$A305,'Payment Total'!$A$7:$A$331,0),5)-I305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67505510</v>
      </c>
      <c r="V305" s="152">
        <f t="shared" si="13"/>
        <v>6750551</v>
      </c>
      <c r="W305" s="152">
        <f t="shared" si="14"/>
        <v>67505510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38019</v>
      </c>
      <c r="D306" s="22">
        <f>IF(Notes!$B$2="June",ROUND('Budget by Source'!D306/10,0)+Q306,ROUND('Budget by Source'!D306/10,0))</f>
        <v>153006</v>
      </c>
      <c r="E306" s="22">
        <f>IF(Notes!$B$2="June",ROUND('Budget by Source'!E306/10,0)+R306,ROUND('Budget by Source'!E306/10,0))</f>
        <v>14895</v>
      </c>
      <c r="F306" s="22">
        <f>IF(Notes!$B$2="June",ROUND('Budget by Source'!F306/10,0)+S306,ROUND('Budget by Source'!F306/10,0))</f>
        <v>17026</v>
      </c>
      <c r="G306" s="22">
        <f>IF(Notes!$B$2="June",ROUND('Budget by Source'!G306/10,0)+T306,ROUND('Budget by Source'!G306/10,0))</f>
        <v>80996</v>
      </c>
      <c r="H306" s="22">
        <f t="shared" si="12"/>
        <v>1258278</v>
      </c>
      <c r="I306" s="22">
        <f>INDEX(Data[],MATCH($A306,Data[Dist],0),MATCH(I$5,Data[#Headers],0))</f>
        <v>1562220</v>
      </c>
      <c r="K306" s="69">
        <f>INDEX('Payment Total'!$A$7:$H$331,MATCH('Payment by Source'!$A306,'Payment Total'!$A$7:$A$331,0),5)-I306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12615778</v>
      </c>
      <c r="V306" s="152">
        <f t="shared" si="13"/>
        <v>1261578</v>
      </c>
      <c r="W306" s="152">
        <f t="shared" si="14"/>
        <v>12615780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43507</v>
      </c>
      <c r="E307" s="22">
        <f>IF(Notes!$B$2="June",ROUND('Budget by Source'!E307/10,0)+R307,ROUND('Budget by Source'!E307/10,0))</f>
        <v>4915</v>
      </c>
      <c r="F307" s="22">
        <f>IF(Notes!$B$2="June",ROUND('Budget by Source'!F307/10,0)+S307,ROUND('Budget by Source'!F307/10,0))</f>
        <v>4855</v>
      </c>
      <c r="G307" s="22">
        <f>IF(Notes!$B$2="June",ROUND('Budget by Source'!G307/10,0)+T307,ROUND('Budget by Source'!G307/10,0))</f>
        <v>21172</v>
      </c>
      <c r="H307" s="22">
        <f t="shared" si="12"/>
        <v>281276</v>
      </c>
      <c r="I307" s="22">
        <f>INDEX(Data[],MATCH($A307,Data[Dist],0),MATCH(I$5,Data[#Headers],0))</f>
        <v>364087</v>
      </c>
      <c r="K307" s="69">
        <f>INDEX('Payment Total'!$A$7:$H$331,MATCH('Payment by Source'!$A307,'Payment Total'!$A$7:$A$331,0),5)-I307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2821392</v>
      </c>
      <c r="V307" s="152">
        <f t="shared" si="13"/>
        <v>282139</v>
      </c>
      <c r="W307" s="152">
        <f t="shared" si="14"/>
        <v>2821390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41050</v>
      </c>
      <c r="D308" s="22">
        <f>IF(Notes!$B$2="June",ROUND('Budget by Source'!D308/10,0)+Q308,ROUND('Budget by Source'!D308/10,0))</f>
        <v>116055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12838</v>
      </c>
      <c r="G308" s="22">
        <f>IF(Notes!$B$2="June",ROUND('Budget by Source'!G308/10,0)+T308,ROUND('Budget by Source'!G308/10,0))</f>
        <v>63726</v>
      </c>
      <c r="H308" s="22">
        <f t="shared" si="12"/>
        <v>925329</v>
      </c>
      <c r="I308" s="22">
        <f>INDEX(Data[],MATCH($A308,Data[Dist],0),MATCH(I$5,Data[#Headers],0))</f>
        <v>1173193</v>
      </c>
      <c r="K308" s="69">
        <f>INDEX('Payment Total'!$A$7:$H$331,MATCH('Payment by Source'!$A308,'Payment Total'!$A$7:$A$331,0),5)-I308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9279257</v>
      </c>
      <c r="V308" s="152">
        <f t="shared" si="13"/>
        <v>927926</v>
      </c>
      <c r="W308" s="152">
        <f t="shared" si="14"/>
        <v>9279260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6082</v>
      </c>
      <c r="D309" s="22">
        <f>IF(Notes!$B$2="June",ROUND('Budget by Source'!D309/10,0)+Q309,ROUND('Budget by Source'!D309/10,0))</f>
        <v>24057</v>
      </c>
      <c r="E309" s="22">
        <f>IF(Notes!$B$2="June",ROUND('Budget by Source'!E309/10,0)+R309,ROUND('Budget by Source'!E309/10,0))</f>
        <v>2327</v>
      </c>
      <c r="F309" s="22">
        <f>IF(Notes!$B$2="June",ROUND('Budget by Source'!F309/10,0)+S309,ROUND('Budget by Source'!F309/10,0))</f>
        <v>2574</v>
      </c>
      <c r="G309" s="22">
        <f>IF(Notes!$B$2="June",ROUND('Budget by Source'!G309/10,0)+T309,ROUND('Budget by Source'!G309/10,0))</f>
        <v>12092</v>
      </c>
      <c r="H309" s="22">
        <f t="shared" si="12"/>
        <v>95427</v>
      </c>
      <c r="I309" s="22">
        <f>INDEX(Data[],MATCH($A309,Data[Dist],0),MATCH(I$5,Data[#Headers],0))</f>
        <v>142559</v>
      </c>
      <c r="K309" s="69">
        <f>INDEX('Payment Total'!$A$7:$H$331,MATCH('Payment by Source'!$A309,'Payment Total'!$A$7:$A$331,0),5)-I309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1129768</v>
      </c>
      <c r="V309" s="152">
        <f t="shared" si="13"/>
        <v>112977</v>
      </c>
      <c r="W309" s="152">
        <f t="shared" si="14"/>
        <v>1129770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19765</v>
      </c>
      <c r="D310" s="22">
        <f>IF(Notes!$B$2="June",ROUND('Budget by Source'!D310/10,0)+Q310,ROUND('Budget by Source'!D310/10,0))</f>
        <v>51072</v>
      </c>
      <c r="E310" s="22">
        <f>IF(Notes!$B$2="June",ROUND('Budget by Source'!E310/10,0)+R310,ROUND('Budget by Source'!E310/10,0))</f>
        <v>5618</v>
      </c>
      <c r="F310" s="22">
        <f>IF(Notes!$B$2="June",ROUND('Budget by Source'!F310/10,0)+S310,ROUND('Budget by Source'!F310/10,0))</f>
        <v>5460</v>
      </c>
      <c r="G310" s="22">
        <f>IF(Notes!$B$2="June",ROUND('Budget by Source'!G310/10,0)+T310,ROUND('Budget by Source'!G310/10,0))</f>
        <v>28963</v>
      </c>
      <c r="H310" s="22">
        <f t="shared" si="12"/>
        <v>383800</v>
      </c>
      <c r="I310" s="22">
        <f>INDEX(Data[],MATCH($A310,Data[Dist],0),MATCH(I$5,Data[#Headers],0))</f>
        <v>494678</v>
      </c>
      <c r="K310" s="69">
        <f>INDEX('Payment Total'!$A$7:$H$331,MATCH('Payment by Source'!$A310,'Payment Total'!$A$7:$A$331,0),5)-I310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3849808</v>
      </c>
      <c r="V310" s="152">
        <f t="shared" si="13"/>
        <v>384981</v>
      </c>
      <c r="W310" s="152">
        <f t="shared" si="14"/>
        <v>3849810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11023</v>
      </c>
      <c r="D311" s="22">
        <f>IF(Notes!$B$2="June",ROUND('Budget by Source'!D311/10,0)+Q311,ROUND('Budget by Source'!D311/10,0))</f>
        <v>32582</v>
      </c>
      <c r="E311" s="22">
        <f>IF(Notes!$B$2="June",ROUND('Budget by Source'!E311/10,0)+R311,ROUND('Budget by Source'!E311/10,0))</f>
        <v>5216</v>
      </c>
      <c r="F311" s="22">
        <f>IF(Notes!$B$2="June",ROUND('Budget by Source'!F311/10,0)+S311,ROUND('Budget by Source'!F311/10,0))</f>
        <v>4163</v>
      </c>
      <c r="G311" s="22">
        <f>IF(Notes!$B$2="June",ROUND('Budget by Source'!G311/10,0)+T311,ROUND('Budget by Source'!G311/10,0))</f>
        <v>15242</v>
      </c>
      <c r="H311" s="22">
        <f t="shared" si="12"/>
        <v>191079</v>
      </c>
      <c r="I311" s="22">
        <f>INDEX(Data[],MATCH($A311,Data[Dist],0),MATCH(I$5,Data[#Headers],0))</f>
        <v>259305</v>
      </c>
      <c r="K311" s="69">
        <f>INDEX('Payment Total'!$A$7:$H$331,MATCH('Payment by Source'!$A311,'Payment Total'!$A$7:$A$331,0),5)-I311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2034798</v>
      </c>
      <c r="V311" s="152">
        <f t="shared" si="13"/>
        <v>203480</v>
      </c>
      <c r="W311" s="152">
        <f t="shared" si="14"/>
        <v>2034800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7973</v>
      </c>
      <c r="D312" s="22">
        <f>IF(Notes!$B$2="June",ROUND('Budget by Source'!D312/10,0)+Q312,ROUND('Budget by Source'!D312/10,0))</f>
        <v>18662</v>
      </c>
      <c r="E312" s="22">
        <f>IF(Notes!$B$2="June",ROUND('Budget by Source'!E312/10,0)+R312,ROUND('Budget by Source'!E312/10,0))</f>
        <v>1849</v>
      </c>
      <c r="F312" s="22">
        <f>IF(Notes!$B$2="June",ROUND('Budget by Source'!F312/10,0)+S312,ROUND('Budget by Source'!F312/10,0))</f>
        <v>1965</v>
      </c>
      <c r="G312" s="22">
        <f>IF(Notes!$B$2="June",ROUND('Budget by Source'!G312/10,0)+T312,ROUND('Budget by Source'!G312/10,0))</f>
        <v>9884</v>
      </c>
      <c r="H312" s="22">
        <f t="shared" si="12"/>
        <v>121370</v>
      </c>
      <c r="I312" s="22">
        <f>INDEX(Data[],MATCH($A312,Data[Dist],0),MATCH(I$5,Data[#Headers],0))</f>
        <v>161703</v>
      </c>
      <c r="K312" s="69">
        <f>INDEX('Payment Total'!$A$7:$H$331,MATCH('Payment by Source'!$A312,'Payment Total'!$A$7:$A$331,0),5)-I312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1217740</v>
      </c>
      <c r="V312" s="152">
        <f t="shared" si="13"/>
        <v>121774</v>
      </c>
      <c r="W312" s="152">
        <f t="shared" si="14"/>
        <v>1217740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30407</v>
      </c>
      <c r="D313" s="22">
        <f>IF(Notes!$B$2="June",ROUND('Budget by Source'!D313/10,0)+Q313,ROUND('Budget by Source'!D313/10,0))</f>
        <v>89300</v>
      </c>
      <c r="E313" s="22">
        <f>IF(Notes!$B$2="June",ROUND('Budget by Source'!E313/10,0)+R313,ROUND('Budget by Source'!E313/10,0))</f>
        <v>9870</v>
      </c>
      <c r="F313" s="22">
        <f>IF(Notes!$B$2="June",ROUND('Budget by Source'!F313/10,0)+S313,ROUND('Budget by Source'!F313/10,0))</f>
        <v>9928</v>
      </c>
      <c r="G313" s="22">
        <f>IF(Notes!$B$2="June",ROUND('Budget by Source'!G313/10,0)+T313,ROUND('Budget by Source'!G313/10,0))</f>
        <v>50249</v>
      </c>
      <c r="H313" s="22">
        <f t="shared" si="12"/>
        <v>698683</v>
      </c>
      <c r="I313" s="22">
        <f>INDEX(Data[],MATCH($A313,Data[Dist],0),MATCH(I$5,Data[#Headers],0))</f>
        <v>888437</v>
      </c>
      <c r="K313" s="69">
        <f>INDEX('Payment Total'!$A$7:$H$331,MATCH('Payment by Source'!$A313,'Payment Total'!$A$7:$A$331,0),5)-I313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7007293</v>
      </c>
      <c r="V313" s="152">
        <f t="shared" si="13"/>
        <v>700729</v>
      </c>
      <c r="W313" s="152">
        <f t="shared" si="14"/>
        <v>7007290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136063</v>
      </c>
      <c r="D314" s="22">
        <f>IF(Notes!$B$2="June",ROUND('Budget by Source'!D314/10,0)+Q314,ROUND('Budget by Source'!D314/10,0))</f>
        <v>545077</v>
      </c>
      <c r="E314" s="22">
        <f>IF(Notes!$B$2="June",ROUND('Budget by Source'!E314/10,0)+R314,ROUND('Budget by Source'!E314/10,0))</f>
        <v>61523</v>
      </c>
      <c r="F314" s="22">
        <f>IF(Notes!$B$2="June",ROUND('Budget by Source'!F314/10,0)+S314,ROUND('Budget by Source'!F314/10,0))</f>
        <v>62069</v>
      </c>
      <c r="G314" s="22">
        <f>IF(Notes!$B$2="June",ROUND('Budget by Source'!G314/10,0)+T314,ROUND('Budget by Source'!G314/10,0))</f>
        <v>319832</v>
      </c>
      <c r="H314" s="22">
        <f t="shared" si="12"/>
        <v>3948695</v>
      </c>
      <c r="I314" s="22">
        <f>INDEX(Data[],MATCH($A314,Data[Dist],0),MATCH(I$5,Data[#Headers],0))</f>
        <v>5073259</v>
      </c>
      <c r="K314" s="69">
        <f>INDEX('Payment Total'!$A$7:$H$331,MATCH('Payment by Source'!$A314,'Payment Total'!$A$7:$A$331,0),5)-I314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39617221</v>
      </c>
      <c r="V314" s="152">
        <f t="shared" si="13"/>
        <v>3961722</v>
      </c>
      <c r="W314" s="152">
        <f t="shared" si="14"/>
        <v>39617220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108326</v>
      </c>
      <c r="D315" s="22">
        <f>IF(Notes!$B$2="June",ROUND('Budget by Source'!D315/10,0)+Q315,ROUND('Budget by Source'!D315/10,0))</f>
        <v>208010</v>
      </c>
      <c r="E315" s="22">
        <f>IF(Notes!$B$2="June",ROUND('Budget by Source'!E315/10,0)+R315,ROUND('Budget by Source'!E315/10,0))</f>
        <v>24027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1554328</v>
      </c>
      <c r="I315" s="22">
        <f>INDEX(Data[],MATCH($A315,Data[Dist],0),MATCH(I$5,Data[#Headers],0))</f>
        <v>2035791</v>
      </c>
      <c r="K315" s="69">
        <f>INDEX('Payment Total'!$A$7:$H$331,MATCH('Payment by Source'!$A315,'Payment Total'!$A$7:$A$331,0),5)-I315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15591327</v>
      </c>
      <c r="V315" s="152">
        <f t="shared" si="13"/>
        <v>1559133</v>
      </c>
      <c r="W315" s="152">
        <f t="shared" si="14"/>
        <v>15591330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4561</v>
      </c>
      <c r="D316" s="22">
        <f>IF(Notes!$B$2="June",ROUND('Budget by Source'!D316/10,0)+Q316,ROUND('Budget by Source'!D316/10,0))</f>
        <v>23925</v>
      </c>
      <c r="E316" s="22">
        <f>IF(Notes!$B$2="June",ROUND('Budget by Source'!E316/10,0)+R316,ROUND('Budget by Source'!E316/10,0))</f>
        <v>2283</v>
      </c>
      <c r="F316" s="22">
        <f>IF(Notes!$B$2="June",ROUND('Budget by Source'!F316/10,0)+S316,ROUND('Budget by Source'!F316/10,0))</f>
        <v>2623</v>
      </c>
      <c r="G316" s="22">
        <f>IF(Notes!$B$2="June",ROUND('Budget by Source'!G316/10,0)+T316,ROUND('Budget by Source'!G316/10,0))</f>
        <v>13131</v>
      </c>
      <c r="H316" s="22">
        <f t="shared" si="12"/>
        <v>151720</v>
      </c>
      <c r="I316" s="22">
        <f>INDEX(Data[],MATCH($A316,Data[Dist],0),MATCH(I$5,Data[#Headers],0))</f>
        <v>198243</v>
      </c>
      <c r="K316" s="69">
        <f>INDEX('Payment Total'!$A$7:$H$331,MATCH('Payment by Source'!$A316,'Payment Total'!$A$7:$A$331,0),5)-I316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1522548</v>
      </c>
      <c r="V316" s="152">
        <f t="shared" si="13"/>
        <v>152255</v>
      </c>
      <c r="W316" s="152">
        <f t="shared" si="14"/>
        <v>1522550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23946</v>
      </c>
      <c r="D317" s="22">
        <f>IF(Notes!$B$2="June",ROUND('Budget by Source'!D317/10,0)+Q317,ROUND('Budget by Source'!D317/10,0))</f>
        <v>81698</v>
      </c>
      <c r="E317" s="22">
        <f>IF(Notes!$B$2="June",ROUND('Budget by Source'!E317/10,0)+R317,ROUND('Budget by Source'!E317/10,0))</f>
        <v>11102</v>
      </c>
      <c r="F317" s="22">
        <f>IF(Notes!$B$2="June",ROUND('Budget by Source'!F317/10,0)+S317,ROUND('Budget by Source'!F317/10,0))</f>
        <v>8616</v>
      </c>
      <c r="G317" s="22">
        <f>IF(Notes!$B$2="June",ROUND('Budget by Source'!G317/10,0)+T317,ROUND('Budget by Source'!G317/10,0))</f>
        <v>45517</v>
      </c>
      <c r="H317" s="22">
        <f t="shared" si="12"/>
        <v>806151</v>
      </c>
      <c r="I317" s="22">
        <f>INDEX(Data[],MATCH($A317,Data[Dist],0),MATCH(I$5,Data[#Headers],0))</f>
        <v>977030</v>
      </c>
      <c r="K317" s="69">
        <f>INDEX('Payment Total'!$A$7:$H$331,MATCH('Payment by Source'!$A317,'Payment Total'!$A$7:$A$331,0),5)-I317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8080041</v>
      </c>
      <c r="V317" s="152">
        <f t="shared" si="13"/>
        <v>808004</v>
      </c>
      <c r="W317" s="152">
        <f t="shared" si="14"/>
        <v>8080040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30027</v>
      </c>
      <c r="D318" s="22">
        <f>IF(Notes!$B$2="June",ROUND('Budget by Source'!D318/10,0)+Q318,ROUND('Budget by Source'!D318/10,0))</f>
        <v>58261</v>
      </c>
      <c r="E318" s="22">
        <f>IF(Notes!$B$2="June",ROUND('Budget by Source'!E318/10,0)+R318,ROUND('Budget by Source'!E318/10,0))</f>
        <v>6741</v>
      </c>
      <c r="F318" s="22">
        <f>IF(Notes!$B$2="June",ROUND('Budget by Source'!F318/10,0)+S318,ROUND('Budget by Source'!F318/10,0))</f>
        <v>6558</v>
      </c>
      <c r="G318" s="22">
        <f>IF(Notes!$B$2="June",ROUND('Budget by Source'!G318/10,0)+T318,ROUND('Budget by Source'!G318/10,0))</f>
        <v>34583</v>
      </c>
      <c r="H318" s="22">
        <f t="shared" si="12"/>
        <v>423882</v>
      </c>
      <c r="I318" s="22">
        <f>INDEX(Data[],MATCH($A318,Data[Dist],0),MATCH(I$5,Data[#Headers],0))</f>
        <v>560052</v>
      </c>
      <c r="K318" s="69">
        <f>INDEX('Payment Total'!$A$7:$H$331,MATCH('Payment by Source'!$A318,'Payment Total'!$A$7:$A$331,0),5)-I318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4252915</v>
      </c>
      <c r="V318" s="152">
        <f t="shared" si="13"/>
        <v>425292</v>
      </c>
      <c r="W318" s="152">
        <f t="shared" si="14"/>
        <v>4252920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17864</v>
      </c>
      <c r="D319" s="22">
        <f>IF(Notes!$B$2="June",ROUND('Budget by Source'!D319/10,0)+Q319,ROUND('Budget by Source'!D319/10,0))</f>
        <v>51772</v>
      </c>
      <c r="E319" s="22">
        <f>IF(Notes!$B$2="June",ROUND('Budget by Source'!E319/10,0)+R319,ROUND('Budget by Source'!E319/10,0))</f>
        <v>6242</v>
      </c>
      <c r="F319" s="22">
        <f>IF(Notes!$B$2="June",ROUND('Budget by Source'!F319/10,0)+S319,ROUND('Budget by Source'!F319/10,0))</f>
        <v>5126</v>
      </c>
      <c r="G319" s="22">
        <f>IF(Notes!$B$2="June",ROUND('Budget by Source'!G319/10,0)+T319,ROUND('Budget by Source'!G319/10,0))</f>
        <v>29111</v>
      </c>
      <c r="H319" s="22">
        <f t="shared" si="12"/>
        <v>407796</v>
      </c>
      <c r="I319" s="22">
        <f>INDEX(Data[],MATCH($A319,Data[Dist],0),MATCH(I$5,Data[#Headers],0))</f>
        <v>517911</v>
      </c>
      <c r="K319" s="69">
        <f>INDEX('Payment Total'!$A$7:$H$331,MATCH('Payment by Source'!$A319,'Payment Total'!$A$7:$A$331,0),5)-I319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4089775</v>
      </c>
      <c r="V319" s="152">
        <f t="shared" si="13"/>
        <v>408978</v>
      </c>
      <c r="W319" s="152">
        <f t="shared" si="14"/>
        <v>4089780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11792</v>
      </c>
      <c r="D320" s="22">
        <f>IF(Notes!$B$2="June",ROUND('Budget by Source'!D320/10,0)+Q320,ROUND('Budget by Source'!D320/10,0))</f>
        <v>40718</v>
      </c>
      <c r="E320" s="22">
        <f>IF(Notes!$B$2="June",ROUND('Budget by Source'!E320/10,0)+R320,ROUND('Budget by Source'!E320/10,0))</f>
        <v>4654</v>
      </c>
      <c r="F320" s="22">
        <f>IF(Notes!$B$2="June",ROUND('Budget by Source'!F320/10,0)+S320,ROUND('Budget by Source'!F320/10,0))</f>
        <v>4340</v>
      </c>
      <c r="G320" s="22">
        <f>IF(Notes!$B$2="June",ROUND('Budget by Source'!G320/10,0)+T320,ROUND('Budget by Source'!G320/10,0))</f>
        <v>22178</v>
      </c>
      <c r="H320" s="22">
        <f t="shared" si="12"/>
        <v>311514</v>
      </c>
      <c r="I320" s="22">
        <f>INDEX(Data[],MATCH($A320,Data[Dist],0),MATCH(I$5,Data[#Headers],0))</f>
        <v>395196</v>
      </c>
      <c r="K320" s="69">
        <f>INDEX('Payment Total'!$A$7:$H$331,MATCH('Payment by Source'!$A320,'Payment Total'!$A$7:$A$331,0),5)-I320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3152757</v>
      </c>
      <c r="V320" s="152">
        <f t="shared" si="13"/>
        <v>315276</v>
      </c>
      <c r="W320" s="152">
        <f t="shared" si="14"/>
        <v>3152760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14063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6499</v>
      </c>
      <c r="F321" s="22">
        <f>IF(Notes!$B$2="June",ROUND('Budget by Source'!F321/10,0)+S321,ROUND('Budget by Source'!F321/10,0))</f>
        <v>6266</v>
      </c>
      <c r="G321" s="22">
        <f>IF(Notes!$B$2="June",ROUND('Budget by Source'!G321/10,0)+T321,ROUND('Budget by Source'!G321/10,0))</f>
        <v>29302</v>
      </c>
      <c r="H321" s="22">
        <f t="shared" si="12"/>
        <v>529986</v>
      </c>
      <c r="I321" s="22">
        <f>INDEX(Data[],MATCH($A321,Data[Dist],0),MATCH(I$5,Data[#Headers],0))</f>
        <v>640737</v>
      </c>
      <c r="K321" s="69">
        <f>INDEX('Payment Total'!$A$7:$H$331,MATCH('Payment by Source'!$A321,'Payment Total'!$A$7:$A$331,0),5)-I321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5311794</v>
      </c>
      <c r="V321" s="152">
        <f t="shared" si="13"/>
        <v>531179</v>
      </c>
      <c r="W321" s="152">
        <f t="shared" si="14"/>
        <v>5311790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12543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4203</v>
      </c>
      <c r="F322" s="22">
        <f>IF(Notes!$B$2="June",ROUND('Budget by Source'!F322/10,0)+S322,ROUND('Budget by Source'!F322/10,0))</f>
        <v>4225</v>
      </c>
      <c r="G322" s="22">
        <f>IF(Notes!$B$2="June",ROUND('Budget by Source'!G322/10,0)+T322,ROUND('Budget by Source'!G322/10,0))</f>
        <v>19595</v>
      </c>
      <c r="H322" s="22">
        <f t="shared" si="12"/>
        <v>197109</v>
      </c>
      <c r="I322" s="22">
        <f>INDEX(Data[],MATCH($A322,Data[Dist],0),MATCH(I$5,Data[#Headers],0))</f>
        <v>274374</v>
      </c>
      <c r="K322" s="69">
        <f>INDEX('Payment Total'!$A$7:$H$331,MATCH('Payment by Source'!$A322,'Payment Total'!$A$7:$A$331,0),5)-I322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1979065</v>
      </c>
      <c r="V322" s="152">
        <f t="shared" si="13"/>
        <v>197907</v>
      </c>
      <c r="W322" s="152">
        <f t="shared" si="14"/>
        <v>1979070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4181</v>
      </c>
      <c r="D323" s="22">
        <f>IF(Notes!$B$2="June",ROUND('Budget by Source'!D323/10,0)+Q323,ROUND('Budget by Source'!D323/10,0))</f>
        <v>14890</v>
      </c>
      <c r="E323" s="22">
        <f>IF(Notes!$B$2="June",ROUND('Budget by Source'!E323/10,0)+R323,ROUND('Budget by Source'!E323/10,0))</f>
        <v>1847</v>
      </c>
      <c r="F323" s="22">
        <f>IF(Notes!$B$2="June",ROUND('Budget by Source'!F323/10,0)+S323,ROUND('Budget by Source'!F323/10,0))</f>
        <v>1679</v>
      </c>
      <c r="G323" s="22">
        <f>IF(Notes!$B$2="June",ROUND('Budget by Source'!G323/10,0)+T323,ROUND('Budget by Source'!G323/10,0))</f>
        <v>6906</v>
      </c>
      <c r="H323" s="22">
        <f t="shared" si="12"/>
        <v>75025</v>
      </c>
      <c r="I323" s="22">
        <f>INDEX(Data[],MATCH($A323,Data[Dist],0),MATCH(I$5,Data[#Headers],0))</f>
        <v>104528</v>
      </c>
      <c r="K323" s="69">
        <f>INDEX('Payment Total'!$A$7:$H$331,MATCH('Payment by Source'!$A323,'Payment Total'!$A$7:$A$331,0),5)-I323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753011</v>
      </c>
      <c r="V323" s="152">
        <f t="shared" si="13"/>
        <v>75301</v>
      </c>
      <c r="W323" s="152">
        <f t="shared" si="14"/>
        <v>753010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23575</v>
      </c>
      <c r="D324" s="22">
        <f>IF(Notes!$B$2="June",ROUND('Budget by Source'!D324/10,0)+Q324,ROUND('Budget by Source'!D324/10,0))</f>
        <v>76102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8355</v>
      </c>
      <c r="G324" s="22">
        <f>IF(Notes!$B$2="June",ROUND('Budget by Source'!G324/10,0)+T324,ROUND('Budget by Source'!G324/10,0))</f>
        <v>42757</v>
      </c>
      <c r="H324" s="22">
        <f t="shared" si="12"/>
        <v>618520</v>
      </c>
      <c r="I324" s="22">
        <f>INDEX(Data[],MATCH($A324,Data[Dist],0),MATCH(I$5,Data[#Headers],0))</f>
        <v>776776</v>
      </c>
      <c r="K324" s="69">
        <f>INDEX('Payment Total'!$A$7:$H$331,MATCH('Payment by Source'!$A324,'Payment Total'!$A$7:$A$331,0),5)-I324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6202623</v>
      </c>
      <c r="V324" s="152">
        <f t="shared" si="13"/>
        <v>620262</v>
      </c>
      <c r="W324" s="152">
        <f t="shared" si="14"/>
        <v>6202620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21285</v>
      </c>
      <c r="D325" s="22">
        <f>IF(Notes!$B$2="June",ROUND('Budget by Source'!D325/10,0)+Q325,ROUND('Budget by Source'!D325/10,0))</f>
        <v>57074</v>
      </c>
      <c r="E325" s="22">
        <f>IF(Notes!$B$2="June",ROUND('Budget by Source'!E325/10,0)+R325,ROUND('Budget by Source'!E325/10,0))</f>
        <v>6528</v>
      </c>
      <c r="F325" s="22">
        <f>IF(Notes!$B$2="June",ROUND('Budget by Source'!F325/10,0)+S325,ROUND('Budget by Source'!F325/10,0))</f>
        <v>6382</v>
      </c>
      <c r="G325" s="22">
        <f>IF(Notes!$B$2="June",ROUND('Budget by Source'!G325/10,0)+T325,ROUND('Budget by Source'!G325/10,0))</f>
        <v>31395</v>
      </c>
      <c r="H325" s="22">
        <f t="shared" si="12"/>
        <v>502719</v>
      </c>
      <c r="I325" s="22">
        <f>INDEX(Data[],MATCH($A325,Data[Dist],0),MATCH(I$5,Data[#Headers],0))</f>
        <v>625383</v>
      </c>
      <c r="K325" s="69">
        <f>INDEX('Payment Total'!$A$7:$H$331,MATCH('Payment by Source'!$A325,'Payment Total'!$A$7:$A$331,0),5)-I325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5039977</v>
      </c>
      <c r="V325" s="152">
        <f t="shared" si="13"/>
        <v>503998</v>
      </c>
      <c r="W325" s="152">
        <f t="shared" si="14"/>
        <v>5039980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7222</v>
      </c>
      <c r="D326" s="22">
        <f>IF(Notes!$B$2="June",ROUND('Budget by Source'!D326/10,0)+Q326,ROUND('Budget by Source'!D326/10,0))</f>
        <v>20915</v>
      </c>
      <c r="E326" s="22">
        <f>IF(Notes!$B$2="June",ROUND('Budget by Source'!E326/10,0)+R326,ROUND('Budget by Source'!E326/10,0))</f>
        <v>2575</v>
      </c>
      <c r="F326" s="22">
        <f>IF(Notes!$B$2="June",ROUND('Budget by Source'!F326/10,0)+S326,ROUND('Budget by Source'!F326/10,0))</f>
        <v>2278</v>
      </c>
      <c r="G326" s="22">
        <f>IF(Notes!$B$2="June",ROUND('Budget by Source'!G326/10,0)+T326,ROUND('Budget by Source'!G326/10,0))</f>
        <v>11284</v>
      </c>
      <c r="H326" s="22">
        <f t="shared" si="12"/>
        <v>172824</v>
      </c>
      <c r="I326" s="22">
        <f>INDEX(Data[],MATCH($A326,Data[Dist],0),MATCH(I$5,Data[#Headers],0))</f>
        <v>217098</v>
      </c>
      <c r="K326" s="69">
        <f>INDEX('Payment Total'!$A$7:$H$331,MATCH('Payment by Source'!$A326,'Payment Total'!$A$7:$A$331,0),5)-I326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1732848</v>
      </c>
      <c r="V326" s="152">
        <f t="shared" si="13"/>
        <v>173285</v>
      </c>
      <c r="W326" s="152">
        <f t="shared" si="14"/>
        <v>1732850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25466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13702</v>
      </c>
      <c r="F327" s="22">
        <f>IF(Notes!$B$2="June",ROUND('Budget by Source'!F327/10,0)+S327,ROUND('Budget by Source'!F327/10,0))</f>
        <v>11544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957073</v>
      </c>
      <c r="I327" s="22">
        <f>INDEX(Data[],MATCH($A327,Data[Dist],0),MATCH(I$5,Data[#Headers],0))</f>
        <v>1175397</v>
      </c>
      <c r="K327" s="69">
        <f>INDEX('Payment Total'!$A$7:$H$331,MATCH('Payment by Source'!$A327,'Payment Total'!$A$7:$A$331,0),5)-I327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9595754</v>
      </c>
      <c r="V327" s="152">
        <f t="shared" ref="V327:V329" si="16">ROUND(U327/10,0)</f>
        <v>959575</v>
      </c>
      <c r="W327" s="152">
        <f t="shared" ref="W327:W329" si="17">V327*10</f>
        <v>9595750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15204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3854</v>
      </c>
      <c r="F328" s="22">
        <f>IF(Notes!$B$2="June",ROUND('Budget by Source'!F328/10,0)+S328,ROUND('Budget by Source'!F328/10,0))</f>
        <v>3692</v>
      </c>
      <c r="G328" s="22">
        <f>IF(Notes!$B$2="June",ROUND('Budget by Source'!G328/10,0)+T328,ROUND('Budget by Source'!G328/10,0))</f>
        <v>17174</v>
      </c>
      <c r="H328" s="22">
        <f t="shared" si="15"/>
        <v>250697</v>
      </c>
      <c r="I328" s="22">
        <f>INDEX(Data[],MATCH($A328,Data[Dist],0),MATCH(I$5,Data[#Headers],0))</f>
        <v>323550</v>
      </c>
      <c r="K328" s="69">
        <f>INDEX('Payment Total'!$A$7:$H$331,MATCH('Payment by Source'!$A328,'Payment Total'!$A$7:$A$331,0),5)-I328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2513968</v>
      </c>
      <c r="V328" s="152">
        <f t="shared" si="16"/>
        <v>251397</v>
      </c>
      <c r="W328" s="152">
        <f t="shared" si="17"/>
        <v>2513970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10263</v>
      </c>
      <c r="D329" s="22">
        <f>IF(Notes!$B$2="June",ROUND('Budget by Source'!D329/10,0)+Q329,ROUND('Budget by Source'!D329/10,0))</f>
        <v>33984</v>
      </c>
      <c r="E329" s="22">
        <f>IF(Notes!$B$2="June",ROUND('Budget by Source'!E329/10,0)+R329,ROUND('Budget by Source'!E329/10,0))</f>
        <v>3901</v>
      </c>
      <c r="F329" s="22">
        <f>IF(Notes!$B$2="June",ROUND('Budget by Source'!F329/10,0)+S329,ROUND('Budget by Source'!F329/10,0))</f>
        <v>3717</v>
      </c>
      <c r="G329" s="22">
        <f>IF(Notes!$B$2="June",ROUND('Budget by Source'!G329/10,0)+T329,ROUND('Budget by Source'!G329/10,0))</f>
        <v>19035</v>
      </c>
      <c r="H329" s="22">
        <f t="shared" si="15"/>
        <v>292366</v>
      </c>
      <c r="I329" s="22">
        <f>INDEX(Data[],MATCH($A329,Data[Dist],0),MATCH(I$5,Data[#Headers],0))</f>
        <v>363266</v>
      </c>
      <c r="K329" s="69">
        <f>INDEX('Payment Total'!$A$7:$H$331,MATCH('Payment by Source'!$A329,'Payment Total'!$A$7:$A$331,0),5)-I329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2931423</v>
      </c>
      <c r="V329" s="152">
        <f t="shared" si="16"/>
        <v>293142</v>
      </c>
      <c r="W329" s="152">
        <f t="shared" si="17"/>
        <v>2931420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24326</v>
      </c>
      <c r="D330" s="22">
        <f>IF(Notes!$B$2="June",ROUND('Budget by Source'!D330/10,0)+Q330,ROUND('Budget by Source'!D330/10,0))</f>
        <v>69180</v>
      </c>
      <c r="E330" s="22">
        <f>IF(Notes!$B$2="June",ROUND('Budget by Source'!E330/10,0)+R330,ROUND('Budget by Source'!E330/10,0))</f>
        <v>7751</v>
      </c>
      <c r="F330" s="22">
        <f>IF(Notes!$B$2="June",ROUND('Budget by Source'!F330/10,0)+S330,ROUND('Budget by Source'!F330/10,0))</f>
        <v>7311</v>
      </c>
      <c r="G330" s="22">
        <f>IF(Notes!$B$2="June",ROUND('Budget by Source'!G330/10,0)+T330,ROUND('Budget by Source'!G330/10,0))</f>
        <v>39171</v>
      </c>
      <c r="H330" s="22">
        <f t="shared" si="15"/>
        <v>589235</v>
      </c>
      <c r="I330" s="22">
        <f>INDEX(Data[],MATCH($A330,Data[Dist],0),MATCH(I$5,Data[#Headers],0))</f>
        <v>736974</v>
      </c>
      <c r="K330" s="69">
        <f>INDEX('Payment Total'!$A$7:$H$331,MATCH('Payment by Source'!$A330,'Payment Total'!$A$7:$A$331,0),5)-I330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5908318</v>
      </c>
      <c r="V330" s="152">
        <f>ROUND(U330/10,0)</f>
        <v>590832</v>
      </c>
      <c r="W330" s="152">
        <f>V330*10</f>
        <v>5908320</v>
      </c>
    </row>
    <row r="331" spans="1:23" ht="13.5" thickBot="1" x14ac:dyDescent="0.25">
      <c r="A331" s="122" t="s">
        <v>788</v>
      </c>
      <c r="B331" s="21" t="s">
        <v>787</v>
      </c>
      <c r="C331" s="24">
        <f t="shared" ref="C331:I331" si="18">SUM(C6:C330)</f>
        <v>8982323</v>
      </c>
      <c r="D331" s="24">
        <f t="shared" si="18"/>
        <v>31793036</v>
      </c>
      <c r="E331" s="24">
        <f t="shared" si="18"/>
        <v>3911609</v>
      </c>
      <c r="F331" s="24">
        <f t="shared" si="18"/>
        <v>3598708</v>
      </c>
      <c r="G331" s="24">
        <f t="shared" si="18"/>
        <v>17941539</v>
      </c>
      <c r="H331" s="24">
        <f t="shared" si="18"/>
        <v>278373178</v>
      </c>
      <c r="I331" s="24">
        <f t="shared" si="18"/>
        <v>344600393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791</v>
      </c>
      <c r="T4" s="224"/>
      <c r="U4" s="224"/>
    </row>
    <row r="5" spans="1:22" ht="45" x14ac:dyDescent="0.25">
      <c r="A5" s="188" t="s">
        <v>352</v>
      </c>
      <c r="B5" s="188" t="s">
        <v>815</v>
      </c>
      <c r="C5" s="177" t="s">
        <v>797</v>
      </c>
      <c r="D5" s="188" t="s">
        <v>816</v>
      </c>
      <c r="E5" s="188" t="s">
        <v>817</v>
      </c>
      <c r="F5" s="178" t="s">
        <v>353</v>
      </c>
      <c r="G5" s="179" t="s">
        <v>802</v>
      </c>
      <c r="H5" s="180" t="s">
        <v>792</v>
      </c>
      <c r="I5" s="181" t="s">
        <v>793</v>
      </c>
      <c r="J5" s="182"/>
      <c r="K5" s="183" t="s">
        <v>726</v>
      </c>
      <c r="L5" s="181" t="s">
        <v>794</v>
      </c>
      <c r="M5" s="181" t="s">
        <v>795</v>
      </c>
      <c r="N5" s="191"/>
      <c r="O5" s="184" t="s">
        <v>726</v>
      </c>
      <c r="P5" s="180" t="s">
        <v>794</v>
      </c>
      <c r="Q5" s="180" t="s">
        <v>795</v>
      </c>
      <c r="R5" s="191"/>
      <c r="S5" s="184" t="s">
        <v>726</v>
      </c>
      <c r="T5" s="180" t="s">
        <v>794</v>
      </c>
      <c r="U5" s="180" t="s">
        <v>795</v>
      </c>
    </row>
    <row r="6" spans="1:22" x14ac:dyDescent="0.25">
      <c r="A6" s="192">
        <v>2021</v>
      </c>
      <c r="B6" s="192" t="s">
        <v>818</v>
      </c>
      <c r="C6" s="193" t="s">
        <v>20</v>
      </c>
      <c r="D6" s="194" t="s">
        <v>819</v>
      </c>
      <c r="E6" s="194" t="s">
        <v>819</v>
      </c>
      <c r="F6" s="194" t="s">
        <v>20</v>
      </c>
      <c r="G6" s="193" t="s">
        <v>380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818</v>
      </c>
      <c r="C7" s="193" t="s">
        <v>21</v>
      </c>
      <c r="D7" s="194" t="s">
        <v>819</v>
      </c>
      <c r="E7" s="194" t="s">
        <v>819</v>
      </c>
      <c r="F7" s="194" t="s">
        <v>21</v>
      </c>
      <c r="G7" s="193" t="s">
        <v>381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820</v>
      </c>
      <c r="C8" s="193" t="s">
        <v>19</v>
      </c>
      <c r="D8" s="194" t="s">
        <v>819</v>
      </c>
      <c r="E8" s="194" t="s">
        <v>819</v>
      </c>
      <c r="F8" s="194" t="s">
        <v>19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821</v>
      </c>
      <c r="C9" s="193" t="s">
        <v>41</v>
      </c>
      <c r="D9" s="194" t="s">
        <v>819</v>
      </c>
      <c r="E9" s="194" t="s">
        <v>819</v>
      </c>
      <c r="F9" s="194" t="s">
        <v>41</v>
      </c>
      <c r="G9" s="193" t="s">
        <v>18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822</v>
      </c>
      <c r="C10" s="193" t="s">
        <v>22</v>
      </c>
      <c r="D10" s="194" t="s">
        <v>819</v>
      </c>
      <c r="E10" s="194" t="s">
        <v>819</v>
      </c>
      <c r="F10" s="194" t="s">
        <v>22</v>
      </c>
      <c r="G10" s="193" t="s">
        <v>382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823</v>
      </c>
      <c r="C11" s="193" t="s">
        <v>23</v>
      </c>
      <c r="D11" s="194" t="s">
        <v>819</v>
      </c>
      <c r="E11" s="194" t="s">
        <v>819</v>
      </c>
      <c r="F11" s="194" t="s">
        <v>23</v>
      </c>
      <c r="G11" s="193" t="s">
        <v>383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824</v>
      </c>
      <c r="C12" s="193" t="s">
        <v>24</v>
      </c>
      <c r="D12" s="194" t="s">
        <v>819</v>
      </c>
      <c r="E12" s="194" t="s">
        <v>819</v>
      </c>
      <c r="F12" s="194" t="s">
        <v>24</v>
      </c>
      <c r="G12" s="193" t="s">
        <v>384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825</v>
      </c>
      <c r="C13" s="193" t="s">
        <v>25</v>
      </c>
      <c r="D13" s="194" t="s">
        <v>819</v>
      </c>
      <c r="E13" s="194" t="s">
        <v>819</v>
      </c>
      <c r="F13" s="194" t="s">
        <v>25</v>
      </c>
      <c r="G13" s="193" t="s">
        <v>385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820</v>
      </c>
      <c r="C14" s="193" t="s">
        <v>26</v>
      </c>
      <c r="D14" s="194" t="s">
        <v>819</v>
      </c>
      <c r="E14" s="194" t="s">
        <v>819</v>
      </c>
      <c r="F14" s="194" t="s">
        <v>26</v>
      </c>
      <c r="G14" s="193" t="s">
        <v>386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823</v>
      </c>
      <c r="C15" s="193" t="s">
        <v>27</v>
      </c>
      <c r="D15" s="194" t="s">
        <v>826</v>
      </c>
      <c r="E15" s="194" t="s">
        <v>819</v>
      </c>
      <c r="F15" s="194" t="s">
        <v>27</v>
      </c>
      <c r="G15" s="193" t="s">
        <v>387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827</v>
      </c>
      <c r="C16" s="193" t="s">
        <v>28</v>
      </c>
      <c r="D16" s="194" t="s">
        <v>819</v>
      </c>
      <c r="E16" s="194" t="s">
        <v>819</v>
      </c>
      <c r="F16" s="194" t="s">
        <v>28</v>
      </c>
      <c r="G16" s="193" t="s">
        <v>388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823</v>
      </c>
      <c r="C17" s="193" t="s">
        <v>30</v>
      </c>
      <c r="D17" s="194" t="s">
        <v>40</v>
      </c>
      <c r="E17" s="194" t="s">
        <v>819</v>
      </c>
      <c r="F17" s="194" t="s">
        <v>30</v>
      </c>
      <c r="G17" s="193" t="s">
        <v>798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818</v>
      </c>
      <c r="C18" s="193" t="s">
        <v>31</v>
      </c>
      <c r="D18" s="194" t="s">
        <v>819</v>
      </c>
      <c r="E18" s="194" t="s">
        <v>819</v>
      </c>
      <c r="F18" s="194" t="s">
        <v>31</v>
      </c>
      <c r="G18" s="193" t="s">
        <v>390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825</v>
      </c>
      <c r="C19" s="193" t="s">
        <v>32</v>
      </c>
      <c r="D19" s="194" t="s">
        <v>819</v>
      </c>
      <c r="E19" s="194" t="s">
        <v>819</v>
      </c>
      <c r="F19" s="194" t="s">
        <v>32</v>
      </c>
      <c r="G19" s="193" t="s">
        <v>391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828</v>
      </c>
      <c r="C20" s="193" t="s">
        <v>33</v>
      </c>
      <c r="D20" s="194" t="s">
        <v>819</v>
      </c>
      <c r="E20" s="194" t="s">
        <v>819</v>
      </c>
      <c r="F20" s="194" t="s">
        <v>33</v>
      </c>
      <c r="G20" s="193" t="s">
        <v>392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818</v>
      </c>
      <c r="C21" s="193" t="s">
        <v>34</v>
      </c>
      <c r="D21" s="194" t="s">
        <v>819</v>
      </c>
      <c r="E21" s="194" t="s">
        <v>819</v>
      </c>
      <c r="F21" s="194" t="s">
        <v>34</v>
      </c>
      <c r="G21" s="193" t="s">
        <v>393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820</v>
      </c>
      <c r="C22" s="193" t="s">
        <v>35</v>
      </c>
      <c r="D22" s="194" t="s">
        <v>819</v>
      </c>
      <c r="E22" s="194" t="s">
        <v>819</v>
      </c>
      <c r="F22" s="194" t="s">
        <v>35</v>
      </c>
      <c r="G22" s="193" t="s">
        <v>394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822</v>
      </c>
      <c r="C23" s="193" t="s">
        <v>37</v>
      </c>
      <c r="D23" s="194" t="s">
        <v>819</v>
      </c>
      <c r="E23" s="194" t="s">
        <v>819</v>
      </c>
      <c r="F23" s="194" t="s">
        <v>37</v>
      </c>
      <c r="G23" s="193" t="s">
        <v>396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821</v>
      </c>
      <c r="C24" s="193" t="s">
        <v>38</v>
      </c>
      <c r="D24" s="194" t="s">
        <v>819</v>
      </c>
      <c r="E24" s="194" t="s">
        <v>819</v>
      </c>
      <c r="F24" s="194" t="s">
        <v>38</v>
      </c>
      <c r="G24" s="193" t="s">
        <v>397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818</v>
      </c>
      <c r="C25" s="193" t="s">
        <v>39</v>
      </c>
      <c r="D25" s="194" t="s">
        <v>819</v>
      </c>
      <c r="E25" s="194" t="s">
        <v>819</v>
      </c>
      <c r="F25" s="194" t="s">
        <v>39</v>
      </c>
      <c r="G25" s="193" t="s">
        <v>398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818</v>
      </c>
      <c r="C26" s="193" t="s">
        <v>42</v>
      </c>
      <c r="D26" s="194" t="s">
        <v>819</v>
      </c>
      <c r="E26" s="194" t="s">
        <v>819</v>
      </c>
      <c r="F26" s="194" t="s">
        <v>42</v>
      </c>
      <c r="G26" s="193" t="s">
        <v>399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818</v>
      </c>
      <c r="C27" s="193" t="s">
        <v>44</v>
      </c>
      <c r="D27" s="194" t="s">
        <v>819</v>
      </c>
      <c r="E27" s="194" t="s">
        <v>819</v>
      </c>
      <c r="F27" s="194" t="s">
        <v>44</v>
      </c>
      <c r="G27" s="193" t="s">
        <v>400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820</v>
      </c>
      <c r="C28" s="193" t="s">
        <v>45</v>
      </c>
      <c r="D28" s="194" t="s">
        <v>819</v>
      </c>
      <c r="E28" s="194" t="s">
        <v>819</v>
      </c>
      <c r="F28" s="194" t="s">
        <v>45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821</v>
      </c>
      <c r="C29" s="193" t="s">
        <v>46</v>
      </c>
      <c r="D29" s="194" t="s">
        <v>819</v>
      </c>
      <c r="E29" s="194" t="s">
        <v>819</v>
      </c>
      <c r="F29" s="194" t="s">
        <v>46</v>
      </c>
      <c r="G29" s="193" t="s">
        <v>401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825</v>
      </c>
      <c r="C30" s="193" t="s">
        <v>47</v>
      </c>
      <c r="D30" s="194" t="s">
        <v>819</v>
      </c>
      <c r="E30" s="194" t="s">
        <v>819</v>
      </c>
      <c r="F30" s="194" t="s">
        <v>47</v>
      </c>
      <c r="G30" s="193" t="s">
        <v>402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828</v>
      </c>
      <c r="C31" s="193" t="s">
        <v>48</v>
      </c>
      <c r="D31" s="194" t="s">
        <v>819</v>
      </c>
      <c r="E31" s="194" t="s">
        <v>819</v>
      </c>
      <c r="F31" s="194" t="s">
        <v>48</v>
      </c>
      <c r="G31" s="193" t="s">
        <v>403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820</v>
      </c>
      <c r="C32" s="193" t="s">
        <v>49</v>
      </c>
      <c r="D32" s="194" t="s">
        <v>819</v>
      </c>
      <c r="E32" s="194" t="s">
        <v>819</v>
      </c>
      <c r="F32" s="194" t="s">
        <v>49</v>
      </c>
      <c r="G32" s="193" t="s">
        <v>404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828</v>
      </c>
      <c r="C33" s="193" t="s">
        <v>50</v>
      </c>
      <c r="D33" s="194" t="s">
        <v>819</v>
      </c>
      <c r="E33" s="194" t="s">
        <v>819</v>
      </c>
      <c r="F33" s="194" t="s">
        <v>50</v>
      </c>
      <c r="G33" s="193" t="s">
        <v>405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825</v>
      </c>
      <c r="C34" s="193" t="s">
        <v>51</v>
      </c>
      <c r="D34" s="194" t="s">
        <v>819</v>
      </c>
      <c r="E34" s="194" t="s">
        <v>819</v>
      </c>
      <c r="F34" s="194" t="s">
        <v>51</v>
      </c>
      <c r="G34" s="193" t="s">
        <v>406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828</v>
      </c>
      <c r="C35" s="193" t="s">
        <v>52</v>
      </c>
      <c r="D35" s="194" t="s">
        <v>819</v>
      </c>
      <c r="E35" s="194" t="s">
        <v>819</v>
      </c>
      <c r="F35" s="194" t="s">
        <v>52</v>
      </c>
      <c r="G35" s="193" t="s">
        <v>407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818</v>
      </c>
      <c r="C36" s="193" t="s">
        <v>54</v>
      </c>
      <c r="D36" s="194" t="s">
        <v>819</v>
      </c>
      <c r="E36" s="194" t="s">
        <v>819</v>
      </c>
      <c r="F36" s="194" t="s">
        <v>54</v>
      </c>
      <c r="G36" s="193" t="s">
        <v>409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818</v>
      </c>
      <c r="C37" s="193" t="s">
        <v>55</v>
      </c>
      <c r="D37" s="194" t="s">
        <v>819</v>
      </c>
      <c r="E37" s="194" t="s">
        <v>819</v>
      </c>
      <c r="F37" s="194" t="s">
        <v>55</v>
      </c>
      <c r="G37" s="193" t="s">
        <v>410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822</v>
      </c>
      <c r="C38" s="193" t="s">
        <v>56</v>
      </c>
      <c r="D38" s="194" t="s">
        <v>819</v>
      </c>
      <c r="E38" s="194" t="s">
        <v>819</v>
      </c>
      <c r="F38" s="194" t="s">
        <v>56</v>
      </c>
      <c r="G38" s="193" t="s">
        <v>411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821</v>
      </c>
      <c r="C39" s="193" t="s">
        <v>112</v>
      </c>
      <c r="D39" s="194" t="s">
        <v>819</v>
      </c>
      <c r="E39" s="194" t="s">
        <v>819</v>
      </c>
      <c r="F39" s="194" t="s">
        <v>112</v>
      </c>
      <c r="G39" s="193" t="s">
        <v>465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820</v>
      </c>
      <c r="C40" s="193" t="s">
        <v>58</v>
      </c>
      <c r="D40" s="194" t="s">
        <v>819</v>
      </c>
      <c r="E40" s="194" t="s">
        <v>819</v>
      </c>
      <c r="F40" s="194" t="s">
        <v>58</v>
      </c>
      <c r="G40" s="193" t="s">
        <v>413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824</v>
      </c>
      <c r="C41" s="193" t="s">
        <v>60</v>
      </c>
      <c r="D41" s="194" t="s">
        <v>819</v>
      </c>
      <c r="E41" s="194" t="s">
        <v>819</v>
      </c>
      <c r="F41" s="194" t="s">
        <v>60</v>
      </c>
      <c r="G41" s="193" t="s">
        <v>415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820</v>
      </c>
      <c r="C42" s="193" t="s">
        <v>62</v>
      </c>
      <c r="D42" s="194" t="s">
        <v>819</v>
      </c>
      <c r="E42" s="194" t="s">
        <v>819</v>
      </c>
      <c r="F42" s="194" t="s">
        <v>62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828</v>
      </c>
      <c r="C43" s="193" t="s">
        <v>63</v>
      </c>
      <c r="D43" s="194" t="s">
        <v>819</v>
      </c>
      <c r="E43" s="194" t="s">
        <v>819</v>
      </c>
      <c r="F43" s="194" t="s">
        <v>63</v>
      </c>
      <c r="G43" s="193" t="s">
        <v>416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821</v>
      </c>
      <c r="C44" s="193" t="s">
        <v>61</v>
      </c>
      <c r="D44" s="194" t="s">
        <v>819</v>
      </c>
      <c r="E44" s="194" t="s">
        <v>819</v>
      </c>
      <c r="F44" s="194" t="s">
        <v>61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828</v>
      </c>
      <c r="C45" s="193" t="s">
        <v>64</v>
      </c>
      <c r="D45" s="194" t="s">
        <v>819</v>
      </c>
      <c r="E45" s="194" t="s">
        <v>819</v>
      </c>
      <c r="F45" s="194" t="s">
        <v>64</v>
      </c>
      <c r="G45" s="193" t="s">
        <v>417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824</v>
      </c>
      <c r="C46" s="193" t="s">
        <v>65</v>
      </c>
      <c r="D46" s="194" t="s">
        <v>819</v>
      </c>
      <c r="E46" s="194" t="s">
        <v>819</v>
      </c>
      <c r="F46" s="194" t="s">
        <v>65</v>
      </c>
      <c r="G46" s="193" t="s">
        <v>418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818</v>
      </c>
      <c r="C47" s="193" t="s">
        <v>66</v>
      </c>
      <c r="D47" s="194" t="s">
        <v>819</v>
      </c>
      <c r="E47" s="194" t="s">
        <v>819</v>
      </c>
      <c r="F47" s="194" t="s">
        <v>66</v>
      </c>
      <c r="G47" s="193" t="s">
        <v>419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818</v>
      </c>
      <c r="C48" s="193" t="s">
        <v>67</v>
      </c>
      <c r="D48" s="194" t="s">
        <v>819</v>
      </c>
      <c r="E48" s="194" t="s">
        <v>819</v>
      </c>
      <c r="F48" s="194" t="s">
        <v>67</v>
      </c>
      <c r="G48" s="193" t="s">
        <v>420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820</v>
      </c>
      <c r="C49" s="193" t="s">
        <v>68</v>
      </c>
      <c r="D49" s="194" t="s">
        <v>819</v>
      </c>
      <c r="E49" s="194" t="s">
        <v>819</v>
      </c>
      <c r="F49" s="194" t="s">
        <v>68</v>
      </c>
      <c r="G49" s="193" t="s">
        <v>421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825</v>
      </c>
      <c r="C50" s="193" t="s">
        <v>69</v>
      </c>
      <c r="D50" s="194" t="s">
        <v>819</v>
      </c>
      <c r="E50" s="194" t="s">
        <v>819</v>
      </c>
      <c r="F50" s="194" t="s">
        <v>69</v>
      </c>
      <c r="G50" s="193" t="s">
        <v>422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825</v>
      </c>
      <c r="C51" s="193" t="s">
        <v>70</v>
      </c>
      <c r="D51" s="194" t="s">
        <v>819</v>
      </c>
      <c r="E51" s="194" t="s">
        <v>819</v>
      </c>
      <c r="F51" s="194" t="s">
        <v>70</v>
      </c>
      <c r="G51" s="193" t="s">
        <v>423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824</v>
      </c>
      <c r="C52" s="193" t="s">
        <v>71</v>
      </c>
      <c r="D52" s="194" t="s">
        <v>819</v>
      </c>
      <c r="E52" s="194" t="s">
        <v>819</v>
      </c>
      <c r="F52" s="194" t="s">
        <v>71</v>
      </c>
      <c r="G52" s="193" t="s">
        <v>424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825</v>
      </c>
      <c r="C53" s="193" t="s">
        <v>75</v>
      </c>
      <c r="D53" s="194" t="s">
        <v>819</v>
      </c>
      <c r="E53" s="194" t="s">
        <v>819</v>
      </c>
      <c r="F53" s="194" t="s">
        <v>75</v>
      </c>
      <c r="G53" s="193" t="s">
        <v>428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827</v>
      </c>
      <c r="C54" s="193" t="s">
        <v>73</v>
      </c>
      <c r="D54" s="194" t="s">
        <v>819</v>
      </c>
      <c r="E54" s="194" t="s">
        <v>819</v>
      </c>
      <c r="F54" s="194" t="s">
        <v>73</v>
      </c>
      <c r="G54" s="193" t="s">
        <v>426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828</v>
      </c>
      <c r="C55" s="193" t="s">
        <v>74</v>
      </c>
      <c r="D55" s="194" t="s">
        <v>819</v>
      </c>
      <c r="E55" s="194" t="s">
        <v>819</v>
      </c>
      <c r="F55" s="194" t="s">
        <v>74</v>
      </c>
      <c r="G55" s="193" t="s">
        <v>427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821</v>
      </c>
      <c r="C56" s="193" t="s">
        <v>76</v>
      </c>
      <c r="D56" s="194" t="s">
        <v>819</v>
      </c>
      <c r="E56" s="194" t="s">
        <v>819</v>
      </c>
      <c r="F56" s="194" t="s">
        <v>76</v>
      </c>
      <c r="G56" s="193" t="s">
        <v>429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824</v>
      </c>
      <c r="C57" s="193" t="s">
        <v>72</v>
      </c>
      <c r="D57" s="194" t="s">
        <v>819</v>
      </c>
      <c r="E57" s="194" t="s">
        <v>819</v>
      </c>
      <c r="F57" s="194" t="s">
        <v>72</v>
      </c>
      <c r="G57" s="193" t="s">
        <v>425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822</v>
      </c>
      <c r="C58" s="193" t="s">
        <v>77</v>
      </c>
      <c r="D58" s="194" t="s">
        <v>819</v>
      </c>
      <c r="E58" s="194" t="s">
        <v>819</v>
      </c>
      <c r="F58" s="194" t="s">
        <v>77</v>
      </c>
      <c r="G58" s="193" t="s">
        <v>430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820</v>
      </c>
      <c r="C59" s="193" t="s">
        <v>229</v>
      </c>
      <c r="D59" s="194" t="s">
        <v>819</v>
      </c>
      <c r="E59" s="194" t="s">
        <v>819</v>
      </c>
      <c r="F59" s="194" t="s">
        <v>229</v>
      </c>
      <c r="G59" s="193" t="s">
        <v>579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824</v>
      </c>
      <c r="C60" s="193" t="s">
        <v>78</v>
      </c>
      <c r="D60" s="194" t="s">
        <v>819</v>
      </c>
      <c r="E60" s="194" t="s">
        <v>819</v>
      </c>
      <c r="F60" s="194" t="s">
        <v>78</v>
      </c>
      <c r="G60" s="193" t="s">
        <v>431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820</v>
      </c>
      <c r="C61" s="193" t="s">
        <v>79</v>
      </c>
      <c r="D61" s="194" t="s">
        <v>819</v>
      </c>
      <c r="E61" s="194" t="s">
        <v>819</v>
      </c>
      <c r="F61" s="194" t="s">
        <v>79</v>
      </c>
      <c r="G61" s="193" t="s">
        <v>432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822</v>
      </c>
      <c r="C62" s="193" t="s">
        <v>80</v>
      </c>
      <c r="D62" s="194" t="s">
        <v>819</v>
      </c>
      <c r="E62" s="194" t="s">
        <v>819</v>
      </c>
      <c r="F62" s="194" t="s">
        <v>80</v>
      </c>
      <c r="G62" s="193" t="s">
        <v>433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822</v>
      </c>
      <c r="C63" s="193" t="s">
        <v>81</v>
      </c>
      <c r="D63" s="194" t="s">
        <v>819</v>
      </c>
      <c r="E63" s="194" t="s">
        <v>819</v>
      </c>
      <c r="F63" s="194" t="s">
        <v>81</v>
      </c>
      <c r="G63" s="193" t="s">
        <v>434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821</v>
      </c>
      <c r="C64" s="193" t="s">
        <v>82</v>
      </c>
      <c r="D64" s="194" t="s">
        <v>819</v>
      </c>
      <c r="E64" s="194" t="s">
        <v>819</v>
      </c>
      <c r="F64" s="194" t="s">
        <v>82</v>
      </c>
      <c r="G64" s="193" t="s">
        <v>435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823</v>
      </c>
      <c r="C65" s="193" t="s">
        <v>83</v>
      </c>
      <c r="D65" s="194" t="s">
        <v>829</v>
      </c>
      <c r="E65" s="194" t="s">
        <v>819</v>
      </c>
      <c r="F65" s="194" t="s">
        <v>83</v>
      </c>
      <c r="G65" s="193" t="s">
        <v>436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821</v>
      </c>
      <c r="C66" s="193" t="s">
        <v>84</v>
      </c>
      <c r="D66" s="194" t="s">
        <v>819</v>
      </c>
      <c r="E66" s="194" t="s">
        <v>819</v>
      </c>
      <c r="F66" s="194" t="s">
        <v>84</v>
      </c>
      <c r="G66" s="193" t="s">
        <v>437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820</v>
      </c>
      <c r="C67" s="193" t="s">
        <v>85</v>
      </c>
      <c r="D67" s="194" t="s">
        <v>819</v>
      </c>
      <c r="E67" s="194" t="s">
        <v>819</v>
      </c>
      <c r="F67" s="194" t="s">
        <v>85</v>
      </c>
      <c r="G67" s="193" t="s">
        <v>438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823</v>
      </c>
      <c r="C68" s="193" t="s">
        <v>86</v>
      </c>
      <c r="D68" s="194" t="s">
        <v>819</v>
      </c>
      <c r="E68" s="194" t="s">
        <v>819</v>
      </c>
      <c r="F68" s="194" t="s">
        <v>86</v>
      </c>
      <c r="G68" s="193" t="s">
        <v>439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827</v>
      </c>
      <c r="C69" s="193" t="s">
        <v>149</v>
      </c>
      <c r="D69" s="194" t="s">
        <v>819</v>
      </c>
      <c r="E69" s="194" t="s">
        <v>819</v>
      </c>
      <c r="F69" s="194" t="s">
        <v>149</v>
      </c>
      <c r="G69" s="193" t="s">
        <v>501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825</v>
      </c>
      <c r="C70" s="193" t="s">
        <v>87</v>
      </c>
      <c r="D70" s="194" t="s">
        <v>830</v>
      </c>
      <c r="E70" s="194" t="s">
        <v>819</v>
      </c>
      <c r="F70" s="194" t="s">
        <v>87</v>
      </c>
      <c r="G70" s="193" t="s">
        <v>440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820</v>
      </c>
      <c r="C71" s="193" t="s">
        <v>88</v>
      </c>
      <c r="D71" s="194" t="s">
        <v>819</v>
      </c>
      <c r="E71" s="194" t="s">
        <v>819</v>
      </c>
      <c r="F71" s="194" t="s">
        <v>88</v>
      </c>
      <c r="G71" s="193" t="s">
        <v>441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828</v>
      </c>
      <c r="C72" s="193" t="s">
        <v>89</v>
      </c>
      <c r="D72" s="194" t="s">
        <v>819</v>
      </c>
      <c r="E72" s="194" t="s">
        <v>819</v>
      </c>
      <c r="F72" s="194" t="s">
        <v>89</v>
      </c>
      <c r="G72" s="193" t="s">
        <v>442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818</v>
      </c>
      <c r="C73" s="193" t="s">
        <v>90</v>
      </c>
      <c r="D73" s="194" t="s">
        <v>819</v>
      </c>
      <c r="E73" s="194" t="s">
        <v>819</v>
      </c>
      <c r="F73" s="194" t="s">
        <v>90</v>
      </c>
      <c r="G73" s="193" t="s">
        <v>443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825</v>
      </c>
      <c r="C74" s="193" t="s">
        <v>91</v>
      </c>
      <c r="D74" s="194" t="s">
        <v>819</v>
      </c>
      <c r="E74" s="194" t="s">
        <v>819</v>
      </c>
      <c r="F74" s="194" t="s">
        <v>91</v>
      </c>
      <c r="G74" s="193" t="s">
        <v>444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818</v>
      </c>
      <c r="C75" s="193" t="s">
        <v>92</v>
      </c>
      <c r="D75" s="194" t="s">
        <v>819</v>
      </c>
      <c r="E75" s="194" t="s">
        <v>819</v>
      </c>
      <c r="F75" s="194" t="s">
        <v>92</v>
      </c>
      <c r="G75" s="193" t="s">
        <v>445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818</v>
      </c>
      <c r="C76" s="193" t="s">
        <v>93</v>
      </c>
      <c r="D76" s="194" t="s">
        <v>819</v>
      </c>
      <c r="E76" s="194" t="s">
        <v>819</v>
      </c>
      <c r="F76" s="194" t="s">
        <v>93</v>
      </c>
      <c r="G76" s="193" t="s">
        <v>446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828</v>
      </c>
      <c r="C77" s="193" t="s">
        <v>94</v>
      </c>
      <c r="D77" s="194" t="s">
        <v>819</v>
      </c>
      <c r="E77" s="194" t="s">
        <v>819</v>
      </c>
      <c r="F77" s="194" t="s">
        <v>94</v>
      </c>
      <c r="G77" s="193" t="s">
        <v>447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818</v>
      </c>
      <c r="C78" s="193" t="s">
        <v>95</v>
      </c>
      <c r="D78" s="194" t="s">
        <v>819</v>
      </c>
      <c r="E78" s="194" t="s">
        <v>819</v>
      </c>
      <c r="F78" s="194" t="s">
        <v>95</v>
      </c>
      <c r="G78" s="193" t="s">
        <v>448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821</v>
      </c>
      <c r="C79" s="193" t="s">
        <v>96</v>
      </c>
      <c r="D79" s="194" t="s">
        <v>819</v>
      </c>
      <c r="E79" s="194" t="s">
        <v>819</v>
      </c>
      <c r="F79" s="194" t="s">
        <v>96</v>
      </c>
      <c r="G79" s="193" t="s">
        <v>449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821</v>
      </c>
      <c r="C80" s="193" t="s">
        <v>97</v>
      </c>
      <c r="D80" s="194" t="s">
        <v>819</v>
      </c>
      <c r="E80" s="194" t="s">
        <v>819</v>
      </c>
      <c r="F80" s="194" t="s">
        <v>97</v>
      </c>
      <c r="G80" s="193" t="s">
        <v>450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821</v>
      </c>
      <c r="C81" s="193" t="s">
        <v>98</v>
      </c>
      <c r="D81" s="194" t="s">
        <v>831</v>
      </c>
      <c r="E81" s="194" t="s">
        <v>819</v>
      </c>
      <c r="F81" s="194" t="s">
        <v>98</v>
      </c>
      <c r="G81" s="193" t="s">
        <v>451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818</v>
      </c>
      <c r="C82" s="193" t="s">
        <v>99</v>
      </c>
      <c r="D82" s="194" t="s">
        <v>819</v>
      </c>
      <c r="E82" s="194" t="s">
        <v>819</v>
      </c>
      <c r="F82" s="194" t="s">
        <v>99</v>
      </c>
      <c r="G82" s="193" t="s">
        <v>452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824</v>
      </c>
      <c r="C83" s="193" t="s">
        <v>100</v>
      </c>
      <c r="D83" s="194" t="s">
        <v>819</v>
      </c>
      <c r="E83" s="194" t="s">
        <v>819</v>
      </c>
      <c r="F83" s="194" t="s">
        <v>100</v>
      </c>
      <c r="G83" s="193" t="s">
        <v>453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828</v>
      </c>
      <c r="C84" s="193" t="s">
        <v>101</v>
      </c>
      <c r="D84" s="194" t="s">
        <v>819</v>
      </c>
      <c r="E84" s="194" t="s">
        <v>819</v>
      </c>
      <c r="F84" s="194" t="s">
        <v>101</v>
      </c>
      <c r="G84" s="193" t="s">
        <v>454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824</v>
      </c>
      <c r="C85" s="193" t="s">
        <v>102</v>
      </c>
      <c r="D85" s="194" t="s">
        <v>819</v>
      </c>
      <c r="E85" s="194" t="s">
        <v>819</v>
      </c>
      <c r="F85" s="194" t="s">
        <v>102</v>
      </c>
      <c r="G85" s="193" t="s">
        <v>455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827</v>
      </c>
      <c r="C86" s="193" t="s">
        <v>103</v>
      </c>
      <c r="D86" s="194" t="s">
        <v>239</v>
      </c>
      <c r="E86" s="194" t="s">
        <v>819</v>
      </c>
      <c r="F86" s="194" t="s">
        <v>103</v>
      </c>
      <c r="G86" s="193" t="s">
        <v>456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828</v>
      </c>
      <c r="C87" s="193" t="s">
        <v>104</v>
      </c>
      <c r="D87" s="194" t="s">
        <v>819</v>
      </c>
      <c r="E87" s="194" t="s">
        <v>819</v>
      </c>
      <c r="F87" s="194" t="s">
        <v>104</v>
      </c>
      <c r="G87" s="193" t="s">
        <v>457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822</v>
      </c>
      <c r="C88" s="193" t="s">
        <v>105</v>
      </c>
      <c r="D88" s="194" t="s">
        <v>819</v>
      </c>
      <c r="E88" s="194" t="s">
        <v>819</v>
      </c>
      <c r="F88" s="194" t="s">
        <v>105</v>
      </c>
      <c r="G88" s="193" t="s">
        <v>458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820</v>
      </c>
      <c r="C89" s="193" t="s">
        <v>106</v>
      </c>
      <c r="D89" s="194" t="s">
        <v>819</v>
      </c>
      <c r="E89" s="194" t="s">
        <v>819</v>
      </c>
      <c r="F89" s="194" t="s">
        <v>106</v>
      </c>
      <c r="G89" s="193" t="s">
        <v>459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818</v>
      </c>
      <c r="C90" s="193" t="s">
        <v>107</v>
      </c>
      <c r="D90" s="194" t="s">
        <v>819</v>
      </c>
      <c r="E90" s="194" t="s">
        <v>819</v>
      </c>
      <c r="F90" s="194" t="s">
        <v>107</v>
      </c>
      <c r="G90" s="193" t="s">
        <v>460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821</v>
      </c>
      <c r="C91" s="193" t="s">
        <v>108</v>
      </c>
      <c r="D91" s="194" t="s">
        <v>819</v>
      </c>
      <c r="E91" s="194" t="s">
        <v>819</v>
      </c>
      <c r="F91" s="194" t="s">
        <v>108</v>
      </c>
      <c r="G91" s="193" t="s">
        <v>461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820</v>
      </c>
      <c r="C92" s="193" t="s">
        <v>109</v>
      </c>
      <c r="D92" s="194" t="s">
        <v>819</v>
      </c>
      <c r="E92" s="194" t="s">
        <v>819</v>
      </c>
      <c r="F92" s="194" t="s">
        <v>109</v>
      </c>
      <c r="G92" s="193" t="s">
        <v>462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827</v>
      </c>
      <c r="C93" s="193" t="s">
        <v>110</v>
      </c>
      <c r="D93" s="194" t="s">
        <v>819</v>
      </c>
      <c r="E93" s="194" t="s">
        <v>819</v>
      </c>
      <c r="F93" s="194" t="s">
        <v>110</v>
      </c>
      <c r="G93" s="193" t="s">
        <v>463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820</v>
      </c>
      <c r="C94" s="193" t="s">
        <v>111</v>
      </c>
      <c r="D94" s="194" t="s">
        <v>819</v>
      </c>
      <c r="E94" s="194" t="s">
        <v>819</v>
      </c>
      <c r="F94" s="194" t="s">
        <v>111</v>
      </c>
      <c r="G94" s="193" t="s">
        <v>464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828</v>
      </c>
      <c r="C95" s="193" t="s">
        <v>113</v>
      </c>
      <c r="D95" s="194" t="s">
        <v>819</v>
      </c>
      <c r="E95" s="194" t="s">
        <v>819</v>
      </c>
      <c r="F95" s="194" t="s">
        <v>113</v>
      </c>
      <c r="G95" s="193" t="s">
        <v>466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823</v>
      </c>
      <c r="C96" s="193" t="s">
        <v>115</v>
      </c>
      <c r="D96" s="194" t="s">
        <v>819</v>
      </c>
      <c r="E96" s="194" t="s">
        <v>819</v>
      </c>
      <c r="F96" s="194" t="s">
        <v>115</v>
      </c>
      <c r="G96" s="193" t="s">
        <v>468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818</v>
      </c>
      <c r="C97" s="193" t="s">
        <v>116</v>
      </c>
      <c r="D97" s="194" t="s">
        <v>819</v>
      </c>
      <c r="E97" s="194" t="s">
        <v>819</v>
      </c>
      <c r="F97" s="194" t="s">
        <v>116</v>
      </c>
      <c r="G97" s="193" t="s">
        <v>469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820</v>
      </c>
      <c r="C98" s="193" t="s">
        <v>117</v>
      </c>
      <c r="D98" s="194" t="s">
        <v>819</v>
      </c>
      <c r="E98" s="194" t="s">
        <v>819</v>
      </c>
      <c r="F98" s="194" t="s">
        <v>117</v>
      </c>
      <c r="G98" s="193" t="s">
        <v>470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820</v>
      </c>
      <c r="C99" s="193" t="s">
        <v>182</v>
      </c>
      <c r="D99" s="194" t="s">
        <v>819</v>
      </c>
      <c r="E99" s="194" t="s">
        <v>819</v>
      </c>
      <c r="F99" s="194" t="s">
        <v>696</v>
      </c>
      <c r="G99" s="193" t="s">
        <v>532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821</v>
      </c>
      <c r="C100" s="193" t="s">
        <v>195</v>
      </c>
      <c r="D100" s="194" t="s">
        <v>832</v>
      </c>
      <c r="E100" s="194" t="s">
        <v>819</v>
      </c>
      <c r="F100" s="194" t="s">
        <v>195</v>
      </c>
      <c r="G100" s="193" t="s">
        <v>545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823</v>
      </c>
      <c r="C101" s="193" t="s">
        <v>321</v>
      </c>
      <c r="D101" s="194" t="s">
        <v>819</v>
      </c>
      <c r="E101" s="194" t="s">
        <v>819</v>
      </c>
      <c r="F101" s="194" t="s">
        <v>321</v>
      </c>
      <c r="G101" s="193" t="s">
        <v>664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821</v>
      </c>
      <c r="C102" s="193" t="s">
        <v>119</v>
      </c>
      <c r="D102" s="194" t="s">
        <v>819</v>
      </c>
      <c r="E102" s="194" t="s">
        <v>819</v>
      </c>
      <c r="F102" s="194" t="s">
        <v>119</v>
      </c>
      <c r="G102" s="193" t="s">
        <v>472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827</v>
      </c>
      <c r="C103" s="193" t="s">
        <v>120</v>
      </c>
      <c r="D103" s="194" t="s">
        <v>819</v>
      </c>
      <c r="E103" s="194" t="s">
        <v>819</v>
      </c>
      <c r="F103" s="194" t="s">
        <v>120</v>
      </c>
      <c r="G103" s="193" t="s">
        <v>473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828</v>
      </c>
      <c r="C104" s="193" t="s">
        <v>118</v>
      </c>
      <c r="D104" s="194" t="s">
        <v>819</v>
      </c>
      <c r="E104" s="194" t="s">
        <v>819</v>
      </c>
      <c r="F104" s="194" t="s">
        <v>118</v>
      </c>
      <c r="G104" s="193" t="s">
        <v>471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824</v>
      </c>
      <c r="C105" s="193" t="s">
        <v>53</v>
      </c>
      <c r="D105" s="194" t="s">
        <v>819</v>
      </c>
      <c r="E105" s="194" t="s">
        <v>819</v>
      </c>
      <c r="F105" s="194" t="s">
        <v>53</v>
      </c>
      <c r="G105" s="193" t="s">
        <v>408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827</v>
      </c>
      <c r="C106" s="193" t="s">
        <v>122</v>
      </c>
      <c r="D106" s="194" t="s">
        <v>819</v>
      </c>
      <c r="E106" s="194" t="s">
        <v>819</v>
      </c>
      <c r="F106" s="194" t="s">
        <v>122</v>
      </c>
      <c r="G106" s="193" t="s">
        <v>475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820</v>
      </c>
      <c r="C107" s="193" t="s">
        <v>123</v>
      </c>
      <c r="D107" s="194" t="s">
        <v>819</v>
      </c>
      <c r="E107" s="194" t="s">
        <v>819</v>
      </c>
      <c r="F107" s="194" t="s">
        <v>123</v>
      </c>
      <c r="G107" s="193" t="s">
        <v>476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823</v>
      </c>
      <c r="C108" s="193" t="s">
        <v>124</v>
      </c>
      <c r="D108" s="194" t="s">
        <v>819</v>
      </c>
      <c r="E108" s="194" t="s">
        <v>819</v>
      </c>
      <c r="F108" s="194" t="s">
        <v>124</v>
      </c>
      <c r="G108" s="193" t="s">
        <v>477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825</v>
      </c>
      <c r="C109" s="193" t="s">
        <v>125</v>
      </c>
      <c r="D109" s="194" t="s">
        <v>819</v>
      </c>
      <c r="E109" s="194" t="s">
        <v>819</v>
      </c>
      <c r="F109" s="194" t="s">
        <v>125</v>
      </c>
      <c r="G109" s="193" t="s">
        <v>478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821</v>
      </c>
      <c r="C110" s="193" t="s">
        <v>126</v>
      </c>
      <c r="D110" s="194" t="s">
        <v>819</v>
      </c>
      <c r="E110" s="194" t="s">
        <v>819</v>
      </c>
      <c r="F110" s="194" t="s">
        <v>126</v>
      </c>
      <c r="G110" s="193" t="s">
        <v>479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823</v>
      </c>
      <c r="C111" s="193" t="s">
        <v>127</v>
      </c>
      <c r="D111" s="194" t="s">
        <v>819</v>
      </c>
      <c r="E111" s="194" t="s">
        <v>819</v>
      </c>
      <c r="F111" s="194" t="s">
        <v>127</v>
      </c>
      <c r="G111" s="193" t="s">
        <v>480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818</v>
      </c>
      <c r="C112" s="193" t="s">
        <v>128</v>
      </c>
      <c r="D112" s="194" t="s">
        <v>819</v>
      </c>
      <c r="E112" s="194" t="s">
        <v>819</v>
      </c>
      <c r="F112" s="194" t="s">
        <v>128</v>
      </c>
      <c r="G112" s="193" t="s">
        <v>481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824</v>
      </c>
      <c r="C113" s="193" t="s">
        <v>129</v>
      </c>
      <c r="D113" s="194" t="s">
        <v>819</v>
      </c>
      <c r="E113" s="194" t="s">
        <v>819</v>
      </c>
      <c r="F113" s="194" t="s">
        <v>129</v>
      </c>
      <c r="G113" s="193" t="s">
        <v>482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820</v>
      </c>
      <c r="C114" s="193" t="s">
        <v>130</v>
      </c>
      <c r="D114" s="194" t="s">
        <v>819</v>
      </c>
      <c r="E114" s="194" t="s">
        <v>819</v>
      </c>
      <c r="F114" s="194" t="s">
        <v>130</v>
      </c>
      <c r="G114" s="193" t="s">
        <v>483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823</v>
      </c>
      <c r="C115" s="193" t="s">
        <v>131</v>
      </c>
      <c r="D115" s="194" t="s">
        <v>819</v>
      </c>
      <c r="E115" s="194" t="s">
        <v>819</v>
      </c>
      <c r="F115" s="194" t="s">
        <v>131</v>
      </c>
      <c r="G115" s="193" t="s">
        <v>484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824</v>
      </c>
      <c r="C116" s="193" t="s">
        <v>132</v>
      </c>
      <c r="D116" s="194" t="s">
        <v>819</v>
      </c>
      <c r="E116" s="194" t="s">
        <v>819</v>
      </c>
      <c r="F116" s="194" t="s">
        <v>132</v>
      </c>
      <c r="G116" s="193" t="s">
        <v>485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821</v>
      </c>
      <c r="C117" s="193" t="s">
        <v>133</v>
      </c>
      <c r="D117" s="194" t="s">
        <v>819</v>
      </c>
      <c r="E117" s="194" t="s">
        <v>819</v>
      </c>
      <c r="F117" s="194" t="s">
        <v>133</v>
      </c>
      <c r="G117" s="193" t="s">
        <v>486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822</v>
      </c>
      <c r="C118" s="193" t="s">
        <v>134</v>
      </c>
      <c r="D118" s="194" t="s">
        <v>819</v>
      </c>
      <c r="E118" s="194" t="s">
        <v>819</v>
      </c>
      <c r="F118" s="194" t="s">
        <v>134</v>
      </c>
      <c r="G118" s="193" t="s">
        <v>487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820</v>
      </c>
      <c r="C119" s="193" t="s">
        <v>135</v>
      </c>
      <c r="D119" s="194" t="s">
        <v>819</v>
      </c>
      <c r="E119" s="194" t="s">
        <v>819</v>
      </c>
      <c r="F119" s="194" t="s">
        <v>135</v>
      </c>
      <c r="G119" s="193" t="s">
        <v>488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822</v>
      </c>
      <c r="C120" s="193" t="s">
        <v>136</v>
      </c>
      <c r="D120" s="194" t="s">
        <v>819</v>
      </c>
      <c r="E120" s="194" t="s">
        <v>819</v>
      </c>
      <c r="F120" s="194" t="s">
        <v>136</v>
      </c>
      <c r="G120" s="193" t="s">
        <v>489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818</v>
      </c>
      <c r="C121" s="193" t="s">
        <v>137</v>
      </c>
      <c r="D121" s="194" t="s">
        <v>819</v>
      </c>
      <c r="E121" s="194" t="s">
        <v>819</v>
      </c>
      <c r="F121" s="194" t="s">
        <v>137</v>
      </c>
      <c r="G121" s="193" t="s">
        <v>490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823</v>
      </c>
      <c r="C122" s="193" t="s">
        <v>138</v>
      </c>
      <c r="D122" s="194" t="s">
        <v>819</v>
      </c>
      <c r="E122" s="194" t="s">
        <v>819</v>
      </c>
      <c r="F122" s="194" t="s">
        <v>138</v>
      </c>
      <c r="G122" s="193" t="s">
        <v>491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820</v>
      </c>
      <c r="C123" s="193" t="s">
        <v>139</v>
      </c>
      <c r="D123" s="194" t="s">
        <v>819</v>
      </c>
      <c r="E123" s="194" t="s">
        <v>819</v>
      </c>
      <c r="F123" s="194" t="s">
        <v>139</v>
      </c>
      <c r="G123" s="193" t="s">
        <v>492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821</v>
      </c>
      <c r="C124" s="193" t="s">
        <v>140</v>
      </c>
      <c r="D124" s="194" t="s">
        <v>819</v>
      </c>
      <c r="E124" s="194" t="s">
        <v>819</v>
      </c>
      <c r="F124" s="194" t="s">
        <v>140</v>
      </c>
      <c r="G124" s="193" t="s">
        <v>493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818</v>
      </c>
      <c r="C125" s="193" t="s">
        <v>141</v>
      </c>
      <c r="D125" s="194" t="s">
        <v>819</v>
      </c>
      <c r="E125" s="194" t="s">
        <v>819</v>
      </c>
      <c r="F125" s="194" t="s">
        <v>141</v>
      </c>
      <c r="G125" s="193" t="s">
        <v>494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820</v>
      </c>
      <c r="C126" s="193" t="s">
        <v>144</v>
      </c>
      <c r="D126" s="194" t="s">
        <v>819</v>
      </c>
      <c r="E126" s="194" t="s">
        <v>819</v>
      </c>
      <c r="F126" s="194" t="s">
        <v>144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823</v>
      </c>
      <c r="C127" s="193" t="s">
        <v>142</v>
      </c>
      <c r="D127" s="194" t="s">
        <v>819</v>
      </c>
      <c r="E127" s="194" t="s">
        <v>819</v>
      </c>
      <c r="F127" s="194" t="s">
        <v>142</v>
      </c>
      <c r="G127" s="193" t="s">
        <v>495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823</v>
      </c>
      <c r="C128" s="193" t="s">
        <v>171</v>
      </c>
      <c r="D128" s="194" t="s">
        <v>819</v>
      </c>
      <c r="E128" s="194" t="s">
        <v>819</v>
      </c>
      <c r="F128" s="194" t="s">
        <v>171</v>
      </c>
      <c r="G128" s="193" t="s">
        <v>521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820</v>
      </c>
      <c r="C129" s="193" t="s">
        <v>145</v>
      </c>
      <c r="D129" s="194" t="s">
        <v>819</v>
      </c>
      <c r="E129" s="194" t="s">
        <v>819</v>
      </c>
      <c r="F129" s="194" t="s">
        <v>145</v>
      </c>
      <c r="G129" s="193" t="s">
        <v>497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821</v>
      </c>
      <c r="C130" s="193" t="s">
        <v>146</v>
      </c>
      <c r="D130" s="194" t="s">
        <v>819</v>
      </c>
      <c r="E130" s="194" t="s">
        <v>819</v>
      </c>
      <c r="F130" s="194" t="s">
        <v>146</v>
      </c>
      <c r="G130" s="193" t="s">
        <v>498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820</v>
      </c>
      <c r="C131" s="193" t="s">
        <v>147</v>
      </c>
      <c r="D131" s="194" t="s">
        <v>819</v>
      </c>
      <c r="E131" s="194" t="s">
        <v>819</v>
      </c>
      <c r="F131" s="194" t="s">
        <v>147</v>
      </c>
      <c r="G131" s="193" t="s">
        <v>499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818</v>
      </c>
      <c r="C132" s="193" t="s">
        <v>148</v>
      </c>
      <c r="D132" s="194" t="s">
        <v>819</v>
      </c>
      <c r="E132" s="194" t="s">
        <v>819</v>
      </c>
      <c r="F132" s="194" t="s">
        <v>148</v>
      </c>
      <c r="G132" s="193" t="s">
        <v>500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821</v>
      </c>
      <c r="C133" s="193" t="s">
        <v>151</v>
      </c>
      <c r="D133" s="194" t="s">
        <v>819</v>
      </c>
      <c r="E133" s="194" t="s">
        <v>819</v>
      </c>
      <c r="F133" s="194" t="s">
        <v>151</v>
      </c>
      <c r="G133" s="193" t="s">
        <v>502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820</v>
      </c>
      <c r="C134" s="193" t="s">
        <v>152</v>
      </c>
      <c r="D134" s="194" t="s">
        <v>819</v>
      </c>
      <c r="E134" s="194" t="s">
        <v>819</v>
      </c>
      <c r="F134" s="194" t="s">
        <v>152</v>
      </c>
      <c r="G134" s="193" t="s">
        <v>503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821</v>
      </c>
      <c r="C135" s="193" t="s">
        <v>153</v>
      </c>
      <c r="D135" s="194" t="s">
        <v>819</v>
      </c>
      <c r="E135" s="194" t="s">
        <v>819</v>
      </c>
      <c r="F135" s="194" t="s">
        <v>153</v>
      </c>
      <c r="G135" s="193" t="s">
        <v>504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823</v>
      </c>
      <c r="C136" s="193" t="s">
        <v>155</v>
      </c>
      <c r="D136" s="194" t="s">
        <v>819</v>
      </c>
      <c r="E136" s="194" t="s">
        <v>819</v>
      </c>
      <c r="F136" s="194" t="s">
        <v>155</v>
      </c>
      <c r="G136" s="193" t="s">
        <v>505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822</v>
      </c>
      <c r="C137" s="193" t="s">
        <v>156</v>
      </c>
      <c r="D137" s="194" t="s">
        <v>819</v>
      </c>
      <c r="E137" s="194" t="s">
        <v>819</v>
      </c>
      <c r="F137" s="194" t="s">
        <v>156</v>
      </c>
      <c r="G137" s="193" t="s">
        <v>506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825</v>
      </c>
      <c r="C138" s="193" t="s">
        <v>157</v>
      </c>
      <c r="D138" s="194" t="s">
        <v>819</v>
      </c>
      <c r="E138" s="194" t="s">
        <v>819</v>
      </c>
      <c r="F138" s="194" t="s">
        <v>157</v>
      </c>
      <c r="G138" s="193" t="s">
        <v>507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822</v>
      </c>
      <c r="C139" s="193" t="s">
        <v>158</v>
      </c>
      <c r="D139" s="194" t="s">
        <v>819</v>
      </c>
      <c r="E139" s="194" t="s">
        <v>819</v>
      </c>
      <c r="F139" s="194" t="s">
        <v>158</v>
      </c>
      <c r="G139" s="193" t="s">
        <v>508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825</v>
      </c>
      <c r="C140" s="193" t="s">
        <v>150</v>
      </c>
      <c r="D140" s="194" t="s">
        <v>819</v>
      </c>
      <c r="E140" s="194" t="s">
        <v>819</v>
      </c>
      <c r="F140" s="194" t="s">
        <v>150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827</v>
      </c>
      <c r="C141" s="193" t="s">
        <v>159</v>
      </c>
      <c r="D141" s="194" t="s">
        <v>819</v>
      </c>
      <c r="E141" s="194" t="s">
        <v>819</v>
      </c>
      <c r="F141" s="194" t="s">
        <v>159</v>
      </c>
      <c r="G141" s="193" t="s">
        <v>509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820</v>
      </c>
      <c r="C142" s="193" t="s">
        <v>160</v>
      </c>
      <c r="D142" s="194" t="s">
        <v>819</v>
      </c>
      <c r="E142" s="194" t="s">
        <v>819</v>
      </c>
      <c r="F142" s="194" t="s">
        <v>160</v>
      </c>
      <c r="G142" s="193" t="s">
        <v>510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820</v>
      </c>
      <c r="C143" s="193" t="s">
        <v>161</v>
      </c>
      <c r="D143" s="194" t="s">
        <v>819</v>
      </c>
      <c r="E143" s="194" t="s">
        <v>819</v>
      </c>
      <c r="F143" s="194" t="s">
        <v>161</v>
      </c>
      <c r="G143" s="193" t="s">
        <v>511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823</v>
      </c>
      <c r="C144" s="193" t="s">
        <v>162</v>
      </c>
      <c r="D144" s="194" t="s">
        <v>819</v>
      </c>
      <c r="E144" s="194" t="s">
        <v>819</v>
      </c>
      <c r="F144" s="194" t="s">
        <v>162</v>
      </c>
      <c r="G144" s="193" t="s">
        <v>512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821</v>
      </c>
      <c r="C145" s="193" t="s">
        <v>169</v>
      </c>
      <c r="D145" s="194" t="s">
        <v>819</v>
      </c>
      <c r="E145" s="194" t="s">
        <v>819</v>
      </c>
      <c r="F145" s="194" t="s">
        <v>169</v>
      </c>
      <c r="G145" s="193" t="s">
        <v>519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820</v>
      </c>
      <c r="C146" s="193" t="s">
        <v>163</v>
      </c>
      <c r="D146" s="194" t="s">
        <v>819</v>
      </c>
      <c r="E146" s="194" t="s">
        <v>819</v>
      </c>
      <c r="F146" s="194" t="s">
        <v>163</v>
      </c>
      <c r="G146" s="193" t="s">
        <v>513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818</v>
      </c>
      <c r="C147" s="193" t="s">
        <v>164</v>
      </c>
      <c r="D147" s="194" t="s">
        <v>819</v>
      </c>
      <c r="E147" s="194" t="s">
        <v>819</v>
      </c>
      <c r="F147" s="194" t="s">
        <v>164</v>
      </c>
      <c r="G147" s="193" t="s">
        <v>514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818</v>
      </c>
      <c r="C148" s="193" t="s">
        <v>165</v>
      </c>
      <c r="D148" s="194" t="s">
        <v>819</v>
      </c>
      <c r="E148" s="194" t="s">
        <v>819</v>
      </c>
      <c r="F148" s="194" t="s">
        <v>165</v>
      </c>
      <c r="G148" s="193" t="s">
        <v>515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825</v>
      </c>
      <c r="C149" s="193" t="s">
        <v>166</v>
      </c>
      <c r="D149" s="194" t="s">
        <v>819</v>
      </c>
      <c r="E149" s="194" t="s">
        <v>819</v>
      </c>
      <c r="F149" s="194" t="s">
        <v>166</v>
      </c>
      <c r="G149" s="193" t="s">
        <v>516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820</v>
      </c>
      <c r="C150" s="193" t="s">
        <v>167</v>
      </c>
      <c r="D150" s="194" t="s">
        <v>819</v>
      </c>
      <c r="E150" s="194" t="s">
        <v>819</v>
      </c>
      <c r="F150" s="194" t="s">
        <v>167</v>
      </c>
      <c r="G150" s="193" t="s">
        <v>517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825</v>
      </c>
      <c r="C151" s="193" t="s">
        <v>168</v>
      </c>
      <c r="D151" s="194" t="s">
        <v>819</v>
      </c>
      <c r="E151" s="194" t="s">
        <v>819</v>
      </c>
      <c r="F151" s="194" t="s">
        <v>168</v>
      </c>
      <c r="G151" s="193" t="s">
        <v>518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820</v>
      </c>
      <c r="C152" s="193" t="s">
        <v>170</v>
      </c>
      <c r="D152" s="194" t="s">
        <v>819</v>
      </c>
      <c r="E152" s="194" t="s">
        <v>819</v>
      </c>
      <c r="F152" s="194" t="s">
        <v>170</v>
      </c>
      <c r="G152" s="193" t="s">
        <v>520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820</v>
      </c>
      <c r="C153" s="193" t="s">
        <v>172</v>
      </c>
      <c r="D153" s="194" t="s">
        <v>819</v>
      </c>
      <c r="E153" s="194" t="s">
        <v>819</v>
      </c>
      <c r="F153" s="194" t="s">
        <v>172</v>
      </c>
      <c r="G153" s="193" t="s">
        <v>522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818</v>
      </c>
      <c r="C154" s="193" t="s">
        <v>173</v>
      </c>
      <c r="D154" s="194" t="s">
        <v>819</v>
      </c>
      <c r="E154" s="194" t="s">
        <v>819</v>
      </c>
      <c r="F154" s="194" t="s">
        <v>173</v>
      </c>
      <c r="G154" s="193" t="s">
        <v>523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824</v>
      </c>
      <c r="C155" s="193" t="s">
        <v>174</v>
      </c>
      <c r="D155" s="194" t="s">
        <v>819</v>
      </c>
      <c r="E155" s="194" t="s">
        <v>819</v>
      </c>
      <c r="F155" s="194" t="s">
        <v>174</v>
      </c>
      <c r="G155" s="193" t="s">
        <v>524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824</v>
      </c>
      <c r="C156" s="193" t="s">
        <v>175</v>
      </c>
      <c r="D156" s="194" t="s">
        <v>819</v>
      </c>
      <c r="E156" s="194" t="s">
        <v>819</v>
      </c>
      <c r="F156" s="194" t="s">
        <v>175</v>
      </c>
      <c r="G156" s="193" t="s">
        <v>525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822</v>
      </c>
      <c r="C157" s="193" t="s">
        <v>176</v>
      </c>
      <c r="D157" s="194" t="s">
        <v>819</v>
      </c>
      <c r="E157" s="194" t="s">
        <v>819</v>
      </c>
      <c r="F157" s="194" t="s">
        <v>176</v>
      </c>
      <c r="G157" s="193" t="s">
        <v>526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818</v>
      </c>
      <c r="C158" s="193" t="s">
        <v>177</v>
      </c>
      <c r="D158" s="194" t="s">
        <v>819</v>
      </c>
      <c r="E158" s="194" t="s">
        <v>819</v>
      </c>
      <c r="F158" s="194" t="s">
        <v>177</v>
      </c>
      <c r="G158" s="193" t="s">
        <v>527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820</v>
      </c>
      <c r="C159" s="193" t="s">
        <v>178</v>
      </c>
      <c r="D159" s="194" t="s">
        <v>819</v>
      </c>
      <c r="E159" s="194" t="s">
        <v>819</v>
      </c>
      <c r="F159" s="194" t="s">
        <v>178</v>
      </c>
      <c r="G159" s="193" t="s">
        <v>528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821</v>
      </c>
      <c r="C160" s="193" t="s">
        <v>179</v>
      </c>
      <c r="D160" s="194" t="s">
        <v>819</v>
      </c>
      <c r="E160" s="194" t="s">
        <v>819</v>
      </c>
      <c r="F160" s="194" t="s">
        <v>179</v>
      </c>
      <c r="G160" s="193" t="s">
        <v>529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823</v>
      </c>
      <c r="C161" s="193" t="s">
        <v>180</v>
      </c>
      <c r="D161" s="194" t="s">
        <v>819</v>
      </c>
      <c r="E161" s="194" t="s">
        <v>819</v>
      </c>
      <c r="F161" s="194" t="s">
        <v>180</v>
      </c>
      <c r="G161" s="193" t="s">
        <v>530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822</v>
      </c>
      <c r="C162" s="193" t="s">
        <v>181</v>
      </c>
      <c r="D162" s="194" t="s">
        <v>819</v>
      </c>
      <c r="E162" s="194" t="s">
        <v>819</v>
      </c>
      <c r="F162" s="194" t="s">
        <v>181</v>
      </c>
      <c r="G162" s="193" t="s">
        <v>531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822</v>
      </c>
      <c r="C163" s="193" t="s">
        <v>183</v>
      </c>
      <c r="D163" s="194" t="s">
        <v>819</v>
      </c>
      <c r="E163" s="194" t="s">
        <v>819</v>
      </c>
      <c r="F163" s="194" t="s">
        <v>183</v>
      </c>
      <c r="G163" s="193" t="s">
        <v>533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821</v>
      </c>
      <c r="C164" s="193" t="s">
        <v>184</v>
      </c>
      <c r="D164" s="194" t="s">
        <v>819</v>
      </c>
      <c r="E164" s="194" t="s">
        <v>819</v>
      </c>
      <c r="F164" s="194" t="s">
        <v>184</v>
      </c>
      <c r="G164" s="193" t="s">
        <v>534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821</v>
      </c>
      <c r="C165" s="193" t="s">
        <v>185</v>
      </c>
      <c r="D165" s="194" t="s">
        <v>819</v>
      </c>
      <c r="E165" s="194" t="s">
        <v>819</v>
      </c>
      <c r="F165" s="194" t="s">
        <v>185</v>
      </c>
      <c r="G165" s="193" t="s">
        <v>535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825</v>
      </c>
      <c r="C166" s="193" t="s">
        <v>187</v>
      </c>
      <c r="D166" s="194" t="s">
        <v>819</v>
      </c>
      <c r="E166" s="194" t="s">
        <v>819</v>
      </c>
      <c r="F166" s="194" t="s">
        <v>187</v>
      </c>
      <c r="G166" s="193" t="s">
        <v>537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825</v>
      </c>
      <c r="C167" s="193" t="s">
        <v>188</v>
      </c>
      <c r="D167" s="194" t="s">
        <v>819</v>
      </c>
      <c r="E167" s="194" t="s">
        <v>819</v>
      </c>
      <c r="F167" s="194" t="s">
        <v>188</v>
      </c>
      <c r="G167" s="193" t="s">
        <v>538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821</v>
      </c>
      <c r="C168" s="193" t="s">
        <v>189</v>
      </c>
      <c r="D168" s="194" t="s">
        <v>819</v>
      </c>
      <c r="E168" s="194" t="s">
        <v>819</v>
      </c>
      <c r="F168" s="194" t="s">
        <v>189</v>
      </c>
      <c r="G168" s="193" t="s">
        <v>539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825</v>
      </c>
      <c r="C169" s="193" t="s">
        <v>190</v>
      </c>
      <c r="D169" s="194" t="s">
        <v>819</v>
      </c>
      <c r="E169" s="194" t="s">
        <v>819</v>
      </c>
      <c r="F169" s="194" t="s">
        <v>190</v>
      </c>
      <c r="G169" s="193" t="s">
        <v>540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828</v>
      </c>
      <c r="C170" s="193" t="s">
        <v>191</v>
      </c>
      <c r="D170" s="194" t="s">
        <v>819</v>
      </c>
      <c r="E170" s="194" t="s">
        <v>819</v>
      </c>
      <c r="F170" s="194" t="s">
        <v>191</v>
      </c>
      <c r="G170" s="193" t="s">
        <v>541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823</v>
      </c>
      <c r="C171" s="193" t="s">
        <v>192</v>
      </c>
      <c r="D171" s="194" t="s">
        <v>819</v>
      </c>
      <c r="E171" s="194" t="s">
        <v>819</v>
      </c>
      <c r="F171" s="194" t="s">
        <v>192</v>
      </c>
      <c r="G171" s="193" t="s">
        <v>542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818</v>
      </c>
      <c r="C172" s="193" t="s">
        <v>193</v>
      </c>
      <c r="D172" s="194" t="s">
        <v>819</v>
      </c>
      <c r="E172" s="194" t="s">
        <v>819</v>
      </c>
      <c r="F172" s="194" t="s">
        <v>193</v>
      </c>
      <c r="G172" s="193" t="s">
        <v>543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818</v>
      </c>
      <c r="C173" s="193" t="s">
        <v>194</v>
      </c>
      <c r="D173" s="194" t="s">
        <v>819</v>
      </c>
      <c r="E173" s="194" t="s">
        <v>819</v>
      </c>
      <c r="F173" s="194" t="s">
        <v>194</v>
      </c>
      <c r="G173" s="193" t="s">
        <v>544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823</v>
      </c>
      <c r="C174" s="193" t="s">
        <v>196</v>
      </c>
      <c r="D174" s="194" t="s">
        <v>819</v>
      </c>
      <c r="E174" s="194" t="s">
        <v>819</v>
      </c>
      <c r="F174" s="194" t="s">
        <v>196</v>
      </c>
      <c r="G174" s="193" t="s">
        <v>546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822</v>
      </c>
      <c r="C175" s="193" t="s">
        <v>197</v>
      </c>
      <c r="D175" s="194" t="s">
        <v>833</v>
      </c>
      <c r="E175" s="194" t="s">
        <v>819</v>
      </c>
      <c r="F175" s="194" t="s">
        <v>197</v>
      </c>
      <c r="G175" s="193" t="s">
        <v>547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828</v>
      </c>
      <c r="C176" s="193" t="s">
        <v>198</v>
      </c>
      <c r="D176" s="194" t="s">
        <v>819</v>
      </c>
      <c r="E176" s="194" t="s">
        <v>819</v>
      </c>
      <c r="F176" s="194" t="s">
        <v>198</v>
      </c>
      <c r="G176" s="193" t="s">
        <v>548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827</v>
      </c>
      <c r="C177" s="193" t="s">
        <v>199</v>
      </c>
      <c r="D177" s="194" t="s">
        <v>819</v>
      </c>
      <c r="E177" s="194" t="s">
        <v>819</v>
      </c>
      <c r="F177" s="194" t="s">
        <v>199</v>
      </c>
      <c r="G177" s="193" t="s">
        <v>549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822</v>
      </c>
      <c r="C178" s="193" t="s">
        <v>200</v>
      </c>
      <c r="D178" s="194" t="s">
        <v>819</v>
      </c>
      <c r="E178" s="194" t="s">
        <v>819</v>
      </c>
      <c r="F178" s="194" t="s">
        <v>200</v>
      </c>
      <c r="G178" s="193" t="s">
        <v>550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825</v>
      </c>
      <c r="C179" s="193" t="s">
        <v>201</v>
      </c>
      <c r="D179" s="194" t="s">
        <v>819</v>
      </c>
      <c r="E179" s="194" t="s">
        <v>819</v>
      </c>
      <c r="F179" s="194" t="s">
        <v>201</v>
      </c>
      <c r="G179" s="193" t="s">
        <v>551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820</v>
      </c>
      <c r="C180" s="193" t="s">
        <v>202</v>
      </c>
      <c r="D180" s="194" t="s">
        <v>819</v>
      </c>
      <c r="E180" s="194" t="s">
        <v>819</v>
      </c>
      <c r="F180" s="194" t="s">
        <v>202</v>
      </c>
      <c r="G180" s="193" t="s">
        <v>552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818</v>
      </c>
      <c r="C181" s="193" t="s">
        <v>203</v>
      </c>
      <c r="D181" s="194" t="s">
        <v>819</v>
      </c>
      <c r="E181" s="194" t="s">
        <v>819</v>
      </c>
      <c r="F181" s="194" t="s">
        <v>203</v>
      </c>
      <c r="G181" s="193" t="s">
        <v>553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820</v>
      </c>
      <c r="C182" s="193" t="s">
        <v>204</v>
      </c>
      <c r="D182" s="194" t="s">
        <v>819</v>
      </c>
      <c r="E182" s="194" t="s">
        <v>819</v>
      </c>
      <c r="F182" s="194" t="s">
        <v>204</v>
      </c>
      <c r="G182" s="193" t="s">
        <v>554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824</v>
      </c>
      <c r="C183" s="193" t="s">
        <v>206</v>
      </c>
      <c r="D183" s="194" t="s">
        <v>819</v>
      </c>
      <c r="E183" s="194" t="s">
        <v>819</v>
      </c>
      <c r="F183" s="194" t="s">
        <v>206</v>
      </c>
      <c r="G183" s="193" t="s">
        <v>556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818</v>
      </c>
      <c r="C184" s="193" t="s">
        <v>207</v>
      </c>
      <c r="D184" s="194" t="s">
        <v>819</v>
      </c>
      <c r="E184" s="194" t="s">
        <v>819</v>
      </c>
      <c r="F184" s="194" t="s">
        <v>207</v>
      </c>
      <c r="G184" s="193" t="s">
        <v>557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827</v>
      </c>
      <c r="C185" s="193" t="s">
        <v>211</v>
      </c>
      <c r="D185" s="194" t="s">
        <v>819</v>
      </c>
      <c r="E185" s="194" t="s">
        <v>819</v>
      </c>
      <c r="F185" s="194" t="s">
        <v>211</v>
      </c>
      <c r="G185" s="193" t="s">
        <v>561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825</v>
      </c>
      <c r="C186" s="193" t="s">
        <v>208</v>
      </c>
      <c r="D186" s="194" t="s">
        <v>819</v>
      </c>
      <c r="E186" s="194" t="s">
        <v>819</v>
      </c>
      <c r="F186" s="194" t="s">
        <v>208</v>
      </c>
      <c r="G186" s="193" t="s">
        <v>558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825</v>
      </c>
      <c r="C187" s="193" t="s">
        <v>209</v>
      </c>
      <c r="D187" s="194" t="s">
        <v>819</v>
      </c>
      <c r="E187" s="194" t="s">
        <v>819</v>
      </c>
      <c r="F187" s="194" t="s">
        <v>209</v>
      </c>
      <c r="G187" s="193" t="s">
        <v>559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821</v>
      </c>
      <c r="C188" s="193" t="s">
        <v>210</v>
      </c>
      <c r="D188" s="194" t="s">
        <v>819</v>
      </c>
      <c r="E188" s="194" t="s">
        <v>819</v>
      </c>
      <c r="F188" s="194" t="s">
        <v>210</v>
      </c>
      <c r="G188" s="193" t="s">
        <v>560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822</v>
      </c>
      <c r="C189" s="193" t="s">
        <v>205</v>
      </c>
      <c r="D189" s="194" t="s">
        <v>819</v>
      </c>
      <c r="E189" s="194" t="s">
        <v>819</v>
      </c>
      <c r="F189" s="194" t="s">
        <v>205</v>
      </c>
      <c r="G189" s="193" t="s">
        <v>555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820</v>
      </c>
      <c r="C190" s="193" t="s">
        <v>212</v>
      </c>
      <c r="D190" s="194" t="s">
        <v>819</v>
      </c>
      <c r="E190" s="194" t="s">
        <v>819</v>
      </c>
      <c r="F190" s="194" t="s">
        <v>212</v>
      </c>
      <c r="G190" s="193" t="s">
        <v>562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825</v>
      </c>
      <c r="C191" s="193" t="s">
        <v>213</v>
      </c>
      <c r="D191" s="194" t="s">
        <v>819</v>
      </c>
      <c r="E191" s="194" t="s">
        <v>819</v>
      </c>
      <c r="F191" s="194" t="s">
        <v>213</v>
      </c>
      <c r="G191" s="193" t="s">
        <v>563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824</v>
      </c>
      <c r="C192" s="193" t="s">
        <v>214</v>
      </c>
      <c r="D192" s="194" t="s">
        <v>819</v>
      </c>
      <c r="E192" s="194" t="s">
        <v>819</v>
      </c>
      <c r="F192" s="194" t="s">
        <v>214</v>
      </c>
      <c r="G192" s="193" t="s">
        <v>564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821</v>
      </c>
      <c r="C193" s="193" t="s">
        <v>215</v>
      </c>
      <c r="D193" s="194" t="s">
        <v>819</v>
      </c>
      <c r="E193" s="194" t="s">
        <v>819</v>
      </c>
      <c r="F193" s="194" t="s">
        <v>215</v>
      </c>
      <c r="G193" s="193" t="s">
        <v>565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824</v>
      </c>
      <c r="C194" s="193" t="s">
        <v>216</v>
      </c>
      <c r="D194" s="194" t="s">
        <v>819</v>
      </c>
      <c r="E194" s="194" t="s">
        <v>819</v>
      </c>
      <c r="F194" s="194" t="s">
        <v>216</v>
      </c>
      <c r="G194" s="193" t="s">
        <v>566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824</v>
      </c>
      <c r="C195" s="193" t="s">
        <v>217</v>
      </c>
      <c r="D195" s="194" t="s">
        <v>819</v>
      </c>
      <c r="E195" s="194" t="s">
        <v>819</v>
      </c>
      <c r="F195" s="194" t="s">
        <v>217</v>
      </c>
      <c r="G195" s="193" t="s">
        <v>567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821</v>
      </c>
      <c r="C196" s="193" t="s">
        <v>218</v>
      </c>
      <c r="D196" s="194" t="s">
        <v>819</v>
      </c>
      <c r="E196" s="194" t="s">
        <v>819</v>
      </c>
      <c r="F196" s="194" t="s">
        <v>218</v>
      </c>
      <c r="G196" s="193" t="s">
        <v>568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824</v>
      </c>
      <c r="C197" s="193" t="s">
        <v>219</v>
      </c>
      <c r="D197" s="194" t="s">
        <v>819</v>
      </c>
      <c r="E197" s="194" t="s">
        <v>819</v>
      </c>
      <c r="F197" s="194" t="s">
        <v>219</v>
      </c>
      <c r="G197" s="193" t="s">
        <v>569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825</v>
      </c>
      <c r="C198" s="193" t="s">
        <v>220</v>
      </c>
      <c r="D198" s="194" t="s">
        <v>819</v>
      </c>
      <c r="E198" s="194" t="s">
        <v>819</v>
      </c>
      <c r="F198" s="194" t="s">
        <v>220</v>
      </c>
      <c r="G198" s="193" t="s">
        <v>570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821</v>
      </c>
      <c r="C199" s="193" t="s">
        <v>221</v>
      </c>
      <c r="D199" s="194" t="s">
        <v>819</v>
      </c>
      <c r="E199" s="194" t="s">
        <v>819</v>
      </c>
      <c r="F199" s="194" t="s">
        <v>221</v>
      </c>
      <c r="G199" s="193" t="s">
        <v>571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828</v>
      </c>
      <c r="C200" s="193" t="s">
        <v>222</v>
      </c>
      <c r="D200" s="194" t="s">
        <v>819</v>
      </c>
      <c r="E200" s="194" t="s">
        <v>819</v>
      </c>
      <c r="F200" s="194" t="s">
        <v>222</v>
      </c>
      <c r="G200" s="193" t="s">
        <v>572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820</v>
      </c>
      <c r="C201" s="193" t="s">
        <v>223</v>
      </c>
      <c r="D201" s="194" t="s">
        <v>819</v>
      </c>
      <c r="E201" s="194" t="s">
        <v>819</v>
      </c>
      <c r="F201" s="194" t="s">
        <v>223</v>
      </c>
      <c r="G201" s="193" t="s">
        <v>573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818</v>
      </c>
      <c r="C202" s="193" t="s">
        <v>224</v>
      </c>
      <c r="D202" s="194" t="s">
        <v>819</v>
      </c>
      <c r="E202" s="194" t="s">
        <v>819</v>
      </c>
      <c r="F202" s="194" t="s">
        <v>224</v>
      </c>
      <c r="G202" s="193" t="s">
        <v>574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827</v>
      </c>
      <c r="C203" s="193" t="s">
        <v>226</v>
      </c>
      <c r="D203" s="194" t="s">
        <v>819</v>
      </c>
      <c r="E203" s="194" t="s">
        <v>819</v>
      </c>
      <c r="F203" s="194" t="s">
        <v>226</v>
      </c>
      <c r="G203" s="193" t="s">
        <v>576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824</v>
      </c>
      <c r="C204" s="193" t="s">
        <v>227</v>
      </c>
      <c r="D204" s="194" t="s">
        <v>819</v>
      </c>
      <c r="E204" s="194" t="s">
        <v>819</v>
      </c>
      <c r="F204" s="194" t="s">
        <v>227</v>
      </c>
      <c r="G204" s="193" t="s">
        <v>577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823</v>
      </c>
      <c r="C205" s="193" t="s">
        <v>225</v>
      </c>
      <c r="D205" s="194" t="s">
        <v>819</v>
      </c>
      <c r="E205" s="194" t="s">
        <v>819</v>
      </c>
      <c r="F205" s="194" t="s">
        <v>225</v>
      </c>
      <c r="G205" s="193" t="s">
        <v>575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818</v>
      </c>
      <c r="C206" s="193" t="s">
        <v>228</v>
      </c>
      <c r="D206" s="194" t="s">
        <v>819</v>
      </c>
      <c r="E206" s="194" t="s">
        <v>819</v>
      </c>
      <c r="F206" s="194" t="s">
        <v>228</v>
      </c>
      <c r="G206" s="193" t="s">
        <v>578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821</v>
      </c>
      <c r="C207" s="193" t="s">
        <v>143</v>
      </c>
      <c r="D207" s="194" t="s">
        <v>819</v>
      </c>
      <c r="E207" s="194" t="s">
        <v>819</v>
      </c>
      <c r="F207" s="194" t="s">
        <v>143</v>
      </c>
      <c r="G207" s="193" t="s">
        <v>496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820</v>
      </c>
      <c r="C208" s="193" t="s">
        <v>29</v>
      </c>
      <c r="D208" s="194" t="s">
        <v>834</v>
      </c>
      <c r="E208" s="194" t="s">
        <v>819</v>
      </c>
      <c r="F208" s="194" t="s">
        <v>29</v>
      </c>
      <c r="G208" s="193" t="s">
        <v>389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825</v>
      </c>
      <c r="C209" s="193" t="s">
        <v>186</v>
      </c>
      <c r="D209" s="194" t="s">
        <v>819</v>
      </c>
      <c r="E209" s="194" t="s">
        <v>819</v>
      </c>
      <c r="F209" s="194" t="s">
        <v>186</v>
      </c>
      <c r="G209" s="193" t="s">
        <v>536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827</v>
      </c>
      <c r="C210" s="193" t="s">
        <v>231</v>
      </c>
      <c r="D210" s="194" t="s">
        <v>315</v>
      </c>
      <c r="E210" s="194" t="s">
        <v>819</v>
      </c>
      <c r="F210" s="194" t="s">
        <v>231</v>
      </c>
      <c r="G210" s="193" t="s">
        <v>799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820</v>
      </c>
      <c r="C211" s="193" t="s">
        <v>59</v>
      </c>
      <c r="D211" s="194" t="s">
        <v>819</v>
      </c>
      <c r="E211" s="194" t="s">
        <v>819</v>
      </c>
      <c r="F211" s="194" t="s">
        <v>59</v>
      </c>
      <c r="G211" s="193" t="s">
        <v>414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823</v>
      </c>
      <c r="C212" s="193" t="s">
        <v>235</v>
      </c>
      <c r="D212" s="194" t="s">
        <v>819</v>
      </c>
      <c r="E212" s="194" t="s">
        <v>819</v>
      </c>
      <c r="F212" s="194" t="s">
        <v>235</v>
      </c>
      <c r="G212" s="193" t="s">
        <v>583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825</v>
      </c>
      <c r="C213" s="193" t="s">
        <v>234</v>
      </c>
      <c r="D213" s="194" t="s">
        <v>819</v>
      </c>
      <c r="E213" s="194" t="s">
        <v>819</v>
      </c>
      <c r="F213" s="194" t="s">
        <v>234</v>
      </c>
      <c r="G213" s="193" t="s">
        <v>582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824</v>
      </c>
      <c r="C214" s="193" t="s">
        <v>233</v>
      </c>
      <c r="D214" s="194" t="s">
        <v>819</v>
      </c>
      <c r="E214" s="194" t="s">
        <v>819</v>
      </c>
      <c r="F214" s="194" t="s">
        <v>233</v>
      </c>
      <c r="G214" s="193" t="s">
        <v>581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818</v>
      </c>
      <c r="C215" s="193" t="s">
        <v>236</v>
      </c>
      <c r="D215" s="194" t="s">
        <v>819</v>
      </c>
      <c r="E215" s="194" t="s">
        <v>819</v>
      </c>
      <c r="F215" s="194" t="s">
        <v>236</v>
      </c>
      <c r="G215" s="193" t="s">
        <v>584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828</v>
      </c>
      <c r="C216" s="193" t="s">
        <v>237</v>
      </c>
      <c r="D216" s="194" t="s">
        <v>819</v>
      </c>
      <c r="E216" s="194" t="s">
        <v>819</v>
      </c>
      <c r="F216" s="194" t="s">
        <v>237</v>
      </c>
      <c r="G216" s="193" t="s">
        <v>585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820</v>
      </c>
      <c r="C217" s="193" t="s">
        <v>238</v>
      </c>
      <c r="D217" s="194" t="s">
        <v>819</v>
      </c>
      <c r="E217" s="194" t="s">
        <v>819</v>
      </c>
      <c r="F217" s="194" t="s">
        <v>238</v>
      </c>
      <c r="G217" s="193" t="s">
        <v>586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823</v>
      </c>
      <c r="C218" s="193" t="s">
        <v>36</v>
      </c>
      <c r="D218" s="194" t="s">
        <v>819</v>
      </c>
      <c r="E218" s="194" t="s">
        <v>819</v>
      </c>
      <c r="F218" s="194" t="s">
        <v>36</v>
      </c>
      <c r="G218" s="193" t="s">
        <v>395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828</v>
      </c>
      <c r="C219" s="193" t="s">
        <v>230</v>
      </c>
      <c r="D219" s="194" t="s">
        <v>819</v>
      </c>
      <c r="E219" s="194" t="s">
        <v>819</v>
      </c>
      <c r="F219" s="194" t="s">
        <v>230</v>
      </c>
      <c r="G219" s="193" t="s">
        <v>580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820</v>
      </c>
      <c r="C220" s="193" t="s">
        <v>240</v>
      </c>
      <c r="D220" s="194" t="s">
        <v>819</v>
      </c>
      <c r="E220" s="194" t="s">
        <v>819</v>
      </c>
      <c r="F220" s="194" t="s">
        <v>240</v>
      </c>
      <c r="G220" s="193" t="s">
        <v>587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818</v>
      </c>
      <c r="C221" s="193" t="s">
        <v>241</v>
      </c>
      <c r="D221" s="194" t="s">
        <v>819</v>
      </c>
      <c r="E221" s="194" t="s">
        <v>819</v>
      </c>
      <c r="F221" s="194" t="s">
        <v>241</v>
      </c>
      <c r="G221" s="193" t="s">
        <v>588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822</v>
      </c>
      <c r="C222" s="193" t="s">
        <v>243</v>
      </c>
      <c r="D222" s="194" t="s">
        <v>43</v>
      </c>
      <c r="E222" s="194" t="s">
        <v>819</v>
      </c>
      <c r="F222" s="194" t="s">
        <v>243</v>
      </c>
      <c r="G222" s="193" t="s">
        <v>814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827</v>
      </c>
      <c r="C223" s="193" t="s">
        <v>244</v>
      </c>
      <c r="D223" s="194" t="s">
        <v>819</v>
      </c>
      <c r="E223" s="194" t="s">
        <v>819</v>
      </c>
      <c r="F223" s="194" t="s">
        <v>244</v>
      </c>
      <c r="G223" s="193" t="s">
        <v>590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818</v>
      </c>
      <c r="C224" s="193" t="s">
        <v>245</v>
      </c>
      <c r="D224" s="194" t="s">
        <v>819</v>
      </c>
      <c r="E224" s="194" t="s">
        <v>819</v>
      </c>
      <c r="F224" s="194" t="s">
        <v>245</v>
      </c>
      <c r="G224" s="193" t="s">
        <v>591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823</v>
      </c>
      <c r="C225" s="193" t="s">
        <v>246</v>
      </c>
      <c r="D225" s="194" t="s">
        <v>819</v>
      </c>
      <c r="E225" s="194" t="s">
        <v>819</v>
      </c>
      <c r="F225" s="194" t="s">
        <v>246</v>
      </c>
      <c r="G225" s="193" t="s">
        <v>592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825</v>
      </c>
      <c r="C226" s="193" t="s">
        <v>247</v>
      </c>
      <c r="D226" s="194" t="s">
        <v>819</v>
      </c>
      <c r="E226" s="194" t="s">
        <v>819</v>
      </c>
      <c r="F226" s="194" t="s">
        <v>247</v>
      </c>
      <c r="G226" s="193" t="s">
        <v>593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821</v>
      </c>
      <c r="C227" s="193" t="s">
        <v>248</v>
      </c>
      <c r="D227" s="194" t="s">
        <v>819</v>
      </c>
      <c r="E227" s="194" t="s">
        <v>819</v>
      </c>
      <c r="F227" s="194" t="s">
        <v>248</v>
      </c>
      <c r="G227" s="193" t="s">
        <v>594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820</v>
      </c>
      <c r="C228" s="193" t="s">
        <v>249</v>
      </c>
      <c r="D228" s="194" t="s">
        <v>819</v>
      </c>
      <c r="E228" s="194" t="s">
        <v>819</v>
      </c>
      <c r="F228" s="194" t="s">
        <v>249</v>
      </c>
      <c r="G228" s="193" t="s">
        <v>595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824</v>
      </c>
      <c r="C229" s="193" t="s">
        <v>250</v>
      </c>
      <c r="D229" s="194" t="s">
        <v>819</v>
      </c>
      <c r="E229" s="194" t="s">
        <v>819</v>
      </c>
      <c r="F229" s="194" t="s">
        <v>250</v>
      </c>
      <c r="G229" s="193" t="s">
        <v>596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824</v>
      </c>
      <c r="C230" s="193" t="s">
        <v>251</v>
      </c>
      <c r="D230" s="194" t="s">
        <v>819</v>
      </c>
      <c r="E230" s="194" t="s">
        <v>819</v>
      </c>
      <c r="F230" s="194" t="s">
        <v>251</v>
      </c>
      <c r="G230" s="193" t="s">
        <v>597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818</v>
      </c>
      <c r="C231" s="193" t="s">
        <v>252</v>
      </c>
      <c r="D231" s="194" t="s">
        <v>819</v>
      </c>
      <c r="E231" s="194" t="s">
        <v>819</v>
      </c>
      <c r="F231" s="194" t="s">
        <v>252</v>
      </c>
      <c r="G231" s="193" t="s">
        <v>598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823</v>
      </c>
      <c r="C232" s="193" t="s">
        <v>253</v>
      </c>
      <c r="D232" s="194" t="s">
        <v>819</v>
      </c>
      <c r="E232" s="194" t="s">
        <v>819</v>
      </c>
      <c r="F232" s="194" t="s">
        <v>253</v>
      </c>
      <c r="G232" s="193" t="s">
        <v>599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818</v>
      </c>
      <c r="C233" s="193" t="s">
        <v>262</v>
      </c>
      <c r="D233" s="194" t="s">
        <v>819</v>
      </c>
      <c r="E233" s="194" t="s">
        <v>819</v>
      </c>
      <c r="F233" s="194" t="s">
        <v>699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824</v>
      </c>
      <c r="C234" s="193" t="s">
        <v>255</v>
      </c>
      <c r="D234" s="194" t="s">
        <v>819</v>
      </c>
      <c r="E234" s="194" t="s">
        <v>819</v>
      </c>
      <c r="F234" s="194" t="s">
        <v>255</v>
      </c>
      <c r="G234" s="193" t="s">
        <v>601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818</v>
      </c>
      <c r="C235" s="193" t="s">
        <v>256</v>
      </c>
      <c r="D235" s="194" t="s">
        <v>819</v>
      </c>
      <c r="E235" s="194" t="s">
        <v>819</v>
      </c>
      <c r="F235" s="194" t="s">
        <v>256</v>
      </c>
      <c r="G235" s="193" t="s">
        <v>602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818</v>
      </c>
      <c r="C236" s="193" t="s">
        <v>257</v>
      </c>
      <c r="D236" s="194" t="s">
        <v>819</v>
      </c>
      <c r="E236" s="194" t="s">
        <v>819</v>
      </c>
      <c r="F236" s="194" t="s">
        <v>257</v>
      </c>
      <c r="G236" s="193" t="s">
        <v>603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828</v>
      </c>
      <c r="C237" s="193" t="s">
        <v>258</v>
      </c>
      <c r="D237" s="194" t="s">
        <v>819</v>
      </c>
      <c r="E237" s="194" t="s">
        <v>819</v>
      </c>
      <c r="F237" s="194" t="s">
        <v>258</v>
      </c>
      <c r="G237" s="193" t="s">
        <v>604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818</v>
      </c>
      <c r="C238" s="193" t="s">
        <v>259</v>
      </c>
      <c r="D238" s="194" t="s">
        <v>819</v>
      </c>
      <c r="E238" s="194" t="s">
        <v>819</v>
      </c>
      <c r="F238" s="194" t="s">
        <v>259</v>
      </c>
      <c r="G238" s="193" t="s">
        <v>605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823</v>
      </c>
      <c r="C239" s="193" t="s">
        <v>260</v>
      </c>
      <c r="D239" s="194" t="s">
        <v>819</v>
      </c>
      <c r="E239" s="194" t="s">
        <v>819</v>
      </c>
      <c r="F239" s="194" t="s">
        <v>260</v>
      </c>
      <c r="G239" s="193" t="s">
        <v>606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827</v>
      </c>
      <c r="C240" s="193" t="s">
        <v>261</v>
      </c>
      <c r="D240" s="194" t="s">
        <v>819</v>
      </c>
      <c r="E240" s="194" t="s">
        <v>819</v>
      </c>
      <c r="F240" s="194" t="s">
        <v>261</v>
      </c>
      <c r="G240" s="193" t="s">
        <v>607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823</v>
      </c>
      <c r="C241" s="193" t="s">
        <v>263</v>
      </c>
      <c r="D241" s="194" t="s">
        <v>819</v>
      </c>
      <c r="E241" s="194" t="s">
        <v>819</v>
      </c>
      <c r="F241" s="194" t="s">
        <v>700</v>
      </c>
      <c r="G241" s="193" t="s">
        <v>608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821</v>
      </c>
      <c r="C242" s="193" t="s">
        <v>264</v>
      </c>
      <c r="D242" s="194" t="s">
        <v>819</v>
      </c>
      <c r="E242" s="194" t="s">
        <v>819</v>
      </c>
      <c r="F242" s="194" t="s">
        <v>264</v>
      </c>
      <c r="G242" s="193" t="s">
        <v>609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822</v>
      </c>
      <c r="C243" s="193" t="s">
        <v>265</v>
      </c>
      <c r="D243" s="194" t="s">
        <v>819</v>
      </c>
      <c r="E243" s="194" t="s">
        <v>819</v>
      </c>
      <c r="F243" s="194" t="s">
        <v>265</v>
      </c>
      <c r="G243" s="193" t="s">
        <v>610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827</v>
      </c>
      <c r="C244" s="193" t="s">
        <v>266</v>
      </c>
      <c r="D244" s="194" t="s">
        <v>819</v>
      </c>
      <c r="E244" s="194" t="s">
        <v>819</v>
      </c>
      <c r="F244" s="194" t="s">
        <v>266</v>
      </c>
      <c r="G244" s="193" t="s">
        <v>611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822</v>
      </c>
      <c r="C245" s="193" t="s">
        <v>121</v>
      </c>
      <c r="D245" s="194" t="s">
        <v>819</v>
      </c>
      <c r="E245" s="194" t="s">
        <v>819</v>
      </c>
      <c r="F245" s="194" t="s">
        <v>121</v>
      </c>
      <c r="G245" s="193" t="s">
        <v>474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821</v>
      </c>
      <c r="C246" s="193" t="s">
        <v>242</v>
      </c>
      <c r="D246" s="194" t="s">
        <v>819</v>
      </c>
      <c r="E246" s="194" t="s">
        <v>819</v>
      </c>
      <c r="F246" s="194" t="s">
        <v>697</v>
      </c>
      <c r="G246" s="193" t="s">
        <v>589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822</v>
      </c>
      <c r="C247" s="193" t="s">
        <v>267</v>
      </c>
      <c r="D247" s="194" t="s">
        <v>819</v>
      </c>
      <c r="E247" s="194" t="s">
        <v>819</v>
      </c>
      <c r="F247" s="194" t="s">
        <v>267</v>
      </c>
      <c r="G247" s="193" t="s">
        <v>612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818</v>
      </c>
      <c r="C248" s="193" t="s">
        <v>268</v>
      </c>
      <c r="D248" s="194" t="s">
        <v>819</v>
      </c>
      <c r="E248" s="194" t="s">
        <v>819</v>
      </c>
      <c r="F248" s="194" t="s">
        <v>268</v>
      </c>
      <c r="G248" s="193" t="s">
        <v>613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820</v>
      </c>
      <c r="C249" s="193" t="s">
        <v>269</v>
      </c>
      <c r="D249" s="194" t="s">
        <v>819</v>
      </c>
      <c r="E249" s="194" t="s">
        <v>819</v>
      </c>
      <c r="F249" s="194" t="s">
        <v>269</v>
      </c>
      <c r="G249" s="193" t="s">
        <v>614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823</v>
      </c>
      <c r="C250" s="193" t="s">
        <v>270</v>
      </c>
      <c r="D250" s="194" t="s">
        <v>819</v>
      </c>
      <c r="E250" s="194" t="s">
        <v>819</v>
      </c>
      <c r="F250" s="194" t="s">
        <v>270</v>
      </c>
      <c r="G250" s="193" t="s">
        <v>615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818</v>
      </c>
      <c r="C251" s="193" t="s">
        <v>272</v>
      </c>
      <c r="D251" s="194" t="s">
        <v>819</v>
      </c>
      <c r="E251" s="194" t="s">
        <v>819</v>
      </c>
      <c r="F251" s="194" t="s">
        <v>272</v>
      </c>
      <c r="G251" s="193" t="s">
        <v>617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823</v>
      </c>
      <c r="C252" s="193" t="s">
        <v>273</v>
      </c>
      <c r="D252" s="194" t="s">
        <v>819</v>
      </c>
      <c r="E252" s="194" t="s">
        <v>819</v>
      </c>
      <c r="F252" s="194" t="s">
        <v>273</v>
      </c>
      <c r="G252" s="193" t="s">
        <v>618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822</v>
      </c>
      <c r="C253" s="193" t="s">
        <v>274</v>
      </c>
      <c r="D253" s="194" t="s">
        <v>819</v>
      </c>
      <c r="E253" s="194" t="s">
        <v>819</v>
      </c>
      <c r="F253" s="194" t="s">
        <v>274</v>
      </c>
      <c r="G253" s="193" t="s">
        <v>619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822</v>
      </c>
      <c r="C254" s="193" t="s">
        <v>275</v>
      </c>
      <c r="D254" s="194" t="s">
        <v>819</v>
      </c>
      <c r="E254" s="194" t="s">
        <v>819</v>
      </c>
      <c r="F254" s="194" t="s">
        <v>275</v>
      </c>
      <c r="G254" s="193" t="s">
        <v>620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824</v>
      </c>
      <c r="C255" s="193" t="s">
        <v>276</v>
      </c>
      <c r="D255" s="194" t="s">
        <v>819</v>
      </c>
      <c r="E255" s="194" t="s">
        <v>819</v>
      </c>
      <c r="F255" s="194" t="s">
        <v>276</v>
      </c>
      <c r="G255" s="193" t="s">
        <v>621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822</v>
      </c>
      <c r="C256" s="193" t="s">
        <v>278</v>
      </c>
      <c r="D256" s="194" t="s">
        <v>819</v>
      </c>
      <c r="E256" s="194" t="s">
        <v>819</v>
      </c>
      <c r="F256" s="194" t="s">
        <v>278</v>
      </c>
      <c r="G256" s="193" t="s">
        <v>623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821</v>
      </c>
      <c r="C257" s="193" t="s">
        <v>279</v>
      </c>
      <c r="D257" s="194" t="s">
        <v>819</v>
      </c>
      <c r="E257" s="194" t="s">
        <v>819</v>
      </c>
      <c r="F257" s="194" t="s">
        <v>279</v>
      </c>
      <c r="G257" s="193" t="s">
        <v>624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822</v>
      </c>
      <c r="C258" s="193" t="s">
        <v>280</v>
      </c>
      <c r="D258" s="194" t="s">
        <v>819</v>
      </c>
      <c r="E258" s="194" t="s">
        <v>819</v>
      </c>
      <c r="F258" s="194" t="s">
        <v>280</v>
      </c>
      <c r="G258" s="193" t="s">
        <v>625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821</v>
      </c>
      <c r="C259" s="193" t="s">
        <v>281</v>
      </c>
      <c r="D259" s="194" t="s">
        <v>819</v>
      </c>
      <c r="E259" s="194" t="s">
        <v>819</v>
      </c>
      <c r="F259" s="194" t="s">
        <v>281</v>
      </c>
      <c r="G259" s="193" t="s">
        <v>626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824</v>
      </c>
      <c r="C260" s="193" t="s">
        <v>282</v>
      </c>
      <c r="D260" s="194" t="s">
        <v>819</v>
      </c>
      <c r="E260" s="194" t="s">
        <v>819</v>
      </c>
      <c r="F260" s="194" t="s">
        <v>282</v>
      </c>
      <c r="G260" s="193" t="s">
        <v>627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822</v>
      </c>
      <c r="C261" s="193" t="s">
        <v>283</v>
      </c>
      <c r="D261" s="194" t="s">
        <v>819</v>
      </c>
      <c r="E261" s="194" t="s">
        <v>819</v>
      </c>
      <c r="F261" s="194" t="s">
        <v>283</v>
      </c>
      <c r="G261" s="193" t="s">
        <v>628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823</v>
      </c>
      <c r="C262" s="193" t="s">
        <v>285</v>
      </c>
      <c r="D262" s="194" t="s">
        <v>819</v>
      </c>
      <c r="E262" s="194" t="s">
        <v>819</v>
      </c>
      <c r="F262" s="194" t="s">
        <v>701</v>
      </c>
      <c r="G262" s="193" t="s">
        <v>630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822</v>
      </c>
      <c r="C263" s="193" t="s">
        <v>284</v>
      </c>
      <c r="D263" s="194" t="s">
        <v>819</v>
      </c>
      <c r="E263" s="194" t="s">
        <v>819</v>
      </c>
      <c r="F263" s="194" t="s">
        <v>284</v>
      </c>
      <c r="G263" s="193" t="s">
        <v>629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825</v>
      </c>
      <c r="C264" s="193" t="s">
        <v>287</v>
      </c>
      <c r="D264" s="194" t="s">
        <v>819</v>
      </c>
      <c r="E264" s="194" t="s">
        <v>819</v>
      </c>
      <c r="F264" s="194" t="s">
        <v>287</v>
      </c>
      <c r="G264" s="193" t="s">
        <v>632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823</v>
      </c>
      <c r="C265" s="193" t="s">
        <v>286</v>
      </c>
      <c r="D265" s="194" t="s">
        <v>819</v>
      </c>
      <c r="E265" s="194" t="s">
        <v>819</v>
      </c>
      <c r="F265" s="194" t="s">
        <v>286</v>
      </c>
      <c r="G265" s="193" t="s">
        <v>631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823</v>
      </c>
      <c r="C266" s="193" t="s">
        <v>289</v>
      </c>
      <c r="D266" s="194" t="s">
        <v>819</v>
      </c>
      <c r="E266" s="194" t="s">
        <v>819</v>
      </c>
      <c r="F266" s="194" t="s">
        <v>289</v>
      </c>
      <c r="G266" s="193" t="s">
        <v>634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822</v>
      </c>
      <c r="C267" s="193" t="s">
        <v>254</v>
      </c>
      <c r="D267" s="194" t="s">
        <v>819</v>
      </c>
      <c r="E267" s="194" t="s">
        <v>819</v>
      </c>
      <c r="F267" s="194" t="s">
        <v>698</v>
      </c>
      <c r="G267" s="193" t="s">
        <v>600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821</v>
      </c>
      <c r="C268" s="193" t="s">
        <v>291</v>
      </c>
      <c r="D268" s="194" t="s">
        <v>819</v>
      </c>
      <c r="E268" s="194" t="s">
        <v>819</v>
      </c>
      <c r="F268" s="194" t="s">
        <v>291</v>
      </c>
      <c r="G268" s="193" t="s">
        <v>636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820</v>
      </c>
      <c r="C269" s="193" t="s">
        <v>292</v>
      </c>
      <c r="D269" s="194" t="s">
        <v>819</v>
      </c>
      <c r="E269" s="194" t="s">
        <v>819</v>
      </c>
      <c r="F269" s="194" t="s">
        <v>292</v>
      </c>
      <c r="G269" s="193" t="s">
        <v>637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827</v>
      </c>
      <c r="C270" s="193" t="s">
        <v>293</v>
      </c>
      <c r="D270" s="194" t="s">
        <v>819</v>
      </c>
      <c r="E270" s="194" t="s">
        <v>819</v>
      </c>
      <c r="F270" s="194" t="s">
        <v>293</v>
      </c>
      <c r="G270" s="193" t="s">
        <v>638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818</v>
      </c>
      <c r="C271" s="193" t="s">
        <v>294</v>
      </c>
      <c r="D271" s="194" t="s">
        <v>819</v>
      </c>
      <c r="E271" s="194" t="s">
        <v>819</v>
      </c>
      <c r="F271" s="194" t="s">
        <v>294</v>
      </c>
      <c r="G271" s="193" t="s">
        <v>639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818</v>
      </c>
      <c r="C272" s="193" t="s">
        <v>288</v>
      </c>
      <c r="D272" s="194" t="s">
        <v>819</v>
      </c>
      <c r="E272" s="194" t="s">
        <v>819</v>
      </c>
      <c r="F272" s="194" t="s">
        <v>288</v>
      </c>
      <c r="G272" s="193" t="s">
        <v>633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823</v>
      </c>
      <c r="C273" s="193" t="s">
        <v>290</v>
      </c>
      <c r="D273" s="194" t="s">
        <v>819</v>
      </c>
      <c r="E273" s="194" t="s">
        <v>819</v>
      </c>
      <c r="F273" s="194" t="s">
        <v>290</v>
      </c>
      <c r="G273" s="193" t="s">
        <v>635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823</v>
      </c>
      <c r="C274" s="193" t="s">
        <v>295</v>
      </c>
      <c r="D274" s="194" t="s">
        <v>819</v>
      </c>
      <c r="E274" s="194" t="s">
        <v>819</v>
      </c>
      <c r="F274" s="194" t="s">
        <v>295</v>
      </c>
      <c r="G274" s="193" t="s">
        <v>640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823</v>
      </c>
      <c r="C275" s="193" t="s">
        <v>296</v>
      </c>
      <c r="D275" s="194" t="s">
        <v>819</v>
      </c>
      <c r="E275" s="194" t="s">
        <v>819</v>
      </c>
      <c r="F275" s="194" t="s">
        <v>296</v>
      </c>
      <c r="G275" s="193" t="s">
        <v>641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825</v>
      </c>
      <c r="C276" s="193" t="s">
        <v>297</v>
      </c>
      <c r="D276" s="194" t="s">
        <v>819</v>
      </c>
      <c r="E276" s="194" t="s">
        <v>819</v>
      </c>
      <c r="F276" s="194" t="s">
        <v>297</v>
      </c>
      <c r="G276" s="193" t="s">
        <v>642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820</v>
      </c>
      <c r="C277" s="193" t="s">
        <v>271</v>
      </c>
      <c r="D277" s="194" t="s">
        <v>819</v>
      </c>
      <c r="E277" s="194" t="s">
        <v>819</v>
      </c>
      <c r="F277" s="194" t="s">
        <v>271</v>
      </c>
      <c r="G277" s="193" t="s">
        <v>616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821</v>
      </c>
      <c r="C278" s="193" t="s">
        <v>298</v>
      </c>
      <c r="D278" s="194" t="s">
        <v>819</v>
      </c>
      <c r="E278" s="194" t="s">
        <v>819</v>
      </c>
      <c r="F278" s="194" t="s">
        <v>298</v>
      </c>
      <c r="G278" s="193" t="s">
        <v>643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827</v>
      </c>
      <c r="C279" s="193" t="s">
        <v>299</v>
      </c>
      <c r="D279" s="194" t="s">
        <v>819</v>
      </c>
      <c r="E279" s="194" t="s">
        <v>819</v>
      </c>
      <c r="F279" s="194" t="s">
        <v>299</v>
      </c>
      <c r="G279" s="193" t="s">
        <v>644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823</v>
      </c>
      <c r="C280" s="193" t="s">
        <v>300</v>
      </c>
      <c r="D280" s="194" t="s">
        <v>819</v>
      </c>
      <c r="E280" s="194" t="s">
        <v>819</v>
      </c>
      <c r="F280" s="194" t="s">
        <v>300</v>
      </c>
      <c r="G280" s="193" t="s">
        <v>645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823</v>
      </c>
      <c r="C281" s="193" t="s">
        <v>301</v>
      </c>
      <c r="D281" s="194" t="s">
        <v>819</v>
      </c>
      <c r="E281" s="194" t="s">
        <v>819</v>
      </c>
      <c r="F281" s="194" t="s">
        <v>301</v>
      </c>
      <c r="G281" s="193" t="s">
        <v>646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820</v>
      </c>
      <c r="C282" s="193" t="s">
        <v>303</v>
      </c>
      <c r="D282" s="194" t="s">
        <v>819</v>
      </c>
      <c r="E282" s="194" t="s">
        <v>819</v>
      </c>
      <c r="F282" s="194" t="s">
        <v>303</v>
      </c>
      <c r="G282" s="193" t="s">
        <v>648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825</v>
      </c>
      <c r="C283" s="193" t="s">
        <v>304</v>
      </c>
      <c r="D283" s="194" t="s">
        <v>819</v>
      </c>
      <c r="E283" s="194" t="s">
        <v>819</v>
      </c>
      <c r="F283" s="194" t="s">
        <v>304</v>
      </c>
      <c r="G283" s="193" t="s">
        <v>649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821</v>
      </c>
      <c r="C284" s="193" t="s">
        <v>305</v>
      </c>
      <c r="D284" s="194" t="s">
        <v>819</v>
      </c>
      <c r="E284" s="194" t="s">
        <v>819</v>
      </c>
      <c r="F284" s="194" t="s">
        <v>305</v>
      </c>
      <c r="G284" s="193" t="s">
        <v>650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821</v>
      </c>
      <c r="C285" s="193" t="s">
        <v>306</v>
      </c>
      <c r="D285" s="194" t="s">
        <v>819</v>
      </c>
      <c r="E285" s="194" t="s">
        <v>819</v>
      </c>
      <c r="F285" s="194" t="s">
        <v>306</v>
      </c>
      <c r="G285" s="193" t="s">
        <v>651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824</v>
      </c>
      <c r="C286" s="193" t="s">
        <v>307</v>
      </c>
      <c r="D286" s="194" t="s">
        <v>819</v>
      </c>
      <c r="E286" s="194" t="s">
        <v>819</v>
      </c>
      <c r="F286" s="194" t="s">
        <v>307</v>
      </c>
      <c r="G286" s="193" t="s">
        <v>652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820</v>
      </c>
      <c r="C287" s="193" t="s">
        <v>308</v>
      </c>
      <c r="D287" s="194" t="s">
        <v>819</v>
      </c>
      <c r="E287" s="194" t="s">
        <v>819</v>
      </c>
      <c r="F287" s="194" t="s">
        <v>308</v>
      </c>
      <c r="G287" s="193" t="s">
        <v>653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827</v>
      </c>
      <c r="C288" s="193" t="s">
        <v>309</v>
      </c>
      <c r="D288" s="194" t="s">
        <v>819</v>
      </c>
      <c r="E288" s="194" t="s">
        <v>819</v>
      </c>
      <c r="F288" s="194" t="s">
        <v>309</v>
      </c>
      <c r="G288" s="193" t="s">
        <v>654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818</v>
      </c>
      <c r="C289" s="193" t="s">
        <v>310</v>
      </c>
      <c r="D289" s="194" t="s">
        <v>819</v>
      </c>
      <c r="E289" s="194" t="s">
        <v>819</v>
      </c>
      <c r="F289" s="194" t="s">
        <v>310</v>
      </c>
      <c r="G289" s="193" t="s">
        <v>655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823</v>
      </c>
      <c r="C290" s="193" t="s">
        <v>311</v>
      </c>
      <c r="D290" s="194" t="s">
        <v>819</v>
      </c>
      <c r="E290" s="194" t="s">
        <v>819</v>
      </c>
      <c r="F290" s="194" t="s">
        <v>311</v>
      </c>
      <c r="G290" s="193" t="s">
        <v>656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821</v>
      </c>
      <c r="C291" s="193" t="s">
        <v>312</v>
      </c>
      <c r="D291" s="194" t="s">
        <v>819</v>
      </c>
      <c r="E291" s="194" t="s">
        <v>819</v>
      </c>
      <c r="F291" s="194" t="s">
        <v>312</v>
      </c>
      <c r="G291" s="193" t="s">
        <v>657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820</v>
      </c>
      <c r="C292" s="193" t="s">
        <v>114</v>
      </c>
      <c r="D292" s="194" t="s">
        <v>819</v>
      </c>
      <c r="E292" s="194" t="s">
        <v>819</v>
      </c>
      <c r="F292" s="194" t="s">
        <v>695</v>
      </c>
      <c r="G292" s="193" t="s">
        <v>467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818</v>
      </c>
      <c r="C293" s="193" t="s">
        <v>313</v>
      </c>
      <c r="D293" s="194" t="s">
        <v>819</v>
      </c>
      <c r="E293" s="194" t="s">
        <v>819</v>
      </c>
      <c r="F293" s="194" t="s">
        <v>313</v>
      </c>
      <c r="G293" s="193" t="s">
        <v>658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818</v>
      </c>
      <c r="C294" s="193" t="s">
        <v>314</v>
      </c>
      <c r="D294" s="194" t="s">
        <v>819</v>
      </c>
      <c r="E294" s="194" t="s">
        <v>819</v>
      </c>
      <c r="F294" s="194" t="s">
        <v>314</v>
      </c>
      <c r="G294" s="193" t="s">
        <v>659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824</v>
      </c>
      <c r="C295" s="193" t="s">
        <v>316</v>
      </c>
      <c r="D295" s="194" t="s">
        <v>154</v>
      </c>
      <c r="E295" s="194" t="s">
        <v>819</v>
      </c>
      <c r="F295" s="194" t="s">
        <v>316</v>
      </c>
      <c r="G295" s="193" t="s">
        <v>804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818</v>
      </c>
      <c r="C296" s="193" t="s">
        <v>317</v>
      </c>
      <c r="D296" s="194" t="s">
        <v>819</v>
      </c>
      <c r="E296" s="194" t="s">
        <v>819</v>
      </c>
      <c r="F296" s="194" t="s">
        <v>317</v>
      </c>
      <c r="G296" s="193" t="s">
        <v>660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821</v>
      </c>
      <c r="C297" s="193" t="s">
        <v>318</v>
      </c>
      <c r="D297" s="194" t="s">
        <v>819</v>
      </c>
      <c r="E297" s="194" t="s">
        <v>819</v>
      </c>
      <c r="F297" s="194" t="s">
        <v>318</v>
      </c>
      <c r="G297" s="193" t="s">
        <v>661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825</v>
      </c>
      <c r="C298" s="193" t="s">
        <v>319</v>
      </c>
      <c r="D298" s="194" t="s">
        <v>819</v>
      </c>
      <c r="E298" s="194" t="s">
        <v>819</v>
      </c>
      <c r="F298" s="194" t="s">
        <v>319</v>
      </c>
      <c r="G298" s="193" t="s">
        <v>662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824</v>
      </c>
      <c r="C299" s="193" t="s">
        <v>320</v>
      </c>
      <c r="D299" s="194" t="s">
        <v>819</v>
      </c>
      <c r="E299" s="194" t="s">
        <v>819</v>
      </c>
      <c r="F299" s="194" t="s">
        <v>320</v>
      </c>
      <c r="G299" s="193" t="s">
        <v>663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824</v>
      </c>
      <c r="C300" s="193" t="s">
        <v>322</v>
      </c>
      <c r="D300" s="194" t="s">
        <v>819</v>
      </c>
      <c r="E300" s="194" t="s">
        <v>819</v>
      </c>
      <c r="F300" s="194" t="s">
        <v>322</v>
      </c>
      <c r="G300" s="193" t="s">
        <v>665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820</v>
      </c>
      <c r="C301" s="193" t="s">
        <v>323</v>
      </c>
      <c r="D301" s="194" t="s">
        <v>819</v>
      </c>
      <c r="E301" s="194" t="s">
        <v>819</v>
      </c>
      <c r="F301" s="194" t="s">
        <v>323</v>
      </c>
      <c r="G301" s="193" t="s">
        <v>666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825</v>
      </c>
      <c r="C302" s="193" t="s">
        <v>324</v>
      </c>
      <c r="D302" s="194" t="s">
        <v>819</v>
      </c>
      <c r="E302" s="194" t="s">
        <v>819</v>
      </c>
      <c r="F302" s="194" t="s">
        <v>324</v>
      </c>
      <c r="G302" s="193" t="s">
        <v>667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820</v>
      </c>
      <c r="C303" s="193" t="s">
        <v>325</v>
      </c>
      <c r="D303" s="194" t="s">
        <v>819</v>
      </c>
      <c r="E303" s="194" t="s">
        <v>819</v>
      </c>
      <c r="F303" s="194" t="s">
        <v>325</v>
      </c>
      <c r="G303" s="193" t="s">
        <v>668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818</v>
      </c>
      <c r="C304" s="193" t="s">
        <v>326</v>
      </c>
      <c r="D304" s="194" t="s">
        <v>819</v>
      </c>
      <c r="E304" s="194" t="s">
        <v>819</v>
      </c>
      <c r="F304" s="194" t="s">
        <v>326</v>
      </c>
      <c r="G304" s="193" t="s">
        <v>669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820</v>
      </c>
      <c r="C305" s="193" t="s">
        <v>327</v>
      </c>
      <c r="D305" s="194" t="s">
        <v>819</v>
      </c>
      <c r="E305" s="194" t="s">
        <v>819</v>
      </c>
      <c r="F305" s="194" t="s">
        <v>327</v>
      </c>
      <c r="G305" s="193" t="s">
        <v>670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824</v>
      </c>
      <c r="C306" s="193" t="s">
        <v>328</v>
      </c>
      <c r="D306" s="194" t="s">
        <v>819</v>
      </c>
      <c r="E306" s="194" t="s">
        <v>819</v>
      </c>
      <c r="F306" s="194" t="s">
        <v>328</v>
      </c>
      <c r="G306" s="193" t="s">
        <v>671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823</v>
      </c>
      <c r="C307" s="193" t="s">
        <v>329</v>
      </c>
      <c r="D307" s="194" t="s">
        <v>232</v>
      </c>
      <c r="E307" s="194" t="s">
        <v>819</v>
      </c>
      <c r="F307" s="194" t="s">
        <v>329</v>
      </c>
      <c r="G307" s="193" t="s">
        <v>672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823</v>
      </c>
      <c r="C308" s="193" t="s">
        <v>330</v>
      </c>
      <c r="D308" s="194" t="s">
        <v>819</v>
      </c>
      <c r="E308" s="194" t="s">
        <v>819</v>
      </c>
      <c r="F308" s="194" t="s">
        <v>330</v>
      </c>
      <c r="G308" s="193" t="s">
        <v>673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825</v>
      </c>
      <c r="C309" s="193" t="s">
        <v>331</v>
      </c>
      <c r="D309" s="194" t="s">
        <v>819</v>
      </c>
      <c r="E309" s="194" t="s">
        <v>819</v>
      </c>
      <c r="F309" s="194" t="s">
        <v>331</v>
      </c>
      <c r="G309" s="193" t="s">
        <v>674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824</v>
      </c>
      <c r="C310" s="193" t="s">
        <v>332</v>
      </c>
      <c r="D310" s="194" t="s">
        <v>819</v>
      </c>
      <c r="E310" s="194" t="s">
        <v>819</v>
      </c>
      <c r="F310" s="194" t="s">
        <v>332</v>
      </c>
      <c r="G310" s="193" t="s">
        <v>675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827</v>
      </c>
      <c r="C311" s="193" t="s">
        <v>333</v>
      </c>
      <c r="D311" s="194" t="s">
        <v>819</v>
      </c>
      <c r="E311" s="194" t="s">
        <v>819</v>
      </c>
      <c r="F311" s="194" t="s">
        <v>333</v>
      </c>
      <c r="G311" s="193" t="s">
        <v>676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818</v>
      </c>
      <c r="C312" s="193" t="s">
        <v>302</v>
      </c>
      <c r="D312" s="194" t="s">
        <v>819</v>
      </c>
      <c r="E312" s="194" t="s">
        <v>819</v>
      </c>
      <c r="F312" s="194" t="s">
        <v>302</v>
      </c>
      <c r="G312" s="193" t="s">
        <v>647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827</v>
      </c>
      <c r="C313" s="193" t="s">
        <v>334</v>
      </c>
      <c r="D313" s="194" t="s">
        <v>819</v>
      </c>
      <c r="E313" s="194" t="s">
        <v>819</v>
      </c>
      <c r="F313" s="194" t="s">
        <v>334</v>
      </c>
      <c r="G313" s="193" t="s">
        <v>677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818</v>
      </c>
      <c r="C314" s="193" t="s">
        <v>335</v>
      </c>
      <c r="D314" s="194" t="s">
        <v>819</v>
      </c>
      <c r="E314" s="194" t="s">
        <v>819</v>
      </c>
      <c r="F314" s="194" t="s">
        <v>335</v>
      </c>
      <c r="G314" s="193" t="s">
        <v>678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820</v>
      </c>
      <c r="C315" s="193" t="s">
        <v>277</v>
      </c>
      <c r="D315" s="194" t="s">
        <v>819</v>
      </c>
      <c r="E315" s="194" t="s">
        <v>819</v>
      </c>
      <c r="F315" s="194" t="s">
        <v>277</v>
      </c>
      <c r="G315" s="193" t="s">
        <v>622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820</v>
      </c>
      <c r="C316" s="193" t="s">
        <v>57</v>
      </c>
      <c r="D316" s="194" t="s">
        <v>819</v>
      </c>
      <c r="E316" s="194" t="s">
        <v>819</v>
      </c>
      <c r="F316" s="194" t="s">
        <v>57</v>
      </c>
      <c r="G316" s="193" t="s">
        <v>412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821</v>
      </c>
      <c r="C317" s="193" t="s">
        <v>337</v>
      </c>
      <c r="D317" s="194" t="s">
        <v>819</v>
      </c>
      <c r="E317" s="194" t="s">
        <v>819</v>
      </c>
      <c r="F317" s="194" t="s">
        <v>337</v>
      </c>
      <c r="G317" s="193" t="s">
        <v>680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828</v>
      </c>
      <c r="C318" s="193" t="s">
        <v>338</v>
      </c>
      <c r="D318" s="194" t="s">
        <v>819</v>
      </c>
      <c r="E318" s="194" t="s">
        <v>819</v>
      </c>
      <c r="F318" s="194" t="s">
        <v>338</v>
      </c>
      <c r="G318" s="193" t="s">
        <v>681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822</v>
      </c>
      <c r="C319" s="193" t="s">
        <v>339</v>
      </c>
      <c r="D319" s="194" t="s">
        <v>819</v>
      </c>
      <c r="E319" s="194" t="s">
        <v>819</v>
      </c>
      <c r="F319" s="194" t="s">
        <v>339</v>
      </c>
      <c r="G319" s="193" t="s">
        <v>682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820</v>
      </c>
      <c r="C320" s="193" t="s">
        <v>340</v>
      </c>
      <c r="D320" s="194" t="s">
        <v>819</v>
      </c>
      <c r="E320" s="194" t="s">
        <v>819</v>
      </c>
      <c r="F320" s="194" t="s">
        <v>340</v>
      </c>
      <c r="G320" s="193" t="s">
        <v>683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822</v>
      </c>
      <c r="C321" s="193" t="s">
        <v>341</v>
      </c>
      <c r="D321" s="194" t="s">
        <v>819</v>
      </c>
      <c r="E321" s="194" t="s">
        <v>819</v>
      </c>
      <c r="F321" s="194" t="s">
        <v>341</v>
      </c>
      <c r="G321" s="193" t="s">
        <v>684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822</v>
      </c>
      <c r="C322" s="193" t="s">
        <v>342</v>
      </c>
      <c r="D322" s="194" t="s">
        <v>819</v>
      </c>
      <c r="E322" s="194" t="s">
        <v>819</v>
      </c>
      <c r="F322" s="194" t="s">
        <v>342</v>
      </c>
      <c r="G322" s="193" t="s">
        <v>685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827</v>
      </c>
      <c r="C323" s="193" t="s">
        <v>336</v>
      </c>
      <c r="D323" s="194" t="s">
        <v>819</v>
      </c>
      <c r="E323" s="194" t="s">
        <v>819</v>
      </c>
      <c r="F323" s="194" t="s">
        <v>336</v>
      </c>
      <c r="G323" s="193" t="s">
        <v>679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822</v>
      </c>
      <c r="C324" s="193" t="s">
        <v>343</v>
      </c>
      <c r="D324" s="194" t="s">
        <v>819</v>
      </c>
      <c r="E324" s="194" t="s">
        <v>819</v>
      </c>
      <c r="F324" s="194" t="s">
        <v>343</v>
      </c>
      <c r="G324" s="193" t="s">
        <v>686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822</v>
      </c>
      <c r="C325" s="193" t="s">
        <v>344</v>
      </c>
      <c r="D325" s="194" t="s">
        <v>819</v>
      </c>
      <c r="E325" s="194" t="s">
        <v>819</v>
      </c>
      <c r="F325" s="194" t="s">
        <v>344</v>
      </c>
      <c r="G325" s="193" t="s">
        <v>687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825</v>
      </c>
      <c r="C326" s="193" t="s">
        <v>345</v>
      </c>
      <c r="D326" s="194" t="s">
        <v>819</v>
      </c>
      <c r="E326" s="194" t="s">
        <v>819</v>
      </c>
      <c r="F326" s="194" t="s">
        <v>345</v>
      </c>
      <c r="G326" s="193" t="s">
        <v>688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828</v>
      </c>
      <c r="C327" s="193" t="s">
        <v>346</v>
      </c>
      <c r="D327" s="194" t="s">
        <v>819</v>
      </c>
      <c r="E327" s="194" t="s">
        <v>819</v>
      </c>
      <c r="F327" s="194" t="s">
        <v>346</v>
      </c>
      <c r="G327" s="193" t="s">
        <v>689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824</v>
      </c>
      <c r="C328" s="193" t="s">
        <v>347</v>
      </c>
      <c r="D328" s="194" t="s">
        <v>819</v>
      </c>
      <c r="E328" s="194" t="s">
        <v>819</v>
      </c>
      <c r="F328" s="194" t="s">
        <v>347</v>
      </c>
      <c r="G328" s="193" t="s">
        <v>690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818</v>
      </c>
      <c r="C329" s="193" t="s">
        <v>348</v>
      </c>
      <c r="D329" s="194" t="s">
        <v>819</v>
      </c>
      <c r="E329" s="194" t="s">
        <v>819</v>
      </c>
      <c r="F329" s="194" t="s">
        <v>348</v>
      </c>
      <c r="G329" s="193" t="s">
        <v>691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821</v>
      </c>
      <c r="C330" s="193" t="s">
        <v>349</v>
      </c>
      <c r="D330" s="194" t="s">
        <v>819</v>
      </c>
      <c r="E330" s="194" t="s">
        <v>819</v>
      </c>
      <c r="F330" s="194" t="s">
        <v>349</v>
      </c>
      <c r="G330" s="193" t="s">
        <v>692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822</v>
      </c>
      <c r="C331" s="193" t="s">
        <v>350</v>
      </c>
      <c r="D331" s="194" t="s">
        <v>819</v>
      </c>
      <c r="E331" s="194" t="s">
        <v>819</v>
      </c>
      <c r="F331" s="194" t="s">
        <v>350</v>
      </c>
      <c r="G331" s="193" t="s">
        <v>693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818</v>
      </c>
      <c r="C332" s="193" t="s">
        <v>351</v>
      </c>
      <c r="D332" s="194" t="s">
        <v>819</v>
      </c>
      <c r="E332" s="194" t="s">
        <v>819</v>
      </c>
      <c r="F332" s="194" t="s">
        <v>351</v>
      </c>
      <c r="G332" s="193" t="s">
        <v>694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788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topLeftCell="A287"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352</v>
      </c>
      <c r="B1" s="2" t="s">
        <v>797</v>
      </c>
      <c r="C1" s="2" t="s">
        <v>353</v>
      </c>
      <c r="D1" s="1" t="s">
        <v>354</v>
      </c>
      <c r="E1" s="1" t="s">
        <v>355</v>
      </c>
      <c r="F1" s="1" t="s">
        <v>356</v>
      </c>
      <c r="G1" s="1" t="s">
        <v>841</v>
      </c>
      <c r="H1" s="1" t="s">
        <v>357</v>
      </c>
      <c r="I1" s="1" t="s">
        <v>358</v>
      </c>
      <c r="J1" s="1" t="s">
        <v>367</v>
      </c>
      <c r="K1" s="1" t="s">
        <v>368</v>
      </c>
      <c r="L1" s="1" t="s">
        <v>369</v>
      </c>
      <c r="M1" s="1" t="s">
        <v>360</v>
      </c>
      <c r="N1" s="1" t="s">
        <v>707</v>
      </c>
      <c r="O1" s="1" t="s">
        <v>361</v>
      </c>
      <c r="P1" s="1" t="s">
        <v>362</v>
      </c>
      <c r="Q1" s="1" t="s">
        <v>363</v>
      </c>
      <c r="R1" s="1" t="s">
        <v>364</v>
      </c>
      <c r="S1" s="1" t="s">
        <v>365</v>
      </c>
      <c r="T1" s="1" t="s">
        <v>366</v>
      </c>
      <c r="U1" s="1" t="s">
        <v>370</v>
      </c>
      <c r="V1" s="1" t="s">
        <v>371</v>
      </c>
      <c r="W1" s="1" t="s">
        <v>372</v>
      </c>
      <c r="X1" s="1" t="s">
        <v>373</v>
      </c>
      <c r="Y1" s="1" t="s">
        <v>374</v>
      </c>
      <c r="Z1" s="1" t="s">
        <v>375</v>
      </c>
      <c r="AA1" s="5" t="s">
        <v>376</v>
      </c>
      <c r="AB1" s="5" t="s">
        <v>377</v>
      </c>
      <c r="AC1" s="5" t="s">
        <v>378</v>
      </c>
      <c r="AD1" s="5" t="s">
        <v>379</v>
      </c>
      <c r="AE1" s="5" t="s">
        <v>728</v>
      </c>
      <c r="AF1" s="5" t="s">
        <v>729</v>
      </c>
      <c r="AG1" s="5" t="s">
        <v>730</v>
      </c>
      <c r="AH1" s="5" t="s">
        <v>731</v>
      </c>
      <c r="AI1" s="5" t="s">
        <v>732</v>
      </c>
      <c r="AJ1" s="5" t="s">
        <v>733</v>
      </c>
      <c r="AK1" s="5" t="s">
        <v>734</v>
      </c>
      <c r="AL1" s="5" t="s">
        <v>735</v>
      </c>
      <c r="AM1" s="5" t="s">
        <v>736</v>
      </c>
      <c r="AN1" s="5" t="s">
        <v>737</v>
      </c>
      <c r="AO1" s="151" t="s">
        <v>790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15457</v>
      </c>
      <c r="I2" s="1">
        <v>0</v>
      </c>
      <c r="J2" s="3">
        <v>3892535</v>
      </c>
      <c r="K2" s="3">
        <v>3877078</v>
      </c>
      <c r="L2" s="3">
        <v>3877078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2884322</v>
      </c>
      <c r="T2" s="3">
        <v>2884322</v>
      </c>
      <c r="U2" s="3">
        <v>389254</v>
      </c>
      <c r="V2" s="3">
        <v>389254</v>
      </c>
      <c r="W2" s="3">
        <v>389254</v>
      </c>
      <c r="X2" s="3">
        <v>389254</v>
      </c>
      <c r="Y2" s="3">
        <v>386677</v>
      </c>
      <c r="Z2" s="3">
        <v>386677</v>
      </c>
      <c r="AA2" s="4">
        <v>386677</v>
      </c>
      <c r="AB2" s="4">
        <v>386677</v>
      </c>
      <c r="AC2" s="4">
        <v>386677</v>
      </c>
      <c r="AD2" s="4">
        <v>386677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1943693</v>
      </c>
      <c r="AJ2" s="4">
        <v>2330370</v>
      </c>
      <c r="AK2" s="4">
        <v>2717047</v>
      </c>
      <c r="AL2" s="4">
        <v>3103724</v>
      </c>
      <c r="AM2" s="4">
        <v>3490401</v>
      </c>
      <c r="AN2" s="4">
        <v>3877078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380</v>
      </c>
      <c r="E3" s="3">
        <v>1934210</v>
      </c>
      <c r="F3" s="1">
        <v>299</v>
      </c>
      <c r="G3" s="1">
        <v>0</v>
      </c>
      <c r="H3" s="3">
        <v>6897</v>
      </c>
      <c r="I3" s="3">
        <v>0</v>
      </c>
      <c r="J3" s="3">
        <v>1933911</v>
      </c>
      <c r="K3" s="3">
        <v>1927014</v>
      </c>
      <c r="L3" s="3">
        <v>1927014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1483012</v>
      </c>
      <c r="T3" s="3">
        <v>1483012</v>
      </c>
      <c r="U3" s="3">
        <v>193391</v>
      </c>
      <c r="V3" s="3">
        <v>193391</v>
      </c>
      <c r="W3" s="3">
        <v>193391</v>
      </c>
      <c r="X3" s="3">
        <v>193391</v>
      </c>
      <c r="Y3" s="3">
        <v>192242</v>
      </c>
      <c r="Z3" s="3">
        <v>192242</v>
      </c>
      <c r="AA3" s="4">
        <v>192242</v>
      </c>
      <c r="AB3" s="4">
        <v>192242</v>
      </c>
      <c r="AC3" s="4">
        <v>192242</v>
      </c>
      <c r="AD3" s="4">
        <v>192240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965806</v>
      </c>
      <c r="AJ3" s="4">
        <v>1158048</v>
      </c>
      <c r="AK3" s="4">
        <v>1350290</v>
      </c>
      <c r="AL3" s="4">
        <v>1542532</v>
      </c>
      <c r="AM3" s="4">
        <v>1734774</v>
      </c>
      <c r="AN3" s="4">
        <v>1927014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381</v>
      </c>
      <c r="E4" s="3">
        <v>15581793</v>
      </c>
      <c r="F4" s="1">
        <v>564</v>
      </c>
      <c r="G4" s="1">
        <v>0</v>
      </c>
      <c r="H4" s="3">
        <v>47984</v>
      </c>
      <c r="I4" s="1">
        <v>0</v>
      </c>
      <c r="J4" s="3">
        <v>15581229</v>
      </c>
      <c r="K4" s="3">
        <v>15533245</v>
      </c>
      <c r="L4" s="3">
        <v>15533245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12883863</v>
      </c>
      <c r="T4" s="3">
        <v>12883863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1550126</v>
      </c>
      <c r="Z4" s="3">
        <v>1550126</v>
      </c>
      <c r="AA4" s="4">
        <v>1550125</v>
      </c>
      <c r="AB4" s="4">
        <v>1550125</v>
      </c>
      <c r="AC4" s="4">
        <v>1550125</v>
      </c>
      <c r="AD4" s="4">
        <v>1550126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7782618</v>
      </c>
      <c r="AJ4" s="4">
        <v>9332744</v>
      </c>
      <c r="AK4" s="4">
        <v>10882869</v>
      </c>
      <c r="AL4" s="4">
        <v>12432994</v>
      </c>
      <c r="AM4" s="4">
        <v>13983119</v>
      </c>
      <c r="AN4" s="4">
        <v>15533245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382</v>
      </c>
      <c r="E5" s="3">
        <v>3986620</v>
      </c>
      <c r="F5" s="1">
        <v>398</v>
      </c>
      <c r="G5" s="1">
        <v>0</v>
      </c>
      <c r="H5" s="3">
        <v>12502</v>
      </c>
      <c r="I5" s="1">
        <v>0</v>
      </c>
      <c r="J5" s="3">
        <v>3986222</v>
      </c>
      <c r="K5" s="3">
        <v>3973720</v>
      </c>
      <c r="L5" s="3">
        <v>3973720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3203771</v>
      </c>
      <c r="T5" s="3">
        <v>3203771</v>
      </c>
      <c r="U5" s="3">
        <v>398622</v>
      </c>
      <c r="V5" s="3">
        <v>398622</v>
      </c>
      <c r="W5" s="3">
        <v>398622</v>
      </c>
      <c r="X5" s="3">
        <v>398622</v>
      </c>
      <c r="Y5" s="3">
        <v>396539</v>
      </c>
      <c r="Z5" s="3">
        <v>396539</v>
      </c>
      <c r="AA5" s="4">
        <v>396539</v>
      </c>
      <c r="AB5" s="4">
        <v>396539</v>
      </c>
      <c r="AC5" s="4">
        <v>396539</v>
      </c>
      <c r="AD5" s="4">
        <v>396537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1991027</v>
      </c>
      <c r="AJ5" s="4">
        <v>2387566</v>
      </c>
      <c r="AK5" s="4">
        <v>2784105</v>
      </c>
      <c r="AL5" s="4">
        <v>3180644</v>
      </c>
      <c r="AM5" s="4">
        <v>3577183</v>
      </c>
      <c r="AN5" s="4">
        <v>3973720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383</v>
      </c>
      <c r="E6" s="3">
        <v>1023830</v>
      </c>
      <c r="F6" s="1">
        <v>199</v>
      </c>
      <c r="G6" s="1">
        <v>0</v>
      </c>
      <c r="H6" s="3">
        <v>4720</v>
      </c>
      <c r="I6" s="3">
        <v>0</v>
      </c>
      <c r="J6" s="3">
        <v>1023631</v>
      </c>
      <c r="K6" s="3">
        <v>1018911</v>
      </c>
      <c r="L6" s="3">
        <v>1018911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753880</v>
      </c>
      <c r="T6" s="3">
        <v>753880</v>
      </c>
      <c r="U6" s="3">
        <v>102363</v>
      </c>
      <c r="V6" s="3">
        <v>102363</v>
      </c>
      <c r="W6" s="3">
        <v>102363</v>
      </c>
      <c r="X6" s="3">
        <v>102363</v>
      </c>
      <c r="Y6" s="3">
        <v>101577</v>
      </c>
      <c r="Z6" s="3">
        <v>101577</v>
      </c>
      <c r="AA6" s="4">
        <v>101576</v>
      </c>
      <c r="AB6" s="4">
        <v>101576</v>
      </c>
      <c r="AC6" s="4">
        <v>101576</v>
      </c>
      <c r="AD6" s="4">
        <v>101577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511029</v>
      </c>
      <c r="AJ6" s="4">
        <v>612606</v>
      </c>
      <c r="AK6" s="4">
        <v>714182</v>
      </c>
      <c r="AL6" s="4">
        <v>815758</v>
      </c>
      <c r="AM6" s="4">
        <v>917334</v>
      </c>
      <c r="AN6" s="4">
        <v>1018911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384</v>
      </c>
      <c r="E7" s="3">
        <v>8269346</v>
      </c>
      <c r="F7" s="3">
        <v>846</v>
      </c>
      <c r="G7" s="3">
        <v>0</v>
      </c>
      <c r="H7" s="3">
        <v>24757</v>
      </c>
      <c r="I7" s="3">
        <v>0</v>
      </c>
      <c r="J7" s="3">
        <v>8268500</v>
      </c>
      <c r="K7" s="3">
        <v>8243743</v>
      </c>
      <c r="L7" s="3">
        <v>8243743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6768107</v>
      </c>
      <c r="T7" s="3">
        <v>6768107</v>
      </c>
      <c r="U7" s="3">
        <v>826850</v>
      </c>
      <c r="V7" s="3">
        <v>826850</v>
      </c>
      <c r="W7" s="3">
        <v>826850</v>
      </c>
      <c r="X7" s="3">
        <v>826850</v>
      </c>
      <c r="Y7" s="3">
        <v>822724</v>
      </c>
      <c r="Z7" s="3">
        <v>822724</v>
      </c>
      <c r="AA7" s="4">
        <v>822724</v>
      </c>
      <c r="AB7" s="4">
        <v>822724</v>
      </c>
      <c r="AC7" s="4">
        <v>822724</v>
      </c>
      <c r="AD7" s="4">
        <v>822723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4130124</v>
      </c>
      <c r="AJ7" s="4">
        <v>4952848</v>
      </c>
      <c r="AK7" s="4">
        <v>5775572</v>
      </c>
      <c r="AL7" s="4">
        <v>6598296</v>
      </c>
      <c r="AM7" s="4">
        <v>7421020</v>
      </c>
      <c r="AN7" s="4">
        <v>8243743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385</v>
      </c>
      <c r="E8" s="3">
        <v>3322386</v>
      </c>
      <c r="F8" s="3">
        <v>531</v>
      </c>
      <c r="G8" s="3">
        <v>0</v>
      </c>
      <c r="H8" s="3">
        <v>11856</v>
      </c>
      <c r="I8" s="1">
        <v>0</v>
      </c>
      <c r="J8" s="3">
        <v>3321855</v>
      </c>
      <c r="K8" s="3">
        <v>3309999</v>
      </c>
      <c r="L8" s="3">
        <v>3309999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2571022</v>
      </c>
      <c r="T8" s="3">
        <v>2571022</v>
      </c>
      <c r="U8" s="3">
        <v>332186</v>
      </c>
      <c r="V8" s="3">
        <v>332186</v>
      </c>
      <c r="W8" s="3">
        <v>332186</v>
      </c>
      <c r="X8" s="3">
        <v>332186</v>
      </c>
      <c r="Y8" s="3">
        <v>330209</v>
      </c>
      <c r="Z8" s="3">
        <v>330209</v>
      </c>
      <c r="AA8" s="4">
        <v>330209</v>
      </c>
      <c r="AB8" s="4">
        <v>330209</v>
      </c>
      <c r="AC8" s="4">
        <v>330209</v>
      </c>
      <c r="AD8" s="4">
        <v>330210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1658953</v>
      </c>
      <c r="AJ8" s="4">
        <v>1989162</v>
      </c>
      <c r="AK8" s="4">
        <v>2319371</v>
      </c>
      <c r="AL8" s="4">
        <v>2649580</v>
      </c>
      <c r="AM8" s="4">
        <v>2979789</v>
      </c>
      <c r="AN8" s="4">
        <v>3309999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386</v>
      </c>
      <c r="E9" s="3">
        <v>1616661</v>
      </c>
      <c r="F9" s="1">
        <v>133</v>
      </c>
      <c r="G9" s="1">
        <v>0</v>
      </c>
      <c r="H9" s="3">
        <v>6163</v>
      </c>
      <c r="I9" s="1">
        <v>0</v>
      </c>
      <c r="J9" s="3">
        <v>1616528</v>
      </c>
      <c r="K9" s="3">
        <v>1610365</v>
      </c>
      <c r="L9" s="3">
        <v>1610365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1245688</v>
      </c>
      <c r="T9" s="3">
        <v>1245688</v>
      </c>
      <c r="U9" s="3">
        <v>161653</v>
      </c>
      <c r="V9" s="3">
        <v>161653</v>
      </c>
      <c r="W9" s="3">
        <v>161653</v>
      </c>
      <c r="X9" s="3">
        <v>161653</v>
      </c>
      <c r="Y9" s="3">
        <v>160626</v>
      </c>
      <c r="Z9" s="3">
        <v>160626</v>
      </c>
      <c r="AA9" s="4">
        <v>160625</v>
      </c>
      <c r="AB9" s="4">
        <v>160625</v>
      </c>
      <c r="AC9" s="4">
        <v>160625</v>
      </c>
      <c r="AD9" s="4">
        <v>160626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807238</v>
      </c>
      <c r="AJ9" s="4">
        <v>967864</v>
      </c>
      <c r="AK9" s="4">
        <v>1128489</v>
      </c>
      <c r="AL9" s="4">
        <v>1289114</v>
      </c>
      <c r="AM9" s="4">
        <v>1449739</v>
      </c>
      <c r="AN9" s="4">
        <v>1610365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387</v>
      </c>
      <c r="E10" s="3">
        <v>8879951</v>
      </c>
      <c r="F10" s="3">
        <v>1824</v>
      </c>
      <c r="G10" s="3">
        <v>5345</v>
      </c>
      <c r="H10" s="3">
        <v>32570</v>
      </c>
      <c r="I10" s="1">
        <v>0</v>
      </c>
      <c r="J10" s="3">
        <v>8872782</v>
      </c>
      <c r="K10" s="3">
        <v>8840212</v>
      </c>
      <c r="L10" s="3">
        <v>8840212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6708720</v>
      </c>
      <c r="T10" s="3">
        <v>6708720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881850</v>
      </c>
      <c r="Z10" s="3">
        <v>881850</v>
      </c>
      <c r="AA10" s="4">
        <v>881850</v>
      </c>
      <c r="AB10" s="4">
        <v>881850</v>
      </c>
      <c r="AC10" s="4">
        <v>881850</v>
      </c>
      <c r="AD10" s="4">
        <v>881850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4430962</v>
      </c>
      <c r="AJ10" s="4">
        <v>5312812</v>
      </c>
      <c r="AK10" s="4">
        <v>6194662</v>
      </c>
      <c r="AL10" s="4">
        <v>7076512</v>
      </c>
      <c r="AM10" s="4">
        <v>7958362</v>
      </c>
      <c r="AN10" s="4">
        <v>8840212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388</v>
      </c>
      <c r="E11" s="3">
        <v>7352379</v>
      </c>
      <c r="F11" s="3">
        <v>1377</v>
      </c>
      <c r="G11" s="3">
        <v>0</v>
      </c>
      <c r="H11" s="3">
        <v>24486</v>
      </c>
      <c r="I11" s="1">
        <v>0</v>
      </c>
      <c r="J11" s="3">
        <v>7351002</v>
      </c>
      <c r="K11" s="3">
        <v>7326516</v>
      </c>
      <c r="L11" s="3">
        <v>7326516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5750928</v>
      </c>
      <c r="T11" s="3">
        <v>5750928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731019</v>
      </c>
      <c r="Z11" s="3">
        <v>731019</v>
      </c>
      <c r="AA11" s="4">
        <v>731020</v>
      </c>
      <c r="AB11" s="4">
        <v>731020</v>
      </c>
      <c r="AC11" s="4">
        <v>731020</v>
      </c>
      <c r="AD11" s="4">
        <v>731018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3671419</v>
      </c>
      <c r="AJ11" s="4">
        <v>4402438</v>
      </c>
      <c r="AK11" s="4">
        <v>5133458</v>
      </c>
      <c r="AL11" s="4">
        <v>5864478</v>
      </c>
      <c r="AM11" s="4">
        <v>6595498</v>
      </c>
      <c r="AN11" s="4">
        <v>7326516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389</v>
      </c>
      <c r="E12" s="3">
        <v>3539260</v>
      </c>
      <c r="F12" s="3">
        <v>481</v>
      </c>
      <c r="G12" s="3">
        <v>0</v>
      </c>
      <c r="H12" s="3">
        <v>12083</v>
      </c>
      <c r="I12" s="1">
        <v>0</v>
      </c>
      <c r="J12" s="3">
        <v>3538779</v>
      </c>
      <c r="K12" s="3">
        <v>3526696</v>
      </c>
      <c r="L12" s="3">
        <v>3526696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2720275</v>
      </c>
      <c r="T12" s="3">
        <v>2720275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351864</v>
      </c>
      <c r="Z12" s="3">
        <v>351864</v>
      </c>
      <c r="AA12" s="4">
        <v>351864</v>
      </c>
      <c r="AB12" s="4">
        <v>351864</v>
      </c>
      <c r="AC12" s="4">
        <v>351864</v>
      </c>
      <c r="AD12" s="4">
        <v>351864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1767376</v>
      </c>
      <c r="AJ12" s="4">
        <v>2119240</v>
      </c>
      <c r="AK12" s="4">
        <v>2471104</v>
      </c>
      <c r="AL12" s="4">
        <v>2822968</v>
      </c>
      <c r="AM12" s="4">
        <v>3174832</v>
      </c>
      <c r="AN12" s="4">
        <v>3526696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798</v>
      </c>
      <c r="E13" s="3">
        <v>5112632</v>
      </c>
      <c r="F13" s="3">
        <v>630</v>
      </c>
      <c r="G13" s="3">
        <v>0</v>
      </c>
      <c r="H13" s="3">
        <v>19654</v>
      </c>
      <c r="I13" s="1">
        <v>0</v>
      </c>
      <c r="J13" s="3">
        <v>5112002</v>
      </c>
      <c r="K13" s="3">
        <v>5092348</v>
      </c>
      <c r="L13" s="3">
        <v>5092348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3857044</v>
      </c>
      <c r="T13" s="3">
        <v>3857044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507925</v>
      </c>
      <c r="Z13" s="3">
        <v>507925</v>
      </c>
      <c r="AA13" s="4">
        <v>507925</v>
      </c>
      <c r="AB13" s="4">
        <v>507925</v>
      </c>
      <c r="AC13" s="4">
        <v>507925</v>
      </c>
      <c r="AD13" s="4">
        <v>507923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2552725</v>
      </c>
      <c r="AJ13" s="4">
        <v>3060650</v>
      </c>
      <c r="AK13" s="4">
        <v>3568575</v>
      </c>
      <c r="AL13" s="4">
        <v>4076500</v>
      </c>
      <c r="AM13" s="4">
        <v>4584425</v>
      </c>
      <c r="AN13" s="4">
        <v>5092348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390</v>
      </c>
      <c r="E14" s="3">
        <v>23901823</v>
      </c>
      <c r="F14" s="3">
        <v>3599</v>
      </c>
      <c r="G14" s="3">
        <v>3662</v>
      </c>
      <c r="H14" s="3">
        <v>99972</v>
      </c>
      <c r="I14" s="1">
        <v>0</v>
      </c>
      <c r="J14" s="3">
        <v>23894562</v>
      </c>
      <c r="K14" s="3">
        <v>23794590</v>
      </c>
      <c r="L14" s="3">
        <v>23794590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17746823</v>
      </c>
      <c r="T14" s="3">
        <v>17746823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2372794</v>
      </c>
      <c r="Z14" s="3">
        <v>2372794</v>
      </c>
      <c r="AA14" s="4">
        <v>2372795</v>
      </c>
      <c r="AB14" s="4">
        <v>2372795</v>
      </c>
      <c r="AC14" s="4">
        <v>2372795</v>
      </c>
      <c r="AD14" s="4">
        <v>2372793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11930618</v>
      </c>
      <c r="AJ14" s="4">
        <v>14303412</v>
      </c>
      <c r="AK14" s="4">
        <v>16676207</v>
      </c>
      <c r="AL14" s="4">
        <v>19049002</v>
      </c>
      <c r="AM14" s="4">
        <v>21421797</v>
      </c>
      <c r="AN14" s="4">
        <v>23794590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391</v>
      </c>
      <c r="E15" s="3">
        <v>8893643</v>
      </c>
      <c r="F15" s="3">
        <v>1194</v>
      </c>
      <c r="G15" s="3">
        <v>0</v>
      </c>
      <c r="H15" s="3">
        <v>28285</v>
      </c>
      <c r="I15" s="1">
        <v>0</v>
      </c>
      <c r="J15" s="3">
        <v>8892449</v>
      </c>
      <c r="K15" s="3">
        <v>8864164</v>
      </c>
      <c r="L15" s="3">
        <v>8864164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7076871</v>
      </c>
      <c r="T15" s="3">
        <v>7076871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884531</v>
      </c>
      <c r="Z15" s="3">
        <v>884531</v>
      </c>
      <c r="AA15" s="4">
        <v>884531</v>
      </c>
      <c r="AB15" s="4">
        <v>884531</v>
      </c>
      <c r="AC15" s="4">
        <v>884531</v>
      </c>
      <c r="AD15" s="4">
        <v>884529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4441511</v>
      </c>
      <c r="AJ15" s="4">
        <v>5326042</v>
      </c>
      <c r="AK15" s="4">
        <v>6210573</v>
      </c>
      <c r="AL15" s="4">
        <v>7095104</v>
      </c>
      <c r="AM15" s="4">
        <v>7979635</v>
      </c>
      <c r="AN15" s="4">
        <v>8864164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392</v>
      </c>
      <c r="E16" s="3">
        <v>1591773</v>
      </c>
      <c r="F16" s="1">
        <v>182</v>
      </c>
      <c r="G16" s="1">
        <v>0</v>
      </c>
      <c r="H16" s="3">
        <v>5247</v>
      </c>
      <c r="I16" s="1">
        <v>0</v>
      </c>
      <c r="J16" s="3">
        <v>1591591</v>
      </c>
      <c r="K16" s="3">
        <v>1586344</v>
      </c>
      <c r="L16" s="3">
        <v>1586344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1257270</v>
      </c>
      <c r="T16" s="3">
        <v>1257270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158285</v>
      </c>
      <c r="Z16" s="3">
        <v>158285</v>
      </c>
      <c r="AA16" s="4">
        <v>158285</v>
      </c>
      <c r="AB16" s="4">
        <v>158285</v>
      </c>
      <c r="AC16" s="4">
        <v>158285</v>
      </c>
      <c r="AD16" s="4">
        <v>158283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794921</v>
      </c>
      <c r="AJ16" s="4">
        <v>953206</v>
      </c>
      <c r="AK16" s="4">
        <v>1111491</v>
      </c>
      <c r="AL16" s="4">
        <v>1269776</v>
      </c>
      <c r="AM16" s="4">
        <v>1428061</v>
      </c>
      <c r="AN16" s="4">
        <v>1586344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393</v>
      </c>
      <c r="E17" s="3">
        <v>85869167</v>
      </c>
      <c r="F17" s="3">
        <v>4395</v>
      </c>
      <c r="G17" s="3">
        <v>56526</v>
      </c>
      <c r="H17" s="3">
        <v>285338</v>
      </c>
      <c r="I17" s="1">
        <v>0</v>
      </c>
      <c r="J17" s="3">
        <v>85808246</v>
      </c>
      <c r="K17" s="3">
        <v>85522908</v>
      </c>
      <c r="L17" s="3">
        <v>85522908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70465363</v>
      </c>
      <c r="T17" s="3">
        <v>70465363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8533268</v>
      </c>
      <c r="Z17" s="3">
        <v>8533268</v>
      </c>
      <c r="AA17" s="4">
        <v>8533268</v>
      </c>
      <c r="AB17" s="4">
        <v>8533268</v>
      </c>
      <c r="AC17" s="4">
        <v>8533268</v>
      </c>
      <c r="AD17" s="4">
        <v>8533268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42856568</v>
      </c>
      <c r="AJ17" s="4">
        <v>51389836</v>
      </c>
      <c r="AK17" s="4">
        <v>59923104</v>
      </c>
      <c r="AL17" s="4">
        <v>68456372</v>
      </c>
      <c r="AM17" s="4">
        <v>76989640</v>
      </c>
      <c r="AN17" s="4">
        <v>85522908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394</v>
      </c>
      <c r="E18" s="3">
        <v>5774672</v>
      </c>
      <c r="F18" s="1">
        <v>564</v>
      </c>
      <c r="G18" s="1">
        <v>0</v>
      </c>
      <c r="H18" s="3">
        <v>18312</v>
      </c>
      <c r="I18" s="3">
        <v>28017</v>
      </c>
      <c r="J18" s="3">
        <v>5774108</v>
      </c>
      <c r="K18" s="3">
        <v>5755796</v>
      </c>
      <c r="L18" s="3">
        <v>5727779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4638900</v>
      </c>
      <c r="T18" s="3">
        <v>4610883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574359</v>
      </c>
      <c r="Z18" s="3">
        <v>574359</v>
      </c>
      <c r="AA18" s="4">
        <v>567354</v>
      </c>
      <c r="AB18" s="4">
        <v>567354</v>
      </c>
      <c r="AC18" s="4">
        <v>567354</v>
      </c>
      <c r="AD18" s="4">
        <v>567355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2884003</v>
      </c>
      <c r="AJ18" s="4">
        <v>3458362</v>
      </c>
      <c r="AK18" s="4">
        <v>4025716</v>
      </c>
      <c r="AL18" s="4">
        <v>4593070</v>
      </c>
      <c r="AM18" s="4">
        <v>5160424</v>
      </c>
      <c r="AN18" s="4">
        <v>5727779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395</v>
      </c>
      <c r="E19" s="3">
        <v>1688215</v>
      </c>
      <c r="F19" s="1">
        <v>315</v>
      </c>
      <c r="G19" s="1">
        <v>0</v>
      </c>
      <c r="H19" s="3">
        <v>9052</v>
      </c>
      <c r="I19" s="1">
        <v>0</v>
      </c>
      <c r="J19" s="3">
        <v>1687900</v>
      </c>
      <c r="K19" s="3">
        <v>1678848</v>
      </c>
      <c r="L19" s="3">
        <v>1678848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1085272</v>
      </c>
      <c r="T19" s="3">
        <v>1085272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167281</v>
      </c>
      <c r="Z19" s="3">
        <v>167281</v>
      </c>
      <c r="AA19" s="4">
        <v>167282</v>
      </c>
      <c r="AB19" s="4">
        <v>167282</v>
      </c>
      <c r="AC19" s="4">
        <v>167282</v>
      </c>
      <c r="AD19" s="4">
        <v>167280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842441</v>
      </c>
      <c r="AJ19" s="4">
        <v>1009722</v>
      </c>
      <c r="AK19" s="4">
        <v>1177004</v>
      </c>
      <c r="AL19" s="4">
        <v>1344286</v>
      </c>
      <c r="AM19" s="4">
        <v>1511568</v>
      </c>
      <c r="AN19" s="4">
        <v>1678848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396</v>
      </c>
      <c r="E20" s="3">
        <v>1188679</v>
      </c>
      <c r="F20" s="3">
        <v>282</v>
      </c>
      <c r="G20" s="3">
        <v>0</v>
      </c>
      <c r="H20" s="3">
        <v>6220</v>
      </c>
      <c r="I20" s="3">
        <v>637</v>
      </c>
      <c r="J20" s="3">
        <v>1188397</v>
      </c>
      <c r="K20" s="3">
        <v>1182177</v>
      </c>
      <c r="L20" s="3">
        <v>1181540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788814</v>
      </c>
      <c r="T20" s="3">
        <v>788177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117803</v>
      </c>
      <c r="Z20" s="3">
        <v>117803</v>
      </c>
      <c r="AA20" s="4">
        <v>117644</v>
      </c>
      <c r="AB20" s="4">
        <v>117644</v>
      </c>
      <c r="AC20" s="4">
        <v>117644</v>
      </c>
      <c r="AD20" s="4">
        <v>117642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593163</v>
      </c>
      <c r="AJ20" s="4">
        <v>710966</v>
      </c>
      <c r="AK20" s="4">
        <v>828610</v>
      </c>
      <c r="AL20" s="4">
        <v>946254</v>
      </c>
      <c r="AM20" s="4">
        <v>1063898</v>
      </c>
      <c r="AN20" s="4">
        <v>1181540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397</v>
      </c>
      <c r="E21" s="3">
        <v>10745737</v>
      </c>
      <c r="F21" s="3">
        <v>1393</v>
      </c>
      <c r="G21" s="3">
        <v>0</v>
      </c>
      <c r="H21" s="3">
        <v>31568</v>
      </c>
      <c r="I21" s="1">
        <v>0</v>
      </c>
      <c r="J21" s="3">
        <v>10744344</v>
      </c>
      <c r="K21" s="3">
        <v>10712776</v>
      </c>
      <c r="L21" s="3">
        <v>10712776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8704574</v>
      </c>
      <c r="T21" s="3">
        <v>8704574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1069173</v>
      </c>
      <c r="Z21" s="3">
        <v>1069173</v>
      </c>
      <c r="AA21" s="4">
        <v>1069174</v>
      </c>
      <c r="AB21" s="4">
        <v>1069174</v>
      </c>
      <c r="AC21" s="4">
        <v>1069174</v>
      </c>
      <c r="AD21" s="4">
        <v>1069172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5366909</v>
      </c>
      <c r="AJ21" s="4">
        <v>6436082</v>
      </c>
      <c r="AK21" s="4">
        <v>7505256</v>
      </c>
      <c r="AL21" s="4">
        <v>8574430</v>
      </c>
      <c r="AM21" s="4">
        <v>9643604</v>
      </c>
      <c r="AN21" s="4">
        <v>10712776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398</v>
      </c>
      <c r="E22" s="3">
        <v>3327632</v>
      </c>
      <c r="F22" s="3">
        <v>630</v>
      </c>
      <c r="G22" s="3">
        <v>0</v>
      </c>
      <c r="H22" s="3">
        <v>11498</v>
      </c>
      <c r="I22" s="3">
        <v>0</v>
      </c>
      <c r="J22" s="3">
        <v>3327002</v>
      </c>
      <c r="K22" s="3">
        <v>3315504</v>
      </c>
      <c r="L22" s="3">
        <v>3315504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2559054</v>
      </c>
      <c r="T22" s="3">
        <v>2559054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330784</v>
      </c>
      <c r="Z22" s="3">
        <v>330784</v>
      </c>
      <c r="AA22" s="4">
        <v>330784</v>
      </c>
      <c r="AB22" s="4">
        <v>330784</v>
      </c>
      <c r="AC22" s="4">
        <v>330784</v>
      </c>
      <c r="AD22" s="4">
        <v>330784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1661584</v>
      </c>
      <c r="AJ22" s="4">
        <v>1992368</v>
      </c>
      <c r="AK22" s="4">
        <v>2323152</v>
      </c>
      <c r="AL22" s="4">
        <v>2653936</v>
      </c>
      <c r="AM22" s="4">
        <v>2984720</v>
      </c>
      <c r="AN22" s="4">
        <v>3315504</v>
      </c>
      <c r="AO22" s="150">
        <v>236846</v>
      </c>
    </row>
    <row r="23" spans="1:41" x14ac:dyDescent="0.2">
      <c r="A23" s="1">
        <v>2024</v>
      </c>
      <c r="B23" s="2" t="s">
        <v>41</v>
      </c>
      <c r="C23" s="2" t="s">
        <v>41</v>
      </c>
      <c r="D23" s="1" t="s">
        <v>18</v>
      </c>
      <c r="E23" s="3">
        <v>4175316</v>
      </c>
      <c r="F23" s="1">
        <v>697</v>
      </c>
      <c r="G23" s="1">
        <v>0</v>
      </c>
      <c r="H23" s="3">
        <v>17848</v>
      </c>
      <c r="I23" s="1">
        <v>0</v>
      </c>
      <c r="J23" s="3">
        <v>4174619</v>
      </c>
      <c r="K23" s="3">
        <v>4156771</v>
      </c>
      <c r="L23" s="3">
        <v>4156771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3109089</v>
      </c>
      <c r="T23" s="3">
        <v>3109089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414487</v>
      </c>
      <c r="Z23" s="3">
        <v>414487</v>
      </c>
      <c r="AA23" s="4">
        <v>414487</v>
      </c>
      <c r="AB23" s="4">
        <v>414487</v>
      </c>
      <c r="AC23" s="4">
        <v>414487</v>
      </c>
      <c r="AD23" s="4">
        <v>414488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2084335</v>
      </c>
      <c r="AJ23" s="4">
        <v>2498822</v>
      </c>
      <c r="AK23" s="4">
        <v>2913309</v>
      </c>
      <c r="AL23" s="4">
        <v>3327796</v>
      </c>
      <c r="AM23" s="4">
        <v>3742283</v>
      </c>
      <c r="AN23" s="4">
        <v>4156771</v>
      </c>
      <c r="AO23" s="150">
        <v>381399</v>
      </c>
    </row>
    <row r="24" spans="1:41" x14ac:dyDescent="0.2">
      <c r="A24" s="1">
        <v>2024</v>
      </c>
      <c r="B24" s="2" t="s">
        <v>42</v>
      </c>
      <c r="C24" s="2" t="s">
        <v>42</v>
      </c>
      <c r="D24" s="1" t="s">
        <v>399</v>
      </c>
      <c r="E24" s="3">
        <v>13542723</v>
      </c>
      <c r="F24" s="3">
        <v>1974</v>
      </c>
      <c r="G24" s="3">
        <v>2399</v>
      </c>
      <c r="H24" s="3">
        <v>39614</v>
      </c>
      <c r="I24" s="1">
        <v>0</v>
      </c>
      <c r="J24" s="3">
        <v>13538350</v>
      </c>
      <c r="K24" s="3">
        <v>13498736</v>
      </c>
      <c r="L24" s="3">
        <v>13498736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11074470</v>
      </c>
      <c r="T24" s="3">
        <v>11074470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1347233</v>
      </c>
      <c r="Z24" s="3">
        <v>1347233</v>
      </c>
      <c r="AA24" s="4">
        <v>1347233</v>
      </c>
      <c r="AB24" s="4">
        <v>1347233</v>
      </c>
      <c r="AC24" s="4">
        <v>1347233</v>
      </c>
      <c r="AD24" s="4">
        <v>1347231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6762573</v>
      </c>
      <c r="AJ24" s="4">
        <v>8109806</v>
      </c>
      <c r="AK24" s="4">
        <v>9457039</v>
      </c>
      <c r="AL24" s="4">
        <v>10804272</v>
      </c>
      <c r="AM24" s="4">
        <v>12151505</v>
      </c>
      <c r="AN24" s="4">
        <v>13498736</v>
      </c>
      <c r="AO24" s="150">
        <v>858425</v>
      </c>
    </row>
    <row r="25" spans="1:41" x14ac:dyDescent="0.2">
      <c r="A25" s="1">
        <v>2024</v>
      </c>
      <c r="B25" s="2" t="s">
        <v>44</v>
      </c>
      <c r="C25" s="2" t="s">
        <v>44</v>
      </c>
      <c r="D25" s="1" t="s">
        <v>400</v>
      </c>
      <c r="E25" s="3">
        <v>2732188</v>
      </c>
      <c r="F25" s="3">
        <v>398</v>
      </c>
      <c r="G25" s="3">
        <v>0</v>
      </c>
      <c r="H25" s="3">
        <v>8122</v>
      </c>
      <c r="I25" s="3">
        <v>0</v>
      </c>
      <c r="J25" s="3">
        <v>2731790</v>
      </c>
      <c r="K25" s="3">
        <v>2723668</v>
      </c>
      <c r="L25" s="3">
        <v>2723668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2196637</v>
      </c>
      <c r="T25" s="3">
        <v>2196637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271825</v>
      </c>
      <c r="Z25" s="3">
        <v>271825</v>
      </c>
      <c r="AA25" s="4">
        <v>271826</v>
      </c>
      <c r="AB25" s="4">
        <v>271826</v>
      </c>
      <c r="AC25" s="4">
        <v>271826</v>
      </c>
      <c r="AD25" s="4">
        <v>271824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1364541</v>
      </c>
      <c r="AJ25" s="4">
        <v>1636366</v>
      </c>
      <c r="AK25" s="4">
        <v>1908192</v>
      </c>
      <c r="AL25" s="4">
        <v>2180018</v>
      </c>
      <c r="AM25" s="4">
        <v>2451844</v>
      </c>
      <c r="AN25" s="4">
        <v>2723668</v>
      </c>
      <c r="AO25" s="150">
        <v>170032</v>
      </c>
    </row>
    <row r="26" spans="1:41" x14ac:dyDescent="0.2">
      <c r="A26" s="1">
        <v>2024</v>
      </c>
      <c r="B26" s="2" t="s">
        <v>45</v>
      </c>
      <c r="C26" s="2" t="s">
        <v>45</v>
      </c>
      <c r="D26" s="1" t="s">
        <v>1</v>
      </c>
      <c r="E26" s="3">
        <v>2565178</v>
      </c>
      <c r="F26" s="1">
        <v>448</v>
      </c>
      <c r="G26" s="3">
        <v>2147</v>
      </c>
      <c r="H26" s="3">
        <v>10394</v>
      </c>
      <c r="I26" s="1">
        <v>0</v>
      </c>
      <c r="J26" s="3">
        <v>2562583</v>
      </c>
      <c r="K26" s="3">
        <v>2552189</v>
      </c>
      <c r="L26" s="3">
        <v>2552189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1892915</v>
      </c>
      <c r="T26" s="3">
        <v>1892915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254526</v>
      </c>
      <c r="Z26" s="3">
        <v>254526</v>
      </c>
      <c r="AA26" s="4">
        <v>254526</v>
      </c>
      <c r="AB26" s="4">
        <v>254526</v>
      </c>
      <c r="AC26" s="4">
        <v>254526</v>
      </c>
      <c r="AD26" s="4">
        <v>254527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1279558</v>
      </c>
      <c r="AJ26" s="4">
        <v>1534084</v>
      </c>
      <c r="AK26" s="4">
        <v>1788610</v>
      </c>
      <c r="AL26" s="4">
        <v>2043136</v>
      </c>
      <c r="AM26" s="4">
        <v>2297662</v>
      </c>
      <c r="AN26" s="4">
        <v>2552189</v>
      </c>
      <c r="AO26" s="150">
        <v>234473</v>
      </c>
    </row>
    <row r="27" spans="1:41" x14ac:dyDescent="0.2">
      <c r="A27" s="1">
        <v>2024</v>
      </c>
      <c r="B27" s="2" t="s">
        <v>46</v>
      </c>
      <c r="C27" s="2" t="s">
        <v>46</v>
      </c>
      <c r="D27" s="1" t="s">
        <v>401</v>
      </c>
      <c r="E27" s="3">
        <v>3351679</v>
      </c>
      <c r="F27" s="1">
        <v>448</v>
      </c>
      <c r="G27" s="1">
        <v>0</v>
      </c>
      <c r="H27" s="3">
        <v>11300</v>
      </c>
      <c r="I27" s="1">
        <v>0</v>
      </c>
      <c r="J27" s="3">
        <v>3351231</v>
      </c>
      <c r="K27" s="3">
        <v>3339931</v>
      </c>
      <c r="L27" s="3">
        <v>3339931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2624618</v>
      </c>
      <c r="T27" s="3">
        <v>2624618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333240</v>
      </c>
      <c r="Z27" s="3">
        <v>333240</v>
      </c>
      <c r="AA27" s="4">
        <v>333240</v>
      </c>
      <c r="AB27" s="4">
        <v>333240</v>
      </c>
      <c r="AC27" s="4">
        <v>333240</v>
      </c>
      <c r="AD27" s="4">
        <v>333239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1673732</v>
      </c>
      <c r="AJ27" s="4">
        <v>2006972</v>
      </c>
      <c r="AK27" s="4">
        <v>2340212</v>
      </c>
      <c r="AL27" s="4">
        <v>2673452</v>
      </c>
      <c r="AM27" s="4">
        <v>3006692</v>
      </c>
      <c r="AN27" s="4">
        <v>3339931</v>
      </c>
      <c r="AO27" s="150">
        <v>235563</v>
      </c>
    </row>
    <row r="28" spans="1:41" x14ac:dyDescent="0.2">
      <c r="A28" s="1">
        <v>2024</v>
      </c>
      <c r="B28" s="2" t="s">
        <v>47</v>
      </c>
      <c r="C28" s="2" t="s">
        <v>47</v>
      </c>
      <c r="D28" s="1" t="s">
        <v>402</v>
      </c>
      <c r="E28" s="3">
        <v>3332351</v>
      </c>
      <c r="F28" s="1">
        <v>431</v>
      </c>
      <c r="G28" s="1">
        <v>0</v>
      </c>
      <c r="H28" s="3">
        <v>10644</v>
      </c>
      <c r="I28" s="1">
        <v>0</v>
      </c>
      <c r="J28" s="3">
        <v>3331920</v>
      </c>
      <c r="K28" s="3">
        <v>3321276</v>
      </c>
      <c r="L28" s="3">
        <v>3321276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2680686</v>
      </c>
      <c r="T28" s="3">
        <v>2680686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331418</v>
      </c>
      <c r="Z28" s="3">
        <v>331418</v>
      </c>
      <c r="AA28" s="4">
        <v>331418</v>
      </c>
      <c r="AB28" s="4">
        <v>331418</v>
      </c>
      <c r="AC28" s="4">
        <v>331418</v>
      </c>
      <c r="AD28" s="4">
        <v>331418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1664186</v>
      </c>
      <c r="AJ28" s="4">
        <v>1995604</v>
      </c>
      <c r="AK28" s="4">
        <v>2327022</v>
      </c>
      <c r="AL28" s="4">
        <v>2658440</v>
      </c>
      <c r="AM28" s="4">
        <v>2989858</v>
      </c>
      <c r="AN28" s="4">
        <v>3321276</v>
      </c>
      <c r="AO28" s="150">
        <v>211243</v>
      </c>
    </row>
    <row r="29" spans="1:41" x14ac:dyDescent="0.2">
      <c r="A29" s="1">
        <v>2024</v>
      </c>
      <c r="B29" s="2" t="s">
        <v>48</v>
      </c>
      <c r="C29" s="2" t="s">
        <v>48</v>
      </c>
      <c r="D29" s="1" t="s">
        <v>403</v>
      </c>
      <c r="E29" s="3">
        <v>4004167</v>
      </c>
      <c r="F29" s="3">
        <v>1012</v>
      </c>
      <c r="G29" s="3">
        <v>0</v>
      </c>
      <c r="H29" s="3">
        <v>14225</v>
      </c>
      <c r="I29" s="3">
        <v>0</v>
      </c>
      <c r="J29" s="3">
        <v>4003155</v>
      </c>
      <c r="K29" s="3">
        <v>3988930</v>
      </c>
      <c r="L29" s="3">
        <v>3988930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3005471</v>
      </c>
      <c r="T29" s="3">
        <v>3005471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397944</v>
      </c>
      <c r="Z29" s="3">
        <v>397944</v>
      </c>
      <c r="AA29" s="4">
        <v>397945</v>
      </c>
      <c r="AB29" s="4">
        <v>397945</v>
      </c>
      <c r="AC29" s="4">
        <v>397945</v>
      </c>
      <c r="AD29" s="4">
        <v>397943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1999208</v>
      </c>
      <c r="AJ29" s="4">
        <v>2397152</v>
      </c>
      <c r="AK29" s="4">
        <v>2795097</v>
      </c>
      <c r="AL29" s="4">
        <v>3193042</v>
      </c>
      <c r="AM29" s="4">
        <v>3590987</v>
      </c>
      <c r="AN29" s="4">
        <v>3988930</v>
      </c>
      <c r="AO29" s="150">
        <v>313120</v>
      </c>
    </row>
    <row r="30" spans="1:41" x14ac:dyDescent="0.2">
      <c r="A30" s="1">
        <v>2024</v>
      </c>
      <c r="B30" s="2" t="s">
        <v>49</v>
      </c>
      <c r="C30" s="2" t="s">
        <v>49</v>
      </c>
      <c r="D30" s="1" t="s">
        <v>404</v>
      </c>
      <c r="E30" s="3">
        <v>4948071</v>
      </c>
      <c r="F30" s="3">
        <v>498</v>
      </c>
      <c r="G30" s="3">
        <v>4924</v>
      </c>
      <c r="H30" s="3">
        <v>16666</v>
      </c>
      <c r="I30" s="1">
        <v>0</v>
      </c>
      <c r="J30" s="3">
        <v>4942649</v>
      </c>
      <c r="K30" s="3">
        <v>4925983</v>
      </c>
      <c r="L30" s="3">
        <v>4925983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3948459</v>
      </c>
      <c r="T30" s="3">
        <v>3948459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491487</v>
      </c>
      <c r="Z30" s="3">
        <v>491487</v>
      </c>
      <c r="AA30" s="4">
        <v>491487</v>
      </c>
      <c r="AB30" s="4">
        <v>491487</v>
      </c>
      <c r="AC30" s="4">
        <v>491487</v>
      </c>
      <c r="AD30" s="4">
        <v>491488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2468547</v>
      </c>
      <c r="AJ30" s="4">
        <v>2960034</v>
      </c>
      <c r="AK30" s="4">
        <v>3451521</v>
      </c>
      <c r="AL30" s="4">
        <v>3943008</v>
      </c>
      <c r="AM30" s="4">
        <v>4434495</v>
      </c>
      <c r="AN30" s="4">
        <v>4925983</v>
      </c>
      <c r="AO30" s="150">
        <v>366787</v>
      </c>
    </row>
    <row r="31" spans="1:41" x14ac:dyDescent="0.2">
      <c r="A31" s="1">
        <v>2024</v>
      </c>
      <c r="B31" s="2" t="s">
        <v>50</v>
      </c>
      <c r="C31" s="2" t="s">
        <v>50</v>
      </c>
      <c r="D31" s="1" t="s">
        <v>405</v>
      </c>
      <c r="E31" s="3">
        <v>1031892</v>
      </c>
      <c r="F31" s="3">
        <v>83</v>
      </c>
      <c r="G31" s="3">
        <v>0</v>
      </c>
      <c r="H31" s="3">
        <v>3945</v>
      </c>
      <c r="I31" s="3">
        <v>0</v>
      </c>
      <c r="J31" s="3">
        <v>1031809</v>
      </c>
      <c r="K31" s="3">
        <v>1027864</v>
      </c>
      <c r="L31" s="3">
        <v>1027864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809707</v>
      </c>
      <c r="T31" s="3">
        <v>809707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102523</v>
      </c>
      <c r="Z31" s="3">
        <v>102523</v>
      </c>
      <c r="AA31" s="4">
        <v>102524</v>
      </c>
      <c r="AB31" s="4">
        <v>102524</v>
      </c>
      <c r="AC31" s="4">
        <v>102524</v>
      </c>
      <c r="AD31" s="4">
        <v>102522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515247</v>
      </c>
      <c r="AJ31" s="4">
        <v>617770</v>
      </c>
      <c r="AK31" s="4">
        <v>720294</v>
      </c>
      <c r="AL31" s="4">
        <v>822818</v>
      </c>
      <c r="AM31" s="4">
        <v>925342</v>
      </c>
      <c r="AN31" s="4">
        <v>1027864</v>
      </c>
      <c r="AO31" s="150">
        <v>87274</v>
      </c>
    </row>
    <row r="32" spans="1:41" x14ac:dyDescent="0.2">
      <c r="A32" s="1">
        <v>2024</v>
      </c>
      <c r="B32" s="2" t="s">
        <v>51</v>
      </c>
      <c r="C32" s="2" t="s">
        <v>51</v>
      </c>
      <c r="D32" s="1" t="s">
        <v>406</v>
      </c>
      <c r="E32" s="3">
        <v>9660609</v>
      </c>
      <c r="F32" s="3">
        <v>1708</v>
      </c>
      <c r="G32" s="3">
        <v>7576</v>
      </c>
      <c r="H32" s="3">
        <v>34626</v>
      </c>
      <c r="I32" s="1">
        <v>0</v>
      </c>
      <c r="J32" s="3">
        <v>9651325</v>
      </c>
      <c r="K32" s="3">
        <v>9616699</v>
      </c>
      <c r="L32" s="3">
        <v>9616699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7449437</v>
      </c>
      <c r="T32" s="3">
        <v>7449437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959361</v>
      </c>
      <c r="Z32" s="3">
        <v>959361</v>
      </c>
      <c r="AA32" s="4">
        <v>959361</v>
      </c>
      <c r="AB32" s="4">
        <v>959361</v>
      </c>
      <c r="AC32" s="4">
        <v>959361</v>
      </c>
      <c r="AD32" s="4">
        <v>959362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4819893</v>
      </c>
      <c r="AJ32" s="4">
        <v>5779254</v>
      </c>
      <c r="AK32" s="4">
        <v>6738615</v>
      </c>
      <c r="AL32" s="4">
        <v>7697976</v>
      </c>
      <c r="AM32" s="4">
        <v>8657337</v>
      </c>
      <c r="AN32" s="4">
        <v>9616699</v>
      </c>
      <c r="AO32" s="150">
        <v>732225</v>
      </c>
    </row>
    <row r="33" spans="1:41" x14ac:dyDescent="0.2">
      <c r="A33" s="1">
        <v>2024</v>
      </c>
      <c r="B33" s="2" t="s">
        <v>52</v>
      </c>
      <c r="C33" s="2" t="s">
        <v>52</v>
      </c>
      <c r="D33" s="1" t="s">
        <v>407</v>
      </c>
      <c r="E33" s="3">
        <v>27793205</v>
      </c>
      <c r="F33" s="3">
        <v>4229</v>
      </c>
      <c r="G33" s="3">
        <v>5430</v>
      </c>
      <c r="H33" s="3">
        <v>90460</v>
      </c>
      <c r="I33" s="1">
        <v>0</v>
      </c>
      <c r="J33" s="3">
        <v>27783546</v>
      </c>
      <c r="K33" s="3">
        <v>27693086</v>
      </c>
      <c r="L33" s="3">
        <v>27693086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22085593</v>
      </c>
      <c r="T33" s="3">
        <v>22085593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2763278</v>
      </c>
      <c r="Z33" s="3">
        <v>2763278</v>
      </c>
      <c r="AA33" s="4">
        <v>2763278</v>
      </c>
      <c r="AB33" s="4">
        <v>2763278</v>
      </c>
      <c r="AC33" s="4">
        <v>2763278</v>
      </c>
      <c r="AD33" s="4">
        <v>2763276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13876698</v>
      </c>
      <c r="AJ33" s="4">
        <v>16639976</v>
      </c>
      <c r="AK33" s="4">
        <v>19403254</v>
      </c>
      <c r="AL33" s="4">
        <v>22166532</v>
      </c>
      <c r="AM33" s="4">
        <v>24929810</v>
      </c>
      <c r="AN33" s="4">
        <v>27693086</v>
      </c>
      <c r="AO33" s="150">
        <v>1997542</v>
      </c>
    </row>
    <row r="34" spans="1:41" x14ac:dyDescent="0.2">
      <c r="A34" s="1">
        <v>2024</v>
      </c>
      <c r="B34" s="2" t="s">
        <v>53</v>
      </c>
      <c r="C34" s="2" t="s">
        <v>53</v>
      </c>
      <c r="D34" s="1" t="s">
        <v>408</v>
      </c>
      <c r="E34" s="3">
        <v>4516609</v>
      </c>
      <c r="F34" s="3">
        <v>879</v>
      </c>
      <c r="G34" s="3">
        <v>0</v>
      </c>
      <c r="H34" s="3">
        <v>18816</v>
      </c>
      <c r="I34" s="1">
        <v>0</v>
      </c>
      <c r="J34" s="3">
        <v>4515730</v>
      </c>
      <c r="K34" s="3">
        <v>4496914</v>
      </c>
      <c r="L34" s="3">
        <v>4496914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3292187</v>
      </c>
      <c r="T34" s="3">
        <v>3292187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448437</v>
      </c>
      <c r="Z34" s="3">
        <v>448437</v>
      </c>
      <c r="AA34" s="4">
        <v>448437</v>
      </c>
      <c r="AB34" s="4">
        <v>448437</v>
      </c>
      <c r="AC34" s="4">
        <v>448437</v>
      </c>
      <c r="AD34" s="4">
        <v>448437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2254729</v>
      </c>
      <c r="AJ34" s="4">
        <v>2703166</v>
      </c>
      <c r="AK34" s="4">
        <v>3151603</v>
      </c>
      <c r="AL34" s="4">
        <v>3600040</v>
      </c>
      <c r="AM34" s="4">
        <v>4048477</v>
      </c>
      <c r="AN34" s="4">
        <v>4496914</v>
      </c>
      <c r="AO34" s="150">
        <v>394661</v>
      </c>
    </row>
    <row r="35" spans="1:41" x14ac:dyDescent="0.2">
      <c r="A35" s="1">
        <v>2024</v>
      </c>
      <c r="B35" s="2" t="s">
        <v>54</v>
      </c>
      <c r="C35" s="2" t="s">
        <v>54</v>
      </c>
      <c r="D35" s="1" t="s">
        <v>409</v>
      </c>
      <c r="E35" s="3">
        <v>18594193</v>
      </c>
      <c r="F35" s="3">
        <v>1808</v>
      </c>
      <c r="G35" s="3">
        <v>4504</v>
      </c>
      <c r="H35" s="3">
        <v>56631</v>
      </c>
      <c r="I35" s="1">
        <v>0</v>
      </c>
      <c r="J35" s="3">
        <v>18587881</v>
      </c>
      <c r="K35" s="3">
        <v>18531250</v>
      </c>
      <c r="L35" s="3">
        <v>18531250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15258967</v>
      </c>
      <c r="T35" s="3">
        <v>15258967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1849350</v>
      </c>
      <c r="Z35" s="3">
        <v>1849350</v>
      </c>
      <c r="AA35" s="4">
        <v>1849350</v>
      </c>
      <c r="AB35" s="4">
        <v>1849350</v>
      </c>
      <c r="AC35" s="4">
        <v>1849350</v>
      </c>
      <c r="AD35" s="4">
        <v>1849348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9284502</v>
      </c>
      <c r="AJ35" s="4">
        <v>11133852</v>
      </c>
      <c r="AK35" s="4">
        <v>12983202</v>
      </c>
      <c r="AL35" s="4">
        <v>14832552</v>
      </c>
      <c r="AM35" s="4">
        <v>16681902</v>
      </c>
      <c r="AN35" s="4">
        <v>18531250</v>
      </c>
      <c r="AO35" s="150">
        <v>1276703</v>
      </c>
    </row>
    <row r="36" spans="1:41" x14ac:dyDescent="0.2">
      <c r="A36" s="1">
        <v>2024</v>
      </c>
      <c r="B36" s="2" t="s">
        <v>55</v>
      </c>
      <c r="C36" s="2" t="s">
        <v>55</v>
      </c>
      <c r="D36" s="1" t="s">
        <v>410</v>
      </c>
      <c r="E36" s="3">
        <v>16251147</v>
      </c>
      <c r="F36" s="3">
        <v>1858</v>
      </c>
      <c r="G36" s="3">
        <v>0</v>
      </c>
      <c r="H36" s="3">
        <v>45881</v>
      </c>
      <c r="I36" s="1">
        <v>0</v>
      </c>
      <c r="J36" s="3">
        <v>16249289</v>
      </c>
      <c r="K36" s="3">
        <v>16203408</v>
      </c>
      <c r="L36" s="3">
        <v>16203408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13351349</v>
      </c>
      <c r="T36" s="3">
        <v>13351349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1617282</v>
      </c>
      <c r="Z36" s="3">
        <v>1617282</v>
      </c>
      <c r="AA36" s="4">
        <v>1617282</v>
      </c>
      <c r="AB36" s="4">
        <v>1617282</v>
      </c>
      <c r="AC36" s="4">
        <v>1617282</v>
      </c>
      <c r="AD36" s="4">
        <v>1617282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8116998</v>
      </c>
      <c r="AJ36" s="4">
        <v>9734280</v>
      </c>
      <c r="AK36" s="4">
        <v>11351562</v>
      </c>
      <c r="AL36" s="4">
        <v>12968844</v>
      </c>
      <c r="AM36" s="4">
        <v>14586126</v>
      </c>
      <c r="AN36" s="4">
        <v>16203408</v>
      </c>
      <c r="AO36" s="150">
        <v>1002405</v>
      </c>
    </row>
    <row r="37" spans="1:41" x14ac:dyDescent="0.2">
      <c r="A37" s="1">
        <v>2024</v>
      </c>
      <c r="B37" s="2" t="s">
        <v>56</v>
      </c>
      <c r="C37" s="2" t="s">
        <v>56</v>
      </c>
      <c r="D37" s="1" t="s">
        <v>411</v>
      </c>
      <c r="E37" s="3">
        <v>3951438</v>
      </c>
      <c r="F37" s="3">
        <v>995</v>
      </c>
      <c r="G37" s="3">
        <v>0</v>
      </c>
      <c r="H37" s="3">
        <v>12802</v>
      </c>
      <c r="I37" s="1">
        <v>0</v>
      </c>
      <c r="J37" s="3">
        <v>3950443</v>
      </c>
      <c r="K37" s="3">
        <v>3937641</v>
      </c>
      <c r="L37" s="3">
        <v>3937641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3041667</v>
      </c>
      <c r="T37" s="3">
        <v>3041667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392911</v>
      </c>
      <c r="Z37" s="3">
        <v>392911</v>
      </c>
      <c r="AA37" s="4">
        <v>392911</v>
      </c>
      <c r="AB37" s="4">
        <v>392911</v>
      </c>
      <c r="AC37" s="4">
        <v>392911</v>
      </c>
      <c r="AD37" s="4">
        <v>392910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1973087</v>
      </c>
      <c r="AJ37" s="4">
        <v>2365998</v>
      </c>
      <c r="AK37" s="4">
        <v>2758909</v>
      </c>
      <c r="AL37" s="4">
        <v>3151820</v>
      </c>
      <c r="AM37" s="4">
        <v>3544731</v>
      </c>
      <c r="AN37" s="4">
        <v>3937641</v>
      </c>
      <c r="AO37" s="150">
        <v>332332</v>
      </c>
    </row>
    <row r="38" spans="1:41" x14ac:dyDescent="0.2">
      <c r="A38" s="1">
        <v>2024</v>
      </c>
      <c r="B38" s="2" t="s">
        <v>57</v>
      </c>
      <c r="C38" s="2" t="s">
        <v>57</v>
      </c>
      <c r="D38" s="1" t="s">
        <v>412</v>
      </c>
      <c r="E38" s="3">
        <v>3252015</v>
      </c>
      <c r="F38" s="3">
        <v>680</v>
      </c>
      <c r="G38" s="3">
        <v>0</v>
      </c>
      <c r="H38" s="3">
        <v>12594</v>
      </c>
      <c r="I38" s="1">
        <v>0</v>
      </c>
      <c r="J38" s="3">
        <v>3251335</v>
      </c>
      <c r="K38" s="3">
        <v>3238741</v>
      </c>
      <c r="L38" s="3">
        <v>3238741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2426576</v>
      </c>
      <c r="T38" s="3">
        <v>2426576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323034</v>
      </c>
      <c r="Z38" s="3">
        <v>323034</v>
      </c>
      <c r="AA38" s="4">
        <v>323034</v>
      </c>
      <c r="AB38" s="4">
        <v>323034</v>
      </c>
      <c r="AC38" s="4">
        <v>323034</v>
      </c>
      <c r="AD38" s="4">
        <v>323035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1623570</v>
      </c>
      <c r="AJ38" s="4">
        <v>1946604</v>
      </c>
      <c r="AK38" s="4">
        <v>2269638</v>
      </c>
      <c r="AL38" s="4">
        <v>2592672</v>
      </c>
      <c r="AM38" s="4">
        <v>2915706</v>
      </c>
      <c r="AN38" s="4">
        <v>3238741</v>
      </c>
      <c r="AO38" s="150">
        <v>263788</v>
      </c>
    </row>
    <row r="39" spans="1:41" x14ac:dyDescent="0.2">
      <c r="A39" s="1">
        <v>2024</v>
      </c>
      <c r="B39" s="2" t="s">
        <v>58</v>
      </c>
      <c r="C39" s="2" t="s">
        <v>58</v>
      </c>
      <c r="D39" s="1" t="s">
        <v>413</v>
      </c>
      <c r="E39" s="3">
        <v>3284699</v>
      </c>
      <c r="F39" s="1">
        <v>448</v>
      </c>
      <c r="G39" s="3">
        <v>4630</v>
      </c>
      <c r="H39" s="3">
        <v>11590</v>
      </c>
      <c r="I39" s="1">
        <v>0</v>
      </c>
      <c r="J39" s="3">
        <v>3279621</v>
      </c>
      <c r="K39" s="3">
        <v>3268031</v>
      </c>
      <c r="L39" s="3">
        <v>3268031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2547044</v>
      </c>
      <c r="T39" s="3">
        <v>2547044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326031</v>
      </c>
      <c r="Z39" s="3">
        <v>326031</v>
      </c>
      <c r="AA39" s="4">
        <v>326030</v>
      </c>
      <c r="AB39" s="4">
        <v>326030</v>
      </c>
      <c r="AC39" s="4">
        <v>326030</v>
      </c>
      <c r="AD39" s="4">
        <v>326031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1637879</v>
      </c>
      <c r="AJ39" s="4">
        <v>1963910</v>
      </c>
      <c r="AK39" s="4">
        <v>2289940</v>
      </c>
      <c r="AL39" s="4">
        <v>2615970</v>
      </c>
      <c r="AM39" s="4">
        <v>2942000</v>
      </c>
      <c r="AN39" s="4">
        <v>3268031</v>
      </c>
      <c r="AO39" s="150">
        <v>254867</v>
      </c>
    </row>
    <row r="40" spans="1:41" x14ac:dyDescent="0.2">
      <c r="A40" s="1">
        <v>2024</v>
      </c>
      <c r="B40" s="2" t="s">
        <v>59</v>
      </c>
      <c r="C40" s="2" t="s">
        <v>59</v>
      </c>
      <c r="D40" s="1" t="s">
        <v>414</v>
      </c>
      <c r="E40" s="3">
        <v>2530223</v>
      </c>
      <c r="F40" s="1">
        <v>531</v>
      </c>
      <c r="G40" s="1">
        <v>0</v>
      </c>
      <c r="H40" s="3">
        <v>10888</v>
      </c>
      <c r="I40" s="1">
        <v>0</v>
      </c>
      <c r="J40" s="3">
        <v>2529692</v>
      </c>
      <c r="K40" s="3">
        <v>2518804</v>
      </c>
      <c r="L40" s="3">
        <v>2518804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1812474</v>
      </c>
      <c r="T40" s="3">
        <v>1812474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251155</v>
      </c>
      <c r="Z40" s="3">
        <v>251155</v>
      </c>
      <c r="AA40" s="4">
        <v>251155</v>
      </c>
      <c r="AB40" s="4">
        <v>251155</v>
      </c>
      <c r="AC40" s="4">
        <v>251155</v>
      </c>
      <c r="AD40" s="4">
        <v>251153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1263031</v>
      </c>
      <c r="AJ40" s="4">
        <v>1514186</v>
      </c>
      <c r="AK40" s="4">
        <v>1765341</v>
      </c>
      <c r="AL40" s="4">
        <v>2016496</v>
      </c>
      <c r="AM40" s="4">
        <v>2267651</v>
      </c>
      <c r="AN40" s="4">
        <v>2518804</v>
      </c>
      <c r="AO40" s="150">
        <v>235712</v>
      </c>
    </row>
    <row r="41" spans="1:41" x14ac:dyDescent="0.2">
      <c r="A41" s="1">
        <v>2024</v>
      </c>
      <c r="B41" s="2" t="s">
        <v>60</v>
      </c>
      <c r="C41" s="2" t="s">
        <v>60</v>
      </c>
      <c r="D41" s="1" t="s">
        <v>415</v>
      </c>
      <c r="E41" s="3">
        <v>31342903</v>
      </c>
      <c r="F41" s="3">
        <v>2571</v>
      </c>
      <c r="G41" s="3">
        <v>0</v>
      </c>
      <c r="H41" s="3">
        <v>86925</v>
      </c>
      <c r="I41" s="3">
        <v>1049691</v>
      </c>
      <c r="J41" s="3">
        <v>31340332</v>
      </c>
      <c r="K41" s="3">
        <v>31253407</v>
      </c>
      <c r="L41" s="3">
        <v>30203716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26140611</v>
      </c>
      <c r="T41" s="3">
        <v>25090920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3119546</v>
      </c>
      <c r="Z41" s="3">
        <v>3119546</v>
      </c>
      <c r="AA41" s="4">
        <v>2857123</v>
      </c>
      <c r="AB41" s="4">
        <v>2857123</v>
      </c>
      <c r="AC41" s="4">
        <v>2857123</v>
      </c>
      <c r="AD41" s="4">
        <v>2857123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15655678</v>
      </c>
      <c r="AJ41" s="4">
        <v>18775224</v>
      </c>
      <c r="AK41" s="4">
        <v>21632347</v>
      </c>
      <c r="AL41" s="4">
        <v>24489470</v>
      </c>
      <c r="AM41" s="4">
        <v>27346593</v>
      </c>
      <c r="AN41" s="4">
        <v>30203716</v>
      </c>
      <c r="AO41" s="150">
        <v>1944876</v>
      </c>
    </row>
    <row r="42" spans="1:41" x14ac:dyDescent="0.2">
      <c r="A42" s="1">
        <v>2024</v>
      </c>
      <c r="B42" s="2" t="s">
        <v>61</v>
      </c>
      <c r="C42" s="2" t="s">
        <v>61</v>
      </c>
      <c r="D42" s="1" t="s">
        <v>2</v>
      </c>
      <c r="E42" s="3">
        <v>1825694</v>
      </c>
      <c r="F42" s="3">
        <v>415</v>
      </c>
      <c r="G42" s="3">
        <v>0</v>
      </c>
      <c r="H42" s="3">
        <v>10446</v>
      </c>
      <c r="I42" s="3">
        <v>67238</v>
      </c>
      <c r="J42" s="3">
        <v>1825279</v>
      </c>
      <c r="K42" s="3">
        <v>1814833</v>
      </c>
      <c r="L42" s="3">
        <v>1747595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1154622</v>
      </c>
      <c r="T42" s="3">
        <v>1087384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180787</v>
      </c>
      <c r="Z42" s="3">
        <v>180787</v>
      </c>
      <c r="AA42" s="4">
        <v>163977</v>
      </c>
      <c r="AB42" s="4">
        <v>163977</v>
      </c>
      <c r="AC42" s="4">
        <v>163977</v>
      </c>
      <c r="AD42" s="4">
        <v>163978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910899</v>
      </c>
      <c r="AJ42" s="4">
        <v>1091686</v>
      </c>
      <c r="AK42" s="4">
        <v>1255663</v>
      </c>
      <c r="AL42" s="4">
        <v>1419640</v>
      </c>
      <c r="AM42" s="4">
        <v>1583617</v>
      </c>
      <c r="AN42" s="4">
        <v>1747595</v>
      </c>
      <c r="AO42" s="150">
        <v>220217</v>
      </c>
    </row>
    <row r="43" spans="1:41" x14ac:dyDescent="0.2">
      <c r="A43" s="1">
        <v>2024</v>
      </c>
      <c r="B43" s="2" t="s">
        <v>62</v>
      </c>
      <c r="C43" s="2" t="s">
        <v>62</v>
      </c>
      <c r="D43" s="1" t="s">
        <v>3</v>
      </c>
      <c r="E43" s="3">
        <v>1884880</v>
      </c>
      <c r="F43" s="3">
        <v>232</v>
      </c>
      <c r="G43" s="3">
        <v>0</v>
      </c>
      <c r="H43" s="3">
        <v>6323</v>
      </c>
      <c r="I43" s="3">
        <v>0</v>
      </c>
      <c r="J43" s="3">
        <v>1884648</v>
      </c>
      <c r="K43" s="3">
        <v>1878325</v>
      </c>
      <c r="L43" s="3">
        <v>1878325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1470431</v>
      </c>
      <c r="T43" s="3">
        <v>1470431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187411</v>
      </c>
      <c r="Z43" s="3">
        <v>187411</v>
      </c>
      <c r="AA43" s="4">
        <v>187411</v>
      </c>
      <c r="AB43" s="4">
        <v>187411</v>
      </c>
      <c r="AC43" s="4">
        <v>187411</v>
      </c>
      <c r="AD43" s="4">
        <v>187410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941271</v>
      </c>
      <c r="AJ43" s="4">
        <v>1128682</v>
      </c>
      <c r="AK43" s="4">
        <v>1316093</v>
      </c>
      <c r="AL43" s="4">
        <v>1503504</v>
      </c>
      <c r="AM43" s="4">
        <v>1690915</v>
      </c>
      <c r="AN43" s="4">
        <v>1878325</v>
      </c>
      <c r="AO43" s="150">
        <v>142782</v>
      </c>
    </row>
    <row r="44" spans="1:41" x14ac:dyDescent="0.2">
      <c r="A44" s="1">
        <v>2024</v>
      </c>
      <c r="B44" s="2" t="s">
        <v>63</v>
      </c>
      <c r="C44" s="2" t="s">
        <v>63</v>
      </c>
      <c r="D44" s="1" t="s">
        <v>416</v>
      </c>
      <c r="E44" s="3">
        <v>2356693</v>
      </c>
      <c r="F44" s="3">
        <v>199</v>
      </c>
      <c r="G44" s="3">
        <v>0</v>
      </c>
      <c r="H44" s="3">
        <v>8586</v>
      </c>
      <c r="I44" s="1">
        <v>0</v>
      </c>
      <c r="J44" s="3">
        <v>2356494</v>
      </c>
      <c r="K44" s="3">
        <v>2347908</v>
      </c>
      <c r="L44" s="3">
        <v>2347908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1827301</v>
      </c>
      <c r="T44" s="3">
        <v>1827301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234219</v>
      </c>
      <c r="Z44" s="3">
        <v>234219</v>
      </c>
      <c r="AA44" s="4">
        <v>234219</v>
      </c>
      <c r="AB44" s="4">
        <v>234219</v>
      </c>
      <c r="AC44" s="4">
        <v>234219</v>
      </c>
      <c r="AD44" s="4">
        <v>234217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1176815</v>
      </c>
      <c r="AJ44" s="4">
        <v>1411034</v>
      </c>
      <c r="AK44" s="4">
        <v>1645253</v>
      </c>
      <c r="AL44" s="4">
        <v>1879472</v>
      </c>
      <c r="AM44" s="4">
        <v>2113691</v>
      </c>
      <c r="AN44" s="4">
        <v>2347908</v>
      </c>
      <c r="AO44" s="150">
        <v>188322</v>
      </c>
    </row>
    <row r="45" spans="1:41" x14ac:dyDescent="0.2">
      <c r="A45" s="1">
        <v>2024</v>
      </c>
      <c r="B45" s="2" t="s">
        <v>64</v>
      </c>
      <c r="C45" s="2" t="s">
        <v>64</v>
      </c>
      <c r="D45" s="1" t="s">
        <v>417</v>
      </c>
      <c r="E45" s="3">
        <v>5720544</v>
      </c>
      <c r="F45" s="3">
        <v>912</v>
      </c>
      <c r="G45" s="3">
        <v>0</v>
      </c>
      <c r="H45" s="3">
        <v>19237</v>
      </c>
      <c r="I45" s="1">
        <v>0</v>
      </c>
      <c r="J45" s="3">
        <v>5719632</v>
      </c>
      <c r="K45" s="3">
        <v>5700395</v>
      </c>
      <c r="L45" s="3">
        <v>5700395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4475367</v>
      </c>
      <c r="T45" s="3">
        <v>4475367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568757</v>
      </c>
      <c r="Z45" s="3">
        <v>568757</v>
      </c>
      <c r="AA45" s="4">
        <v>568757</v>
      </c>
      <c r="AB45" s="4">
        <v>568757</v>
      </c>
      <c r="AC45" s="4">
        <v>568757</v>
      </c>
      <c r="AD45" s="4">
        <v>568758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2856609</v>
      </c>
      <c r="AJ45" s="4">
        <v>3425366</v>
      </c>
      <c r="AK45" s="4">
        <v>3994123</v>
      </c>
      <c r="AL45" s="4">
        <v>4562880</v>
      </c>
      <c r="AM45" s="4">
        <v>5131637</v>
      </c>
      <c r="AN45" s="4">
        <v>5700395</v>
      </c>
      <c r="AO45" s="150">
        <v>411142</v>
      </c>
    </row>
    <row r="46" spans="1:41" x14ac:dyDescent="0.2">
      <c r="A46" s="1">
        <v>2024</v>
      </c>
      <c r="B46" s="2" t="s">
        <v>65</v>
      </c>
      <c r="C46" s="2" t="s">
        <v>65</v>
      </c>
      <c r="D46" s="1" t="s">
        <v>418</v>
      </c>
      <c r="E46" s="3">
        <v>4641722</v>
      </c>
      <c r="F46" s="3">
        <v>1194</v>
      </c>
      <c r="G46" s="3">
        <v>0</v>
      </c>
      <c r="H46" s="3">
        <v>12914</v>
      </c>
      <c r="I46" s="3">
        <v>0</v>
      </c>
      <c r="J46" s="3">
        <v>4640528</v>
      </c>
      <c r="K46" s="3">
        <v>4627614</v>
      </c>
      <c r="L46" s="3">
        <v>4627614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3664359</v>
      </c>
      <c r="T46" s="3">
        <v>3664359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461900</v>
      </c>
      <c r="Z46" s="3">
        <v>461900</v>
      </c>
      <c r="AA46" s="4">
        <v>461901</v>
      </c>
      <c r="AB46" s="4">
        <v>461901</v>
      </c>
      <c r="AC46" s="4">
        <v>461901</v>
      </c>
      <c r="AD46" s="4">
        <v>461899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2318112</v>
      </c>
      <c r="AJ46" s="4">
        <v>2780012</v>
      </c>
      <c r="AK46" s="4">
        <v>3241913</v>
      </c>
      <c r="AL46" s="4">
        <v>3703814</v>
      </c>
      <c r="AM46" s="4">
        <v>4165715</v>
      </c>
      <c r="AN46" s="4">
        <v>4627614</v>
      </c>
      <c r="AO46" s="150">
        <v>280721</v>
      </c>
    </row>
    <row r="47" spans="1:41" x14ac:dyDescent="0.2">
      <c r="A47" s="1">
        <v>2024</v>
      </c>
      <c r="B47" s="2" t="s">
        <v>66</v>
      </c>
      <c r="C47" s="2" t="s">
        <v>66</v>
      </c>
      <c r="D47" s="1" t="s">
        <v>419</v>
      </c>
      <c r="E47" s="3">
        <v>16375106</v>
      </c>
      <c r="F47" s="3">
        <v>1907</v>
      </c>
      <c r="G47" s="3">
        <v>14268</v>
      </c>
      <c r="H47" s="3">
        <v>45284</v>
      </c>
      <c r="I47" s="1">
        <v>0</v>
      </c>
      <c r="J47" s="3">
        <v>16358931</v>
      </c>
      <c r="K47" s="3">
        <v>16313647</v>
      </c>
      <c r="L47" s="3">
        <v>16313647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13564876</v>
      </c>
      <c r="T47" s="3">
        <v>13564876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1628346</v>
      </c>
      <c r="Z47" s="3">
        <v>1628346</v>
      </c>
      <c r="AA47" s="4">
        <v>1628346</v>
      </c>
      <c r="AB47" s="4">
        <v>1628346</v>
      </c>
      <c r="AC47" s="4">
        <v>1628346</v>
      </c>
      <c r="AD47" s="4">
        <v>1628345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8171918</v>
      </c>
      <c r="AJ47" s="4">
        <v>9800264</v>
      </c>
      <c r="AK47" s="4">
        <v>11428610</v>
      </c>
      <c r="AL47" s="4">
        <v>13056956</v>
      </c>
      <c r="AM47" s="4">
        <v>14685302</v>
      </c>
      <c r="AN47" s="4">
        <v>16313647</v>
      </c>
      <c r="AO47" s="150">
        <v>980768</v>
      </c>
    </row>
    <row r="48" spans="1:41" x14ac:dyDescent="0.2">
      <c r="A48" s="1">
        <v>2024</v>
      </c>
      <c r="B48" s="2" t="s">
        <v>67</v>
      </c>
      <c r="C48" s="2" t="s">
        <v>67</v>
      </c>
      <c r="D48" s="1" t="s">
        <v>420</v>
      </c>
      <c r="E48" s="3">
        <v>9642289</v>
      </c>
      <c r="F48" s="3">
        <v>2720</v>
      </c>
      <c r="G48" s="3">
        <v>0</v>
      </c>
      <c r="H48" s="3">
        <v>37036</v>
      </c>
      <c r="I48" s="1">
        <v>0</v>
      </c>
      <c r="J48" s="3">
        <v>9639569</v>
      </c>
      <c r="K48" s="3">
        <v>9602533</v>
      </c>
      <c r="L48" s="3">
        <v>9602533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7083239</v>
      </c>
      <c r="T48" s="3">
        <v>7083239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957784</v>
      </c>
      <c r="Z48" s="3">
        <v>957784</v>
      </c>
      <c r="AA48" s="4">
        <v>957784</v>
      </c>
      <c r="AB48" s="4">
        <v>957784</v>
      </c>
      <c r="AC48" s="4">
        <v>957784</v>
      </c>
      <c r="AD48" s="4">
        <v>957785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4813612</v>
      </c>
      <c r="AJ48" s="4">
        <v>5771396</v>
      </c>
      <c r="AK48" s="4">
        <v>6729180</v>
      </c>
      <c r="AL48" s="4">
        <v>7686964</v>
      </c>
      <c r="AM48" s="4">
        <v>8644748</v>
      </c>
      <c r="AN48" s="4">
        <v>9602533</v>
      </c>
      <c r="AO48" s="150">
        <v>891752</v>
      </c>
    </row>
    <row r="49" spans="1:41" x14ac:dyDescent="0.2">
      <c r="A49" s="1">
        <v>2024</v>
      </c>
      <c r="B49" s="2" t="s">
        <v>68</v>
      </c>
      <c r="C49" s="2" t="s">
        <v>68</v>
      </c>
      <c r="D49" s="1" t="s">
        <v>421</v>
      </c>
      <c r="E49" s="3">
        <v>38263405</v>
      </c>
      <c r="F49" s="3">
        <v>2803</v>
      </c>
      <c r="G49" s="3">
        <v>1726</v>
      </c>
      <c r="H49" s="3">
        <v>124303</v>
      </c>
      <c r="I49" s="1">
        <v>0</v>
      </c>
      <c r="J49" s="3">
        <v>38258876</v>
      </c>
      <c r="K49" s="3">
        <v>38134573</v>
      </c>
      <c r="L49" s="3">
        <v>38134573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31063841</v>
      </c>
      <c r="T49" s="3">
        <v>31063841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3805170</v>
      </c>
      <c r="Z49" s="3">
        <v>3805170</v>
      </c>
      <c r="AA49" s="4">
        <v>3805170</v>
      </c>
      <c r="AB49" s="4">
        <v>3805170</v>
      </c>
      <c r="AC49" s="4">
        <v>3805170</v>
      </c>
      <c r="AD49" s="4">
        <v>3805171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19108722</v>
      </c>
      <c r="AJ49" s="4">
        <v>22913892</v>
      </c>
      <c r="AK49" s="4">
        <v>26719062</v>
      </c>
      <c r="AL49" s="4">
        <v>30524232</v>
      </c>
      <c r="AM49" s="4">
        <v>34329402</v>
      </c>
      <c r="AN49" s="4">
        <v>38134573</v>
      </c>
      <c r="AO49" s="150">
        <v>2923145</v>
      </c>
    </row>
    <row r="50" spans="1:41" x14ac:dyDescent="0.2">
      <c r="A50" s="1">
        <v>2024</v>
      </c>
      <c r="B50" s="2" t="s">
        <v>69</v>
      </c>
      <c r="C50" s="2" t="s">
        <v>69</v>
      </c>
      <c r="D50" s="1" t="s">
        <v>422</v>
      </c>
      <c r="E50" s="3">
        <v>116033315</v>
      </c>
      <c r="F50" s="3">
        <v>11626</v>
      </c>
      <c r="G50" s="3">
        <v>19698</v>
      </c>
      <c r="H50" s="3">
        <v>359376</v>
      </c>
      <c r="I50" s="1">
        <v>0</v>
      </c>
      <c r="J50" s="3">
        <v>116001991</v>
      </c>
      <c r="K50" s="3">
        <v>115642615</v>
      </c>
      <c r="L50" s="3">
        <v>115642615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94299053</v>
      </c>
      <c r="T50" s="3">
        <v>94299053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11540303</v>
      </c>
      <c r="Z50" s="3">
        <v>11540303</v>
      </c>
      <c r="AA50" s="4">
        <v>11540303</v>
      </c>
      <c r="AB50" s="4">
        <v>11540303</v>
      </c>
      <c r="AC50" s="4">
        <v>11540303</v>
      </c>
      <c r="AD50" s="4">
        <v>11540304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57941099</v>
      </c>
      <c r="AJ50" s="4">
        <v>69481402</v>
      </c>
      <c r="AK50" s="4">
        <v>81021705</v>
      </c>
      <c r="AL50" s="4">
        <v>92562008</v>
      </c>
      <c r="AM50" s="4">
        <v>104102311</v>
      </c>
      <c r="AN50" s="4">
        <v>115642615</v>
      </c>
      <c r="AO50" s="150">
        <v>7988949</v>
      </c>
    </row>
    <row r="51" spans="1:41" x14ac:dyDescent="0.2">
      <c r="A51" s="1">
        <v>2024</v>
      </c>
      <c r="B51" s="2" t="s">
        <v>70</v>
      </c>
      <c r="C51" s="2" t="s">
        <v>70</v>
      </c>
      <c r="D51" s="1" t="s">
        <v>423</v>
      </c>
      <c r="E51" s="3">
        <v>8906111</v>
      </c>
      <c r="F51" s="3">
        <v>1111</v>
      </c>
      <c r="G51" s="3">
        <v>0</v>
      </c>
      <c r="H51" s="3">
        <v>27065</v>
      </c>
      <c r="I51" s="1">
        <v>0</v>
      </c>
      <c r="J51" s="3">
        <v>8905000</v>
      </c>
      <c r="K51" s="3">
        <v>8877935</v>
      </c>
      <c r="L51" s="3">
        <v>8877935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7204420</v>
      </c>
      <c r="T51" s="3">
        <v>7204420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885989</v>
      </c>
      <c r="Z51" s="3">
        <v>885989</v>
      </c>
      <c r="AA51" s="4">
        <v>885989</v>
      </c>
      <c r="AB51" s="4">
        <v>885989</v>
      </c>
      <c r="AC51" s="4">
        <v>885989</v>
      </c>
      <c r="AD51" s="4">
        <v>885990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4447989</v>
      </c>
      <c r="AJ51" s="4">
        <v>5333978</v>
      </c>
      <c r="AK51" s="4">
        <v>6219967</v>
      </c>
      <c r="AL51" s="4">
        <v>7105956</v>
      </c>
      <c r="AM51" s="4">
        <v>7991945</v>
      </c>
      <c r="AN51" s="4">
        <v>8877935</v>
      </c>
      <c r="AO51" s="150">
        <v>605598</v>
      </c>
    </row>
    <row r="52" spans="1:41" x14ac:dyDescent="0.2">
      <c r="A52" s="1">
        <v>2024</v>
      </c>
      <c r="B52" s="2" t="s">
        <v>71</v>
      </c>
      <c r="C52" s="2" t="s">
        <v>71</v>
      </c>
      <c r="D52" s="1" t="s">
        <v>424</v>
      </c>
      <c r="E52" s="3">
        <v>10911572</v>
      </c>
      <c r="F52" s="3">
        <v>1061</v>
      </c>
      <c r="G52" s="3">
        <v>0</v>
      </c>
      <c r="H52" s="3">
        <v>29990</v>
      </c>
      <c r="I52" s="1">
        <v>0</v>
      </c>
      <c r="J52" s="3">
        <v>10910511</v>
      </c>
      <c r="K52" s="3">
        <v>10880521</v>
      </c>
      <c r="L52" s="3">
        <v>10880521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9068162</v>
      </c>
      <c r="T52" s="3">
        <v>9068162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1086053</v>
      </c>
      <c r="Z52" s="3">
        <v>1086053</v>
      </c>
      <c r="AA52" s="4">
        <v>1086053</v>
      </c>
      <c r="AB52" s="4">
        <v>1086053</v>
      </c>
      <c r="AC52" s="4">
        <v>1086053</v>
      </c>
      <c r="AD52" s="4">
        <v>1086052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5450257</v>
      </c>
      <c r="AJ52" s="4">
        <v>6536310</v>
      </c>
      <c r="AK52" s="4">
        <v>7622363</v>
      </c>
      <c r="AL52" s="4">
        <v>8708416</v>
      </c>
      <c r="AM52" s="4">
        <v>9794469</v>
      </c>
      <c r="AN52" s="4">
        <v>10880521</v>
      </c>
      <c r="AO52" s="150">
        <v>627817</v>
      </c>
    </row>
    <row r="53" spans="1:41" x14ac:dyDescent="0.2">
      <c r="A53" s="1">
        <v>2024</v>
      </c>
      <c r="B53" s="2" t="s">
        <v>72</v>
      </c>
      <c r="C53" s="2" t="s">
        <v>72</v>
      </c>
      <c r="D53" s="1" t="s">
        <v>425</v>
      </c>
      <c r="E53" s="3">
        <v>5184785</v>
      </c>
      <c r="F53" s="3">
        <v>979</v>
      </c>
      <c r="G53" s="3">
        <v>0</v>
      </c>
      <c r="H53" s="3">
        <v>18084</v>
      </c>
      <c r="I53" s="1">
        <v>0</v>
      </c>
      <c r="J53" s="3">
        <v>5183806</v>
      </c>
      <c r="K53" s="3">
        <v>5165722</v>
      </c>
      <c r="L53" s="3">
        <v>5165722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3967894</v>
      </c>
      <c r="T53" s="3">
        <v>3967894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515366</v>
      </c>
      <c r="Z53" s="3">
        <v>515366</v>
      </c>
      <c r="AA53" s="4">
        <v>515367</v>
      </c>
      <c r="AB53" s="4">
        <v>515367</v>
      </c>
      <c r="AC53" s="4">
        <v>515367</v>
      </c>
      <c r="AD53" s="4">
        <v>515365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2588890</v>
      </c>
      <c r="AJ53" s="4">
        <v>3104256</v>
      </c>
      <c r="AK53" s="4">
        <v>3619623</v>
      </c>
      <c r="AL53" s="4">
        <v>4134990</v>
      </c>
      <c r="AM53" s="4">
        <v>4650357</v>
      </c>
      <c r="AN53" s="4">
        <v>5165722</v>
      </c>
      <c r="AO53" s="150">
        <v>375065</v>
      </c>
    </row>
    <row r="54" spans="1:41" x14ac:dyDescent="0.2">
      <c r="A54" s="1">
        <v>2024</v>
      </c>
      <c r="B54" s="2" t="s">
        <v>73</v>
      </c>
      <c r="C54" s="2" t="s">
        <v>73</v>
      </c>
      <c r="D54" s="1" t="s">
        <v>426</v>
      </c>
      <c r="E54" s="3">
        <v>3117347</v>
      </c>
      <c r="F54" s="3">
        <v>547</v>
      </c>
      <c r="G54" s="3">
        <v>0</v>
      </c>
      <c r="H54" s="3">
        <v>10172</v>
      </c>
      <c r="I54" s="1">
        <v>0</v>
      </c>
      <c r="J54" s="3">
        <v>3116800</v>
      </c>
      <c r="K54" s="3">
        <v>3106628</v>
      </c>
      <c r="L54" s="3">
        <v>3106628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2448588</v>
      </c>
      <c r="T54" s="3">
        <v>2448588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309985</v>
      </c>
      <c r="Z54" s="3">
        <v>309985</v>
      </c>
      <c r="AA54" s="4">
        <v>309985</v>
      </c>
      <c r="AB54" s="4">
        <v>309985</v>
      </c>
      <c r="AC54" s="4">
        <v>309985</v>
      </c>
      <c r="AD54" s="4">
        <v>309983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1556705</v>
      </c>
      <c r="AJ54" s="4">
        <v>1866690</v>
      </c>
      <c r="AK54" s="4">
        <v>2176675</v>
      </c>
      <c r="AL54" s="4">
        <v>2486660</v>
      </c>
      <c r="AM54" s="4">
        <v>2796645</v>
      </c>
      <c r="AN54" s="4">
        <v>3106628</v>
      </c>
      <c r="AO54" s="150">
        <v>219527</v>
      </c>
    </row>
    <row r="55" spans="1:41" x14ac:dyDescent="0.2">
      <c r="A55" s="1">
        <v>2024</v>
      </c>
      <c r="B55" s="2" t="s">
        <v>74</v>
      </c>
      <c r="C55" s="2" t="s">
        <v>74</v>
      </c>
      <c r="D55" s="1" t="s">
        <v>427</v>
      </c>
      <c r="E55" s="3">
        <v>9845360</v>
      </c>
      <c r="F55" s="3">
        <v>1509</v>
      </c>
      <c r="G55" s="3">
        <v>0</v>
      </c>
      <c r="H55" s="3">
        <v>32717</v>
      </c>
      <c r="I55" s="1">
        <v>0</v>
      </c>
      <c r="J55" s="3">
        <v>9843851</v>
      </c>
      <c r="K55" s="3">
        <v>9811134</v>
      </c>
      <c r="L55" s="3">
        <v>9811134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7749404</v>
      </c>
      <c r="T55" s="3">
        <v>7749404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978932</v>
      </c>
      <c r="Z55" s="3">
        <v>978932</v>
      </c>
      <c r="AA55" s="4">
        <v>978933</v>
      </c>
      <c r="AB55" s="4">
        <v>978933</v>
      </c>
      <c r="AC55" s="4">
        <v>978933</v>
      </c>
      <c r="AD55" s="4">
        <v>978931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4916472</v>
      </c>
      <c r="AJ55" s="4">
        <v>5895404</v>
      </c>
      <c r="AK55" s="4">
        <v>6874337</v>
      </c>
      <c r="AL55" s="4">
        <v>7853270</v>
      </c>
      <c r="AM55" s="4">
        <v>8832203</v>
      </c>
      <c r="AN55" s="4">
        <v>9811134</v>
      </c>
      <c r="AO55" s="150">
        <v>712637</v>
      </c>
    </row>
    <row r="56" spans="1:41" x14ac:dyDescent="0.2">
      <c r="A56" s="1">
        <v>2024</v>
      </c>
      <c r="B56" s="2" t="s">
        <v>75</v>
      </c>
      <c r="C56" s="2" t="s">
        <v>75</v>
      </c>
      <c r="D56" s="1" t="s">
        <v>428</v>
      </c>
      <c r="E56" s="3">
        <v>3043765</v>
      </c>
      <c r="F56" s="1">
        <v>282</v>
      </c>
      <c r="G56" s="1">
        <v>0</v>
      </c>
      <c r="H56" s="3">
        <v>9782</v>
      </c>
      <c r="I56" s="1">
        <v>0</v>
      </c>
      <c r="J56" s="3">
        <v>3043483</v>
      </c>
      <c r="K56" s="3">
        <v>3033701</v>
      </c>
      <c r="L56" s="3">
        <v>3033701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2419747</v>
      </c>
      <c r="T56" s="3">
        <v>2419747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302718</v>
      </c>
      <c r="Z56" s="3">
        <v>302718</v>
      </c>
      <c r="AA56" s="4">
        <v>302718</v>
      </c>
      <c r="AB56" s="4">
        <v>302718</v>
      </c>
      <c r="AC56" s="4">
        <v>302718</v>
      </c>
      <c r="AD56" s="4">
        <v>302719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1520110</v>
      </c>
      <c r="AJ56" s="4">
        <v>1822828</v>
      </c>
      <c r="AK56" s="4">
        <v>2125546</v>
      </c>
      <c r="AL56" s="4">
        <v>2428264</v>
      </c>
      <c r="AM56" s="4">
        <v>2730982</v>
      </c>
      <c r="AN56" s="4">
        <v>3033701</v>
      </c>
      <c r="AO56" s="150">
        <v>208722</v>
      </c>
    </row>
    <row r="57" spans="1:41" x14ac:dyDescent="0.2">
      <c r="A57" s="1">
        <v>2024</v>
      </c>
      <c r="B57" s="2" t="s">
        <v>76</v>
      </c>
      <c r="C57" s="2" t="s">
        <v>76</v>
      </c>
      <c r="D57" s="1" t="s">
        <v>429</v>
      </c>
      <c r="E57" s="3">
        <v>5493808</v>
      </c>
      <c r="F57" s="3">
        <v>680</v>
      </c>
      <c r="G57" s="3">
        <v>0</v>
      </c>
      <c r="H57" s="3">
        <v>14472</v>
      </c>
      <c r="I57" s="1">
        <v>0</v>
      </c>
      <c r="J57" s="3">
        <v>5493128</v>
      </c>
      <c r="K57" s="3">
        <v>5478656</v>
      </c>
      <c r="L57" s="3">
        <v>5478656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4545819</v>
      </c>
      <c r="T57" s="3">
        <v>4545819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546901</v>
      </c>
      <c r="Z57" s="3">
        <v>546901</v>
      </c>
      <c r="AA57" s="4">
        <v>546901</v>
      </c>
      <c r="AB57" s="4">
        <v>546901</v>
      </c>
      <c r="AC57" s="4">
        <v>546901</v>
      </c>
      <c r="AD57" s="4">
        <v>546899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2744153</v>
      </c>
      <c r="AJ57" s="4">
        <v>3291054</v>
      </c>
      <c r="AK57" s="4">
        <v>3837955</v>
      </c>
      <c r="AL57" s="4">
        <v>4384856</v>
      </c>
      <c r="AM57" s="4">
        <v>4931757</v>
      </c>
      <c r="AN57" s="4">
        <v>5478656</v>
      </c>
      <c r="AO57" s="150">
        <v>314643</v>
      </c>
    </row>
    <row r="58" spans="1:41" x14ac:dyDescent="0.2">
      <c r="A58" s="1">
        <v>2024</v>
      </c>
      <c r="B58" s="2" t="s">
        <v>77</v>
      </c>
      <c r="C58" s="2" t="s">
        <v>77</v>
      </c>
      <c r="D58" s="1" t="s">
        <v>430</v>
      </c>
      <c r="E58" s="3">
        <v>5120078</v>
      </c>
      <c r="F58" s="1">
        <v>730</v>
      </c>
      <c r="G58" s="1">
        <v>0</v>
      </c>
      <c r="H58" s="3">
        <v>17229</v>
      </c>
      <c r="I58" s="3">
        <v>0</v>
      </c>
      <c r="J58" s="3">
        <v>5119348</v>
      </c>
      <c r="K58" s="3">
        <v>5102119</v>
      </c>
      <c r="L58" s="3">
        <v>5102119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4054999</v>
      </c>
      <c r="T58" s="3">
        <v>4054999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509063</v>
      </c>
      <c r="Z58" s="3">
        <v>509063</v>
      </c>
      <c r="AA58" s="4">
        <v>509063</v>
      </c>
      <c r="AB58" s="4">
        <v>509063</v>
      </c>
      <c r="AC58" s="4">
        <v>509063</v>
      </c>
      <c r="AD58" s="4">
        <v>509064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2556803</v>
      </c>
      <c r="AJ58" s="4">
        <v>3065866</v>
      </c>
      <c r="AK58" s="4">
        <v>3574929</v>
      </c>
      <c r="AL58" s="4">
        <v>4083992</v>
      </c>
      <c r="AM58" s="4">
        <v>4593055</v>
      </c>
      <c r="AN58" s="4">
        <v>5102119</v>
      </c>
      <c r="AO58" s="150">
        <v>401550</v>
      </c>
    </row>
    <row r="59" spans="1:41" x14ac:dyDescent="0.2">
      <c r="A59" s="1">
        <v>2024</v>
      </c>
      <c r="B59" s="2" t="s">
        <v>78</v>
      </c>
      <c r="C59" s="2" t="s">
        <v>78</v>
      </c>
      <c r="D59" s="1" t="s">
        <v>431</v>
      </c>
      <c r="E59" s="3">
        <v>9743613</v>
      </c>
      <c r="F59" s="3">
        <v>962</v>
      </c>
      <c r="G59" s="3">
        <v>0</v>
      </c>
      <c r="H59" s="3">
        <v>28627</v>
      </c>
      <c r="I59" s="1">
        <v>0</v>
      </c>
      <c r="J59" s="3">
        <v>9742651</v>
      </c>
      <c r="K59" s="3">
        <v>9714024</v>
      </c>
      <c r="L59" s="3">
        <v>9714024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8004853</v>
      </c>
      <c r="T59" s="3">
        <v>8004853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969494</v>
      </c>
      <c r="Z59" s="3">
        <v>969494</v>
      </c>
      <c r="AA59" s="4">
        <v>969494</v>
      </c>
      <c r="AB59" s="4">
        <v>969494</v>
      </c>
      <c r="AC59" s="4">
        <v>969494</v>
      </c>
      <c r="AD59" s="4">
        <v>969494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4866554</v>
      </c>
      <c r="AJ59" s="4">
        <v>5836048</v>
      </c>
      <c r="AK59" s="4">
        <v>6805542</v>
      </c>
      <c r="AL59" s="4">
        <v>7775036</v>
      </c>
      <c r="AM59" s="4">
        <v>8744530</v>
      </c>
      <c r="AN59" s="4">
        <v>9714024</v>
      </c>
      <c r="AO59" s="150">
        <v>600134</v>
      </c>
    </row>
    <row r="60" spans="1:41" x14ac:dyDescent="0.2">
      <c r="A60" s="1">
        <v>2024</v>
      </c>
      <c r="B60" s="2" t="s">
        <v>79</v>
      </c>
      <c r="C60" s="2" t="s">
        <v>79</v>
      </c>
      <c r="D60" s="1" t="s">
        <v>432</v>
      </c>
      <c r="E60" s="3">
        <v>11059822</v>
      </c>
      <c r="F60" s="3">
        <v>1227</v>
      </c>
      <c r="G60" s="3">
        <v>0</v>
      </c>
      <c r="H60" s="3">
        <v>33548</v>
      </c>
      <c r="I60" s="1">
        <v>0</v>
      </c>
      <c r="J60" s="3">
        <v>11058595</v>
      </c>
      <c r="K60" s="3">
        <v>11025047</v>
      </c>
      <c r="L60" s="3">
        <v>11025047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8966807</v>
      </c>
      <c r="T60" s="3">
        <v>8966807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1100268</v>
      </c>
      <c r="Z60" s="3">
        <v>1100268</v>
      </c>
      <c r="AA60" s="4">
        <v>1100268</v>
      </c>
      <c r="AB60" s="4">
        <v>1100268</v>
      </c>
      <c r="AC60" s="4">
        <v>1100268</v>
      </c>
      <c r="AD60" s="4">
        <v>1100267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5523708</v>
      </c>
      <c r="AJ60" s="4">
        <v>6623976</v>
      </c>
      <c r="AK60" s="4">
        <v>7724244</v>
      </c>
      <c r="AL60" s="4">
        <v>8824512</v>
      </c>
      <c r="AM60" s="4">
        <v>9924780</v>
      </c>
      <c r="AN60" s="4">
        <v>11025047</v>
      </c>
      <c r="AO60" s="150">
        <v>800382</v>
      </c>
    </row>
    <row r="61" spans="1:41" x14ac:dyDescent="0.2">
      <c r="A61" s="1">
        <v>2024</v>
      </c>
      <c r="B61" s="2" t="s">
        <v>80</v>
      </c>
      <c r="C61" s="2" t="s">
        <v>80</v>
      </c>
      <c r="D61" s="1" t="s">
        <v>433</v>
      </c>
      <c r="E61" s="3">
        <v>1732812</v>
      </c>
      <c r="F61" s="1">
        <v>216</v>
      </c>
      <c r="G61" s="1">
        <v>0</v>
      </c>
      <c r="H61" s="3">
        <v>6467</v>
      </c>
      <c r="I61" s="1">
        <v>0</v>
      </c>
      <c r="J61" s="3">
        <v>1732596</v>
      </c>
      <c r="K61" s="3">
        <v>1726129</v>
      </c>
      <c r="L61" s="3">
        <v>1726129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1317694</v>
      </c>
      <c r="T61" s="3">
        <v>1317694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172182</v>
      </c>
      <c r="Z61" s="3">
        <v>172182</v>
      </c>
      <c r="AA61" s="4">
        <v>172181</v>
      </c>
      <c r="AB61" s="4">
        <v>172181</v>
      </c>
      <c r="AC61" s="4">
        <v>172181</v>
      </c>
      <c r="AD61" s="4">
        <v>172182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865222</v>
      </c>
      <c r="AJ61" s="4">
        <v>1037404</v>
      </c>
      <c r="AK61" s="4">
        <v>1209585</v>
      </c>
      <c r="AL61" s="4">
        <v>1381766</v>
      </c>
      <c r="AM61" s="4">
        <v>1553947</v>
      </c>
      <c r="AN61" s="4">
        <v>1726129</v>
      </c>
      <c r="AO61" s="150">
        <v>142891</v>
      </c>
    </row>
    <row r="62" spans="1:41" x14ac:dyDescent="0.2">
      <c r="A62" s="1">
        <v>2024</v>
      </c>
      <c r="B62" s="2" t="s">
        <v>81</v>
      </c>
      <c r="C62" s="2" t="s">
        <v>81</v>
      </c>
      <c r="D62" s="1" t="s">
        <v>434</v>
      </c>
      <c r="E62" s="3">
        <v>7847980</v>
      </c>
      <c r="F62" s="3">
        <v>630</v>
      </c>
      <c r="G62" s="3">
        <v>0</v>
      </c>
      <c r="H62" s="3">
        <v>23313</v>
      </c>
      <c r="I62" s="1">
        <v>0</v>
      </c>
      <c r="J62" s="3">
        <v>7847350</v>
      </c>
      <c r="K62" s="3">
        <v>7824037</v>
      </c>
      <c r="L62" s="3">
        <v>7824037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6445618</v>
      </c>
      <c r="T62" s="3">
        <v>6445618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780850</v>
      </c>
      <c r="Z62" s="3">
        <v>780850</v>
      </c>
      <c r="AA62" s="4">
        <v>780849</v>
      </c>
      <c r="AB62" s="4">
        <v>780849</v>
      </c>
      <c r="AC62" s="4">
        <v>780849</v>
      </c>
      <c r="AD62" s="4">
        <v>780850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3919790</v>
      </c>
      <c r="AJ62" s="4">
        <v>4700640</v>
      </c>
      <c r="AK62" s="4">
        <v>5481489</v>
      </c>
      <c r="AL62" s="4">
        <v>6262338</v>
      </c>
      <c r="AM62" s="4">
        <v>7043187</v>
      </c>
      <c r="AN62" s="4">
        <v>7824037</v>
      </c>
      <c r="AO62" s="150">
        <v>515165</v>
      </c>
    </row>
    <row r="63" spans="1:41" x14ac:dyDescent="0.2">
      <c r="A63" s="1">
        <v>2024</v>
      </c>
      <c r="B63" s="2" t="s">
        <v>82</v>
      </c>
      <c r="C63" s="2" t="s">
        <v>82</v>
      </c>
      <c r="D63" s="1" t="s">
        <v>435</v>
      </c>
      <c r="E63" s="3">
        <v>6998532</v>
      </c>
      <c r="F63" s="1">
        <v>448</v>
      </c>
      <c r="G63" s="1">
        <v>0</v>
      </c>
      <c r="H63" s="3">
        <v>22273</v>
      </c>
      <c r="I63" s="1">
        <v>0</v>
      </c>
      <c r="J63" s="3">
        <v>6998084</v>
      </c>
      <c r="K63" s="3">
        <v>6975811</v>
      </c>
      <c r="L63" s="3">
        <v>6975811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5749736</v>
      </c>
      <c r="T63" s="3">
        <v>5749736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696097</v>
      </c>
      <c r="Z63" s="3">
        <v>696097</v>
      </c>
      <c r="AA63" s="4">
        <v>696096</v>
      </c>
      <c r="AB63" s="4">
        <v>696096</v>
      </c>
      <c r="AC63" s="4">
        <v>696096</v>
      </c>
      <c r="AD63" s="4">
        <v>696097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3495329</v>
      </c>
      <c r="AJ63" s="4">
        <v>4191426</v>
      </c>
      <c r="AK63" s="4">
        <v>4887522</v>
      </c>
      <c r="AL63" s="4">
        <v>5583618</v>
      </c>
      <c r="AM63" s="4">
        <v>6279714</v>
      </c>
      <c r="AN63" s="4">
        <v>6975811</v>
      </c>
      <c r="AO63" s="150">
        <v>486715</v>
      </c>
    </row>
    <row r="64" spans="1:41" x14ac:dyDescent="0.2">
      <c r="A64" s="1">
        <v>2024</v>
      </c>
      <c r="B64" s="2" t="s">
        <v>83</v>
      </c>
      <c r="C64" s="2" t="s">
        <v>83</v>
      </c>
      <c r="D64" s="1" t="s">
        <v>436</v>
      </c>
      <c r="E64" s="3">
        <v>6438728</v>
      </c>
      <c r="F64" s="3">
        <v>1111</v>
      </c>
      <c r="G64" s="3">
        <v>0</v>
      </c>
      <c r="H64" s="3">
        <v>22768</v>
      </c>
      <c r="I64" s="1">
        <v>0</v>
      </c>
      <c r="J64" s="3">
        <v>6437617</v>
      </c>
      <c r="K64" s="3">
        <v>6414849</v>
      </c>
      <c r="L64" s="3">
        <v>6414849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4956877</v>
      </c>
      <c r="T64" s="3">
        <v>4956877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639967</v>
      </c>
      <c r="Z64" s="3">
        <v>639967</v>
      </c>
      <c r="AA64" s="4">
        <v>639967</v>
      </c>
      <c r="AB64" s="4">
        <v>639967</v>
      </c>
      <c r="AC64" s="4">
        <v>639967</v>
      </c>
      <c r="AD64" s="4">
        <v>639966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3215015</v>
      </c>
      <c r="AJ64" s="4">
        <v>3854982</v>
      </c>
      <c r="AK64" s="4">
        <v>4494949</v>
      </c>
      <c r="AL64" s="4">
        <v>5134916</v>
      </c>
      <c r="AM64" s="4">
        <v>5774883</v>
      </c>
      <c r="AN64" s="4">
        <v>6414849</v>
      </c>
      <c r="AO64" s="150">
        <v>502648</v>
      </c>
    </row>
    <row r="65" spans="1:41" x14ac:dyDescent="0.2">
      <c r="A65" s="1">
        <v>2024</v>
      </c>
      <c r="B65" s="2" t="s">
        <v>84</v>
      </c>
      <c r="C65" s="2" t="s">
        <v>84</v>
      </c>
      <c r="D65" s="1" t="s">
        <v>437</v>
      </c>
      <c r="E65" s="3">
        <v>11350161</v>
      </c>
      <c r="F65" s="3">
        <v>979</v>
      </c>
      <c r="G65" s="3">
        <v>0</v>
      </c>
      <c r="H65" s="3">
        <v>32483</v>
      </c>
      <c r="I65" s="1">
        <v>0</v>
      </c>
      <c r="J65" s="3">
        <v>11349182</v>
      </c>
      <c r="K65" s="3">
        <v>11316699</v>
      </c>
      <c r="L65" s="3">
        <v>11316699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9395271</v>
      </c>
      <c r="T65" s="3">
        <v>9395271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1129505</v>
      </c>
      <c r="Z65" s="3">
        <v>1129505</v>
      </c>
      <c r="AA65" s="4">
        <v>1129504</v>
      </c>
      <c r="AB65" s="4">
        <v>1129504</v>
      </c>
      <c r="AC65" s="4">
        <v>1129504</v>
      </c>
      <c r="AD65" s="4">
        <v>1129505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5669177</v>
      </c>
      <c r="AJ65" s="4">
        <v>6798682</v>
      </c>
      <c r="AK65" s="4">
        <v>7928186</v>
      </c>
      <c r="AL65" s="4">
        <v>9057690</v>
      </c>
      <c r="AM65" s="4">
        <v>10187194</v>
      </c>
      <c r="AN65" s="4">
        <v>11316699</v>
      </c>
      <c r="AO65" s="150">
        <v>704896</v>
      </c>
    </row>
    <row r="66" spans="1:41" x14ac:dyDescent="0.2">
      <c r="A66" s="1">
        <v>2024</v>
      </c>
      <c r="B66" s="2" t="s">
        <v>85</v>
      </c>
      <c r="C66" s="2" t="s">
        <v>85</v>
      </c>
      <c r="D66" s="1" t="s">
        <v>438</v>
      </c>
      <c r="E66" s="3">
        <v>2224212</v>
      </c>
      <c r="F66" s="3">
        <v>182</v>
      </c>
      <c r="G66" s="3">
        <v>0</v>
      </c>
      <c r="H66" s="3">
        <v>6517</v>
      </c>
      <c r="I66" s="1">
        <v>0</v>
      </c>
      <c r="J66" s="3">
        <v>2224030</v>
      </c>
      <c r="K66" s="3">
        <v>2217513</v>
      </c>
      <c r="L66" s="3">
        <v>2217513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1806745</v>
      </c>
      <c r="T66" s="3">
        <v>1806745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221317</v>
      </c>
      <c r="Z66" s="3">
        <v>221317</v>
      </c>
      <c r="AA66" s="4">
        <v>221317</v>
      </c>
      <c r="AB66" s="4">
        <v>221317</v>
      </c>
      <c r="AC66" s="4">
        <v>221317</v>
      </c>
      <c r="AD66" s="4">
        <v>221316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1110929</v>
      </c>
      <c r="AJ66" s="4">
        <v>1332246</v>
      </c>
      <c r="AK66" s="4">
        <v>1553563</v>
      </c>
      <c r="AL66" s="4">
        <v>1774880</v>
      </c>
      <c r="AM66" s="4">
        <v>1996197</v>
      </c>
      <c r="AN66" s="4">
        <v>2217513</v>
      </c>
      <c r="AO66" s="150">
        <v>147920</v>
      </c>
    </row>
    <row r="67" spans="1:41" x14ac:dyDescent="0.2">
      <c r="A67" s="1">
        <v>2024</v>
      </c>
      <c r="B67" s="2" t="s">
        <v>86</v>
      </c>
      <c r="C67" s="2" t="s">
        <v>86</v>
      </c>
      <c r="D67" s="1" t="s">
        <v>439</v>
      </c>
      <c r="E67" s="3">
        <v>1111736</v>
      </c>
      <c r="F67" s="3">
        <v>133</v>
      </c>
      <c r="G67" s="3">
        <v>0</v>
      </c>
      <c r="H67" s="3">
        <v>6533</v>
      </c>
      <c r="I67" s="1">
        <v>0</v>
      </c>
      <c r="J67" s="3">
        <v>1111603</v>
      </c>
      <c r="K67" s="3">
        <v>1105070</v>
      </c>
      <c r="L67" s="3">
        <v>1105070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721018</v>
      </c>
      <c r="T67" s="3">
        <v>721018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110072</v>
      </c>
      <c r="Z67" s="3">
        <v>110072</v>
      </c>
      <c r="AA67" s="4">
        <v>110072</v>
      </c>
      <c r="AB67" s="4">
        <v>110072</v>
      </c>
      <c r="AC67" s="4">
        <v>110072</v>
      </c>
      <c r="AD67" s="4">
        <v>110070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554712</v>
      </c>
      <c r="AJ67" s="4">
        <v>664784</v>
      </c>
      <c r="AK67" s="4">
        <v>774856</v>
      </c>
      <c r="AL67" s="4">
        <v>884928</v>
      </c>
      <c r="AM67" s="4">
        <v>995000</v>
      </c>
      <c r="AN67" s="4">
        <v>1105070</v>
      </c>
      <c r="AO67" s="150">
        <v>149375</v>
      </c>
    </row>
    <row r="68" spans="1:41" x14ac:dyDescent="0.2">
      <c r="A68" s="1">
        <v>2024</v>
      </c>
      <c r="B68" s="2" t="s">
        <v>87</v>
      </c>
      <c r="C68" s="2" t="s">
        <v>87</v>
      </c>
      <c r="D68" s="1" t="s">
        <v>440</v>
      </c>
      <c r="E68" s="3">
        <v>19556656</v>
      </c>
      <c r="F68" s="3">
        <v>2538</v>
      </c>
      <c r="G68" s="3">
        <v>0</v>
      </c>
      <c r="H68" s="3">
        <v>66156</v>
      </c>
      <c r="I68" s="1">
        <v>0</v>
      </c>
      <c r="J68" s="3">
        <v>19554118</v>
      </c>
      <c r="K68" s="3">
        <v>19487962</v>
      </c>
      <c r="L68" s="3">
        <v>19487962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15486648</v>
      </c>
      <c r="T68" s="3">
        <v>15486648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1944386</v>
      </c>
      <c r="Z68" s="3">
        <v>1944386</v>
      </c>
      <c r="AA68" s="4">
        <v>1944386</v>
      </c>
      <c r="AB68" s="4">
        <v>1944386</v>
      </c>
      <c r="AC68" s="4">
        <v>1944386</v>
      </c>
      <c r="AD68" s="4">
        <v>1944384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9766034</v>
      </c>
      <c r="AJ68" s="4">
        <v>11710420</v>
      </c>
      <c r="AK68" s="4">
        <v>13654806</v>
      </c>
      <c r="AL68" s="4">
        <v>15599192</v>
      </c>
      <c r="AM68" s="4">
        <v>17543578</v>
      </c>
      <c r="AN68" s="4">
        <v>19487962</v>
      </c>
      <c r="AO68" s="150">
        <v>1531487</v>
      </c>
    </row>
    <row r="69" spans="1:41" x14ac:dyDescent="0.2">
      <c r="A69" s="1">
        <v>2024</v>
      </c>
      <c r="B69" s="2" t="s">
        <v>88</v>
      </c>
      <c r="C69" s="2" t="s">
        <v>88</v>
      </c>
      <c r="D69" s="1" t="s">
        <v>441</v>
      </c>
      <c r="E69" s="3">
        <v>5059249</v>
      </c>
      <c r="F69" s="3">
        <v>896</v>
      </c>
      <c r="G69" s="3">
        <v>0</v>
      </c>
      <c r="H69" s="3">
        <v>26416</v>
      </c>
      <c r="I69" s="1">
        <v>0</v>
      </c>
      <c r="J69" s="3">
        <v>5058353</v>
      </c>
      <c r="K69" s="3">
        <v>5031937</v>
      </c>
      <c r="L69" s="3">
        <v>5031937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3483605</v>
      </c>
      <c r="T69" s="3">
        <v>3483605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501433</v>
      </c>
      <c r="Z69" s="3">
        <v>501433</v>
      </c>
      <c r="AA69" s="4">
        <v>501433</v>
      </c>
      <c r="AB69" s="4">
        <v>501433</v>
      </c>
      <c r="AC69" s="4">
        <v>501433</v>
      </c>
      <c r="AD69" s="4">
        <v>501432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2524773</v>
      </c>
      <c r="AJ69" s="4">
        <v>3026206</v>
      </c>
      <c r="AK69" s="4">
        <v>3527639</v>
      </c>
      <c r="AL69" s="4">
        <v>4029072</v>
      </c>
      <c r="AM69" s="4">
        <v>4530505</v>
      </c>
      <c r="AN69" s="4">
        <v>5031937</v>
      </c>
      <c r="AO69" s="150">
        <v>588550</v>
      </c>
    </row>
    <row r="70" spans="1:41" x14ac:dyDescent="0.2">
      <c r="A70" s="1">
        <v>2024</v>
      </c>
      <c r="B70" s="2" t="s">
        <v>89</v>
      </c>
      <c r="C70" s="2" t="s">
        <v>89</v>
      </c>
      <c r="D70" s="1" t="s">
        <v>442</v>
      </c>
      <c r="E70" s="3">
        <v>31368887</v>
      </c>
      <c r="F70" s="3">
        <v>3201</v>
      </c>
      <c r="G70" s="3">
        <v>0</v>
      </c>
      <c r="H70" s="3">
        <v>81160</v>
      </c>
      <c r="I70" s="1">
        <v>0</v>
      </c>
      <c r="J70" s="3">
        <v>31365686</v>
      </c>
      <c r="K70" s="3">
        <v>31284526</v>
      </c>
      <c r="L70" s="3">
        <v>31284526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26271574</v>
      </c>
      <c r="T70" s="3">
        <v>26271574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3123042</v>
      </c>
      <c r="Z70" s="3">
        <v>3123042</v>
      </c>
      <c r="AA70" s="4">
        <v>3123042</v>
      </c>
      <c r="AB70" s="4">
        <v>3123042</v>
      </c>
      <c r="AC70" s="4">
        <v>3123042</v>
      </c>
      <c r="AD70" s="4">
        <v>3123040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15669318</v>
      </c>
      <c r="AJ70" s="4">
        <v>18792360</v>
      </c>
      <c r="AK70" s="4">
        <v>21915402</v>
      </c>
      <c r="AL70" s="4">
        <v>25038444</v>
      </c>
      <c r="AM70" s="4">
        <v>28161486</v>
      </c>
      <c r="AN70" s="4">
        <v>31284526</v>
      </c>
      <c r="AO70" s="150">
        <v>1832297</v>
      </c>
    </row>
    <row r="71" spans="1:41" x14ac:dyDescent="0.2">
      <c r="A71" s="1">
        <v>2024</v>
      </c>
      <c r="B71" s="2" t="s">
        <v>90</v>
      </c>
      <c r="C71" s="2" t="s">
        <v>90</v>
      </c>
      <c r="D71" s="1" t="s">
        <v>443</v>
      </c>
      <c r="E71" s="3">
        <v>5039789</v>
      </c>
      <c r="F71" s="3">
        <v>630</v>
      </c>
      <c r="G71" s="3">
        <v>1136</v>
      </c>
      <c r="H71" s="3">
        <v>15925</v>
      </c>
      <c r="I71" s="1">
        <v>0</v>
      </c>
      <c r="J71" s="3">
        <v>5038023</v>
      </c>
      <c r="K71" s="3">
        <v>5022098</v>
      </c>
      <c r="L71" s="3">
        <v>5022098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4054609</v>
      </c>
      <c r="T71" s="3">
        <v>4054609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501148</v>
      </c>
      <c r="Z71" s="3">
        <v>501148</v>
      </c>
      <c r="AA71" s="4">
        <v>501149</v>
      </c>
      <c r="AB71" s="4">
        <v>501149</v>
      </c>
      <c r="AC71" s="4">
        <v>501149</v>
      </c>
      <c r="AD71" s="4">
        <v>501147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2516356</v>
      </c>
      <c r="AJ71" s="4">
        <v>3017504</v>
      </c>
      <c r="AK71" s="4">
        <v>3518653</v>
      </c>
      <c r="AL71" s="4">
        <v>4019802</v>
      </c>
      <c r="AM71" s="4">
        <v>4520951</v>
      </c>
      <c r="AN71" s="4">
        <v>5022098</v>
      </c>
      <c r="AO71" s="150">
        <v>329305</v>
      </c>
    </row>
    <row r="72" spans="1:41" x14ac:dyDescent="0.2">
      <c r="A72" s="1">
        <v>2024</v>
      </c>
      <c r="B72" s="2" t="s">
        <v>91</v>
      </c>
      <c r="C72" s="2" t="s">
        <v>91</v>
      </c>
      <c r="D72" s="1" t="s">
        <v>444</v>
      </c>
      <c r="E72" s="3">
        <v>33560815</v>
      </c>
      <c r="F72" s="3">
        <v>4080</v>
      </c>
      <c r="G72" s="3">
        <v>14437</v>
      </c>
      <c r="H72" s="3">
        <v>115922</v>
      </c>
      <c r="I72" s="1">
        <v>0</v>
      </c>
      <c r="J72" s="3">
        <v>33542298</v>
      </c>
      <c r="K72" s="3">
        <v>33426376</v>
      </c>
      <c r="L72" s="3">
        <v>33426376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26571884</v>
      </c>
      <c r="T72" s="3">
        <v>26571884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3334909</v>
      </c>
      <c r="Z72" s="3">
        <v>3334909</v>
      </c>
      <c r="AA72" s="4">
        <v>3334910</v>
      </c>
      <c r="AB72" s="4">
        <v>3334910</v>
      </c>
      <c r="AC72" s="4">
        <v>3334910</v>
      </c>
      <c r="AD72" s="4">
        <v>3334908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16751829</v>
      </c>
      <c r="AJ72" s="4">
        <v>20086738</v>
      </c>
      <c r="AK72" s="4">
        <v>23421648</v>
      </c>
      <c r="AL72" s="4">
        <v>26756558</v>
      </c>
      <c r="AM72" s="4">
        <v>30091468</v>
      </c>
      <c r="AN72" s="4">
        <v>33426376</v>
      </c>
      <c r="AO72" s="150">
        <v>2633213</v>
      </c>
    </row>
    <row r="73" spans="1:41" x14ac:dyDescent="0.2">
      <c r="A73" s="1">
        <v>2024</v>
      </c>
      <c r="B73" s="2" t="s">
        <v>92</v>
      </c>
      <c r="C73" s="2" t="s">
        <v>92</v>
      </c>
      <c r="D73" s="1" t="s">
        <v>445</v>
      </c>
      <c r="E73" s="3">
        <v>3171336</v>
      </c>
      <c r="F73" s="1">
        <v>249</v>
      </c>
      <c r="G73" s="1">
        <v>0</v>
      </c>
      <c r="H73" s="3">
        <v>10446</v>
      </c>
      <c r="I73" s="1">
        <v>0</v>
      </c>
      <c r="J73" s="3">
        <v>3171087</v>
      </c>
      <c r="K73" s="3">
        <v>3160641</v>
      </c>
      <c r="L73" s="3">
        <v>3160641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2552732</v>
      </c>
      <c r="T73" s="3">
        <v>2552732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315368</v>
      </c>
      <c r="Z73" s="3">
        <v>315368</v>
      </c>
      <c r="AA73" s="4">
        <v>315367</v>
      </c>
      <c r="AB73" s="4">
        <v>315367</v>
      </c>
      <c r="AC73" s="4">
        <v>315367</v>
      </c>
      <c r="AD73" s="4">
        <v>315368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1583804</v>
      </c>
      <c r="AJ73" s="4">
        <v>1899172</v>
      </c>
      <c r="AK73" s="4">
        <v>2214539</v>
      </c>
      <c r="AL73" s="4">
        <v>2529906</v>
      </c>
      <c r="AM73" s="4">
        <v>2845273</v>
      </c>
      <c r="AN73" s="4">
        <v>3160641</v>
      </c>
      <c r="AO73" s="150">
        <v>217903</v>
      </c>
    </row>
    <row r="74" spans="1:41" x14ac:dyDescent="0.2">
      <c r="A74" s="1">
        <v>2024</v>
      </c>
      <c r="B74" s="2" t="s">
        <v>93</v>
      </c>
      <c r="C74" s="2" t="s">
        <v>93</v>
      </c>
      <c r="D74" s="1" t="s">
        <v>446</v>
      </c>
      <c r="E74" s="3">
        <v>2441470</v>
      </c>
      <c r="F74" s="3">
        <v>332</v>
      </c>
      <c r="G74" s="3">
        <v>0</v>
      </c>
      <c r="H74" s="3">
        <v>10199</v>
      </c>
      <c r="I74" s="1">
        <v>0</v>
      </c>
      <c r="J74" s="3">
        <v>2441138</v>
      </c>
      <c r="K74" s="3">
        <v>2430939</v>
      </c>
      <c r="L74" s="3">
        <v>2430939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1783592</v>
      </c>
      <c r="T74" s="3">
        <v>1783592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242414</v>
      </c>
      <c r="Z74" s="3">
        <v>242414</v>
      </c>
      <c r="AA74" s="4">
        <v>242414</v>
      </c>
      <c r="AB74" s="4">
        <v>242414</v>
      </c>
      <c r="AC74" s="4">
        <v>242414</v>
      </c>
      <c r="AD74" s="4">
        <v>242413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1218870</v>
      </c>
      <c r="AJ74" s="4">
        <v>1461284</v>
      </c>
      <c r="AK74" s="4">
        <v>1703698</v>
      </c>
      <c r="AL74" s="4">
        <v>1946112</v>
      </c>
      <c r="AM74" s="4">
        <v>2188526</v>
      </c>
      <c r="AN74" s="4">
        <v>2430939</v>
      </c>
      <c r="AO74" s="150">
        <v>206587</v>
      </c>
    </row>
    <row r="75" spans="1:41" x14ac:dyDescent="0.2">
      <c r="A75" s="1">
        <v>2024</v>
      </c>
      <c r="B75" s="2" t="s">
        <v>94</v>
      </c>
      <c r="C75" s="2" t="s">
        <v>94</v>
      </c>
      <c r="D75" s="1" t="s">
        <v>447</v>
      </c>
      <c r="E75" s="3">
        <v>5641245</v>
      </c>
      <c r="F75" s="1">
        <v>580</v>
      </c>
      <c r="G75" s="3">
        <v>9765</v>
      </c>
      <c r="H75" s="3">
        <v>16706</v>
      </c>
      <c r="I75" s="1">
        <v>0</v>
      </c>
      <c r="J75" s="3">
        <v>5630900</v>
      </c>
      <c r="K75" s="3">
        <v>5614194</v>
      </c>
      <c r="L75" s="3">
        <v>5614194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4572156</v>
      </c>
      <c r="T75" s="3">
        <v>4572156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560306</v>
      </c>
      <c r="Z75" s="3">
        <v>560306</v>
      </c>
      <c r="AA75" s="4">
        <v>560306</v>
      </c>
      <c r="AB75" s="4">
        <v>560306</v>
      </c>
      <c r="AC75" s="4">
        <v>560306</v>
      </c>
      <c r="AD75" s="4">
        <v>560304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2812666</v>
      </c>
      <c r="AJ75" s="4">
        <v>3372972</v>
      </c>
      <c r="AK75" s="4">
        <v>3933278</v>
      </c>
      <c r="AL75" s="4">
        <v>4493584</v>
      </c>
      <c r="AM75" s="4">
        <v>5053890</v>
      </c>
      <c r="AN75" s="4">
        <v>5614194</v>
      </c>
      <c r="AO75" s="150">
        <v>361012</v>
      </c>
    </row>
    <row r="76" spans="1:41" x14ac:dyDescent="0.2">
      <c r="A76" s="1">
        <v>2024</v>
      </c>
      <c r="B76" s="2" t="s">
        <v>95</v>
      </c>
      <c r="C76" s="2" t="s">
        <v>95</v>
      </c>
      <c r="D76" s="1" t="s">
        <v>448</v>
      </c>
      <c r="E76" s="3">
        <v>2924026</v>
      </c>
      <c r="F76" s="3">
        <v>398</v>
      </c>
      <c r="G76" s="3">
        <v>0</v>
      </c>
      <c r="H76" s="3">
        <v>9570</v>
      </c>
      <c r="I76" s="3">
        <v>0</v>
      </c>
      <c r="J76" s="3">
        <v>2923628</v>
      </c>
      <c r="K76" s="3">
        <v>2914058</v>
      </c>
      <c r="L76" s="3">
        <v>2914058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2286022</v>
      </c>
      <c r="T76" s="3">
        <v>2286022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290768</v>
      </c>
      <c r="Z76" s="3">
        <v>290768</v>
      </c>
      <c r="AA76" s="4">
        <v>290768</v>
      </c>
      <c r="AB76" s="4">
        <v>290768</v>
      </c>
      <c r="AC76" s="4">
        <v>290768</v>
      </c>
      <c r="AD76" s="4">
        <v>290766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1460220</v>
      </c>
      <c r="AJ76" s="4">
        <v>1750988</v>
      </c>
      <c r="AK76" s="4">
        <v>2041756</v>
      </c>
      <c r="AL76" s="4">
        <v>2332524</v>
      </c>
      <c r="AM76" s="4">
        <v>2623292</v>
      </c>
      <c r="AN76" s="4">
        <v>2914058</v>
      </c>
      <c r="AO76" s="150">
        <v>202086</v>
      </c>
    </row>
    <row r="77" spans="1:41" x14ac:dyDescent="0.2">
      <c r="A77" s="1">
        <v>2024</v>
      </c>
      <c r="B77" s="2" t="s">
        <v>96</v>
      </c>
      <c r="C77" s="2" t="s">
        <v>96</v>
      </c>
      <c r="D77" s="1" t="s">
        <v>449</v>
      </c>
      <c r="E77" s="3">
        <v>1810698</v>
      </c>
      <c r="F77" s="3">
        <v>348</v>
      </c>
      <c r="G77" s="3">
        <v>0</v>
      </c>
      <c r="H77" s="3">
        <v>8604</v>
      </c>
      <c r="I77" s="1">
        <v>0</v>
      </c>
      <c r="J77" s="3">
        <v>1810350</v>
      </c>
      <c r="K77" s="3">
        <v>1801746</v>
      </c>
      <c r="L77" s="3">
        <v>1801746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1212339</v>
      </c>
      <c r="T77" s="3">
        <v>1212339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179601</v>
      </c>
      <c r="Z77" s="3">
        <v>179601</v>
      </c>
      <c r="AA77" s="4">
        <v>179601</v>
      </c>
      <c r="AB77" s="4">
        <v>179601</v>
      </c>
      <c r="AC77" s="4">
        <v>179601</v>
      </c>
      <c r="AD77" s="4">
        <v>179601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903741</v>
      </c>
      <c r="AJ77" s="4">
        <v>1083342</v>
      </c>
      <c r="AK77" s="4">
        <v>1262943</v>
      </c>
      <c r="AL77" s="4">
        <v>1442544</v>
      </c>
      <c r="AM77" s="4">
        <v>1622145</v>
      </c>
      <c r="AN77" s="4">
        <v>1801746</v>
      </c>
      <c r="AO77" s="150">
        <v>181101</v>
      </c>
    </row>
    <row r="78" spans="1:41" x14ac:dyDescent="0.2">
      <c r="A78" s="1">
        <v>2024</v>
      </c>
      <c r="B78" s="2" t="s">
        <v>97</v>
      </c>
      <c r="C78" s="2" t="s">
        <v>97</v>
      </c>
      <c r="D78" s="1" t="s">
        <v>450</v>
      </c>
      <c r="E78" s="3">
        <v>76336171</v>
      </c>
      <c r="F78" s="3">
        <v>6816</v>
      </c>
      <c r="G78" s="3">
        <v>4714</v>
      </c>
      <c r="H78" s="3">
        <v>196082</v>
      </c>
      <c r="I78" s="1">
        <v>0</v>
      </c>
      <c r="J78" s="3">
        <v>76324641</v>
      </c>
      <c r="K78" s="3">
        <v>76128559</v>
      </c>
      <c r="L78" s="3">
        <v>76128559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64417471</v>
      </c>
      <c r="T78" s="3">
        <v>64417471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7599784</v>
      </c>
      <c r="Z78" s="3">
        <v>7599784</v>
      </c>
      <c r="AA78" s="4">
        <v>7599784</v>
      </c>
      <c r="AB78" s="4">
        <v>7599784</v>
      </c>
      <c r="AC78" s="4">
        <v>7599784</v>
      </c>
      <c r="AD78" s="4">
        <v>7599783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38129640</v>
      </c>
      <c r="AJ78" s="4">
        <v>45729424</v>
      </c>
      <c r="AK78" s="4">
        <v>53329208</v>
      </c>
      <c r="AL78" s="4">
        <v>60928992</v>
      </c>
      <c r="AM78" s="4">
        <v>68528776</v>
      </c>
      <c r="AN78" s="4">
        <v>76128559</v>
      </c>
      <c r="AO78" s="150">
        <v>4680042</v>
      </c>
    </row>
    <row r="79" spans="1:41" x14ac:dyDescent="0.2">
      <c r="A79" s="1">
        <v>2024</v>
      </c>
      <c r="B79" s="2" t="s">
        <v>98</v>
      </c>
      <c r="C79" s="2" t="s">
        <v>98</v>
      </c>
      <c r="D79" s="1" t="s">
        <v>451</v>
      </c>
      <c r="E79" s="3">
        <v>10317180</v>
      </c>
      <c r="F79" s="3">
        <v>1426</v>
      </c>
      <c r="G79" s="3">
        <v>0</v>
      </c>
      <c r="H79" s="3">
        <v>31458</v>
      </c>
      <c r="I79" s="1">
        <v>0</v>
      </c>
      <c r="J79" s="3">
        <v>10315754</v>
      </c>
      <c r="K79" s="3">
        <v>10284296</v>
      </c>
      <c r="L79" s="3">
        <v>10284296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8290209</v>
      </c>
      <c r="T79" s="3">
        <v>8290209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1026333</v>
      </c>
      <c r="Z79" s="3">
        <v>1026333</v>
      </c>
      <c r="AA79" s="4">
        <v>1026333</v>
      </c>
      <c r="AB79" s="4">
        <v>1026333</v>
      </c>
      <c r="AC79" s="4">
        <v>1026333</v>
      </c>
      <c r="AD79" s="4">
        <v>1026331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5152633</v>
      </c>
      <c r="AJ79" s="4">
        <v>6178966</v>
      </c>
      <c r="AK79" s="4">
        <v>7205299</v>
      </c>
      <c r="AL79" s="4">
        <v>8231632</v>
      </c>
      <c r="AM79" s="4">
        <v>9257965</v>
      </c>
      <c r="AN79" s="4">
        <v>10284296</v>
      </c>
      <c r="AO79" s="150">
        <v>691604</v>
      </c>
    </row>
    <row r="80" spans="1:41" x14ac:dyDescent="0.2">
      <c r="A80" s="1">
        <v>2024</v>
      </c>
      <c r="B80" s="2" t="s">
        <v>99</v>
      </c>
      <c r="C80" s="2" t="s">
        <v>99</v>
      </c>
      <c r="D80" s="1" t="s">
        <v>452</v>
      </c>
      <c r="E80" s="3">
        <v>23739524</v>
      </c>
      <c r="F80" s="3">
        <v>2919</v>
      </c>
      <c r="G80" s="3">
        <v>13805</v>
      </c>
      <c r="H80" s="3">
        <v>78319</v>
      </c>
      <c r="I80" s="1">
        <v>0</v>
      </c>
      <c r="J80" s="3">
        <v>23722800</v>
      </c>
      <c r="K80" s="3">
        <v>23644481</v>
      </c>
      <c r="L80" s="3">
        <v>23644481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19015121</v>
      </c>
      <c r="T80" s="3">
        <v>19015121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2359227</v>
      </c>
      <c r="Z80" s="3">
        <v>2359227</v>
      </c>
      <c r="AA80" s="4">
        <v>2359227</v>
      </c>
      <c r="AB80" s="4">
        <v>2359227</v>
      </c>
      <c r="AC80" s="4">
        <v>2359227</v>
      </c>
      <c r="AD80" s="4">
        <v>2359226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11848347</v>
      </c>
      <c r="AJ80" s="4">
        <v>14207574</v>
      </c>
      <c r="AK80" s="4">
        <v>16566801</v>
      </c>
      <c r="AL80" s="4">
        <v>18926028</v>
      </c>
      <c r="AM80" s="4">
        <v>21285255</v>
      </c>
      <c r="AN80" s="4">
        <v>23644481</v>
      </c>
      <c r="AO80" s="150">
        <v>1757408</v>
      </c>
    </row>
    <row r="81" spans="1:41" x14ac:dyDescent="0.2">
      <c r="A81" s="1">
        <v>2024</v>
      </c>
      <c r="B81" s="2" t="s">
        <v>100</v>
      </c>
      <c r="C81" s="2" t="s">
        <v>100</v>
      </c>
      <c r="D81" s="1" t="s">
        <v>453</v>
      </c>
      <c r="E81" s="3">
        <v>3044016</v>
      </c>
      <c r="F81" s="3">
        <v>597</v>
      </c>
      <c r="G81" s="3">
        <v>0</v>
      </c>
      <c r="H81" s="3">
        <v>9737</v>
      </c>
      <c r="I81" s="1">
        <v>0</v>
      </c>
      <c r="J81" s="3">
        <v>3043419</v>
      </c>
      <c r="K81" s="3">
        <v>3033682</v>
      </c>
      <c r="L81" s="3">
        <v>3033682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2353820</v>
      </c>
      <c r="T81" s="3">
        <v>2353820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302719</v>
      </c>
      <c r="Z81" s="3">
        <v>302719</v>
      </c>
      <c r="AA81" s="4">
        <v>302719</v>
      </c>
      <c r="AB81" s="4">
        <v>302719</v>
      </c>
      <c r="AC81" s="4">
        <v>302719</v>
      </c>
      <c r="AD81" s="4">
        <v>302719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1520087</v>
      </c>
      <c r="AJ81" s="4">
        <v>1822806</v>
      </c>
      <c r="AK81" s="4">
        <v>2125525</v>
      </c>
      <c r="AL81" s="4">
        <v>2428244</v>
      </c>
      <c r="AM81" s="4">
        <v>2730963</v>
      </c>
      <c r="AN81" s="4">
        <v>3033682</v>
      </c>
      <c r="AO81" s="150">
        <v>222284</v>
      </c>
    </row>
    <row r="82" spans="1:41" x14ac:dyDescent="0.2">
      <c r="A82" s="1">
        <v>2024</v>
      </c>
      <c r="B82" s="2" t="s">
        <v>101</v>
      </c>
      <c r="C82" s="2" t="s">
        <v>101</v>
      </c>
      <c r="D82" s="1" t="s">
        <v>454</v>
      </c>
      <c r="E82" s="3">
        <v>107337818</v>
      </c>
      <c r="F82" s="3">
        <v>11178</v>
      </c>
      <c r="G82" s="3">
        <v>3704</v>
      </c>
      <c r="H82" s="3">
        <v>318960</v>
      </c>
      <c r="I82" s="1">
        <v>0</v>
      </c>
      <c r="J82" s="3">
        <v>107322936</v>
      </c>
      <c r="K82" s="3">
        <v>107003976</v>
      </c>
      <c r="L82" s="3">
        <v>107003976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87705881</v>
      </c>
      <c r="T82" s="3">
        <v>87705881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10679133</v>
      </c>
      <c r="Z82" s="3">
        <v>10679133</v>
      </c>
      <c r="AA82" s="4">
        <v>10679134</v>
      </c>
      <c r="AB82" s="4">
        <v>10679134</v>
      </c>
      <c r="AC82" s="4">
        <v>10679134</v>
      </c>
      <c r="AD82" s="4">
        <v>10679132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53608309</v>
      </c>
      <c r="AJ82" s="4">
        <v>64287442</v>
      </c>
      <c r="AK82" s="4">
        <v>74966576</v>
      </c>
      <c r="AL82" s="4">
        <v>85645710</v>
      </c>
      <c r="AM82" s="4">
        <v>96324844</v>
      </c>
      <c r="AN82" s="4">
        <v>107003976</v>
      </c>
      <c r="AO82" s="150">
        <v>7173151</v>
      </c>
    </row>
    <row r="83" spans="1:41" x14ac:dyDescent="0.2">
      <c r="A83" s="1">
        <v>2024</v>
      </c>
      <c r="B83" s="2" t="s">
        <v>102</v>
      </c>
      <c r="C83" s="2" t="s">
        <v>102</v>
      </c>
      <c r="D83" s="1" t="s">
        <v>455</v>
      </c>
      <c r="E83" s="3">
        <v>8052013</v>
      </c>
      <c r="F83" s="3">
        <v>813</v>
      </c>
      <c r="G83" s="3">
        <v>0</v>
      </c>
      <c r="H83" s="3">
        <v>25867</v>
      </c>
      <c r="I83" s="1">
        <v>0</v>
      </c>
      <c r="J83" s="3">
        <v>8051200</v>
      </c>
      <c r="K83" s="3">
        <v>8025333</v>
      </c>
      <c r="L83" s="3">
        <v>8025333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6490090</v>
      </c>
      <c r="T83" s="3">
        <v>6490090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800809</v>
      </c>
      <c r="Z83" s="3">
        <v>800809</v>
      </c>
      <c r="AA83" s="4">
        <v>800809</v>
      </c>
      <c r="AB83" s="4">
        <v>800809</v>
      </c>
      <c r="AC83" s="4">
        <v>800809</v>
      </c>
      <c r="AD83" s="4">
        <v>800808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4021289</v>
      </c>
      <c r="AJ83" s="4">
        <v>4822098</v>
      </c>
      <c r="AK83" s="4">
        <v>5622907</v>
      </c>
      <c r="AL83" s="4">
        <v>6423716</v>
      </c>
      <c r="AM83" s="4">
        <v>7224525</v>
      </c>
      <c r="AN83" s="4">
        <v>8025333</v>
      </c>
      <c r="AO83" s="150">
        <v>546435</v>
      </c>
    </row>
    <row r="84" spans="1:41" x14ac:dyDescent="0.2">
      <c r="A84" s="1">
        <v>2024</v>
      </c>
      <c r="B84" s="2" t="s">
        <v>103</v>
      </c>
      <c r="C84" s="2" t="s">
        <v>103</v>
      </c>
      <c r="D84" s="1" t="s">
        <v>456</v>
      </c>
      <c r="E84" s="3">
        <v>9056209</v>
      </c>
      <c r="F84" s="3">
        <v>1609</v>
      </c>
      <c r="G84" s="3">
        <v>0</v>
      </c>
      <c r="H84" s="3">
        <v>34286</v>
      </c>
      <c r="I84" s="1">
        <v>0</v>
      </c>
      <c r="J84" s="3">
        <v>9054600</v>
      </c>
      <c r="K84" s="3">
        <v>9020314</v>
      </c>
      <c r="L84" s="3">
        <v>9020314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6863011</v>
      </c>
      <c r="T84" s="3">
        <v>6863011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899746</v>
      </c>
      <c r="Z84" s="3">
        <v>899746</v>
      </c>
      <c r="AA84" s="4">
        <v>899746</v>
      </c>
      <c r="AB84" s="4">
        <v>899746</v>
      </c>
      <c r="AC84" s="4">
        <v>899746</v>
      </c>
      <c r="AD84" s="4">
        <v>899744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4521586</v>
      </c>
      <c r="AJ84" s="4">
        <v>5421332</v>
      </c>
      <c r="AK84" s="4">
        <v>6321078</v>
      </c>
      <c r="AL84" s="4">
        <v>7220824</v>
      </c>
      <c r="AM84" s="4">
        <v>8120570</v>
      </c>
      <c r="AN84" s="4">
        <v>9020314</v>
      </c>
      <c r="AO84" s="150">
        <v>754266</v>
      </c>
    </row>
    <row r="85" spans="1:41" x14ac:dyDescent="0.2">
      <c r="A85" s="1">
        <v>2024</v>
      </c>
      <c r="B85" s="2" t="s">
        <v>104</v>
      </c>
      <c r="C85" s="2" t="s">
        <v>104</v>
      </c>
      <c r="D85" s="1" t="s">
        <v>457</v>
      </c>
      <c r="E85" s="3">
        <v>1381940</v>
      </c>
      <c r="F85" s="3">
        <v>216</v>
      </c>
      <c r="G85" s="3">
        <v>0</v>
      </c>
      <c r="H85" s="3">
        <v>4504</v>
      </c>
      <c r="I85" s="3">
        <v>0</v>
      </c>
      <c r="J85" s="3">
        <v>1381724</v>
      </c>
      <c r="K85" s="3">
        <v>1377220</v>
      </c>
      <c r="L85" s="3">
        <v>1377220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1110684</v>
      </c>
      <c r="T85" s="3">
        <v>1110684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137422</v>
      </c>
      <c r="Z85" s="3">
        <v>137422</v>
      </c>
      <c r="AA85" s="4">
        <v>137422</v>
      </c>
      <c r="AB85" s="4">
        <v>137422</v>
      </c>
      <c r="AC85" s="4">
        <v>137422</v>
      </c>
      <c r="AD85" s="4">
        <v>137422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690110</v>
      </c>
      <c r="AJ85" s="4">
        <v>827532</v>
      </c>
      <c r="AK85" s="4">
        <v>964954</v>
      </c>
      <c r="AL85" s="4">
        <v>1102376</v>
      </c>
      <c r="AM85" s="4">
        <v>1239798</v>
      </c>
      <c r="AN85" s="4">
        <v>1377220</v>
      </c>
      <c r="AO85" s="150">
        <v>92353</v>
      </c>
    </row>
    <row r="86" spans="1:41" x14ac:dyDescent="0.2">
      <c r="A86" s="1">
        <v>2024</v>
      </c>
      <c r="B86" s="2" t="s">
        <v>105</v>
      </c>
      <c r="C86" s="2" t="s">
        <v>105</v>
      </c>
      <c r="D86" s="1" t="s">
        <v>458</v>
      </c>
      <c r="E86" s="3">
        <v>17484664</v>
      </c>
      <c r="F86" s="3">
        <v>1576</v>
      </c>
      <c r="G86" s="3">
        <v>0</v>
      </c>
      <c r="H86" s="3">
        <v>45629</v>
      </c>
      <c r="I86" s="3">
        <v>0</v>
      </c>
      <c r="J86" s="3">
        <v>17483088</v>
      </c>
      <c r="K86" s="3">
        <v>17437459</v>
      </c>
      <c r="L86" s="3">
        <v>17437459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14735976</v>
      </c>
      <c r="T86" s="3">
        <v>14735976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1740704</v>
      </c>
      <c r="Z86" s="3">
        <v>1740704</v>
      </c>
      <c r="AA86" s="4">
        <v>1740704</v>
      </c>
      <c r="AB86" s="4">
        <v>1740704</v>
      </c>
      <c r="AC86" s="4">
        <v>1740704</v>
      </c>
      <c r="AD86" s="4">
        <v>1740703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8733940</v>
      </c>
      <c r="AJ86" s="4">
        <v>10474644</v>
      </c>
      <c r="AK86" s="4">
        <v>12215348</v>
      </c>
      <c r="AL86" s="4">
        <v>13956052</v>
      </c>
      <c r="AM86" s="4">
        <v>15696756</v>
      </c>
      <c r="AN86" s="4">
        <v>17437459</v>
      </c>
      <c r="AO86" s="150">
        <v>1061624</v>
      </c>
    </row>
    <row r="87" spans="1:41" x14ac:dyDescent="0.2">
      <c r="A87" s="1">
        <v>2024</v>
      </c>
      <c r="B87" s="2" t="s">
        <v>106</v>
      </c>
      <c r="C87" s="2" t="s">
        <v>106</v>
      </c>
      <c r="D87" s="1" t="s">
        <v>459</v>
      </c>
      <c r="E87" s="3">
        <v>6447632</v>
      </c>
      <c r="F87" s="1">
        <v>929</v>
      </c>
      <c r="G87" s="1">
        <v>0</v>
      </c>
      <c r="H87" s="3">
        <v>19431</v>
      </c>
      <c r="I87" s="3">
        <v>0</v>
      </c>
      <c r="J87" s="3">
        <v>6446703</v>
      </c>
      <c r="K87" s="3">
        <v>6427272</v>
      </c>
      <c r="L87" s="3">
        <v>6427272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5217736</v>
      </c>
      <c r="T87" s="3">
        <v>5217736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641432</v>
      </c>
      <c r="Z87" s="3">
        <v>641432</v>
      </c>
      <c r="AA87" s="4">
        <v>641432</v>
      </c>
      <c r="AB87" s="4">
        <v>641432</v>
      </c>
      <c r="AC87" s="4">
        <v>641432</v>
      </c>
      <c r="AD87" s="4">
        <v>641432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3220112</v>
      </c>
      <c r="AJ87" s="4">
        <v>3861544</v>
      </c>
      <c r="AK87" s="4">
        <v>4502976</v>
      </c>
      <c r="AL87" s="4">
        <v>5144408</v>
      </c>
      <c r="AM87" s="4">
        <v>5785840</v>
      </c>
      <c r="AN87" s="4">
        <v>6427272</v>
      </c>
      <c r="AO87" s="150">
        <v>435265</v>
      </c>
    </row>
    <row r="88" spans="1:41" x14ac:dyDescent="0.2">
      <c r="A88" s="1">
        <v>2024</v>
      </c>
      <c r="B88" s="2" t="s">
        <v>107</v>
      </c>
      <c r="C88" s="2" t="s">
        <v>107</v>
      </c>
      <c r="D88" s="1" t="s">
        <v>460</v>
      </c>
      <c r="E88" s="3">
        <v>262773870</v>
      </c>
      <c r="F88" s="3">
        <v>23451</v>
      </c>
      <c r="G88" s="3">
        <v>118818</v>
      </c>
      <c r="H88" s="3">
        <v>692975</v>
      </c>
      <c r="I88" s="3">
        <v>0</v>
      </c>
      <c r="J88" s="3">
        <v>262631601</v>
      </c>
      <c r="K88" s="3">
        <v>261938626</v>
      </c>
      <c r="L88" s="3">
        <v>261938626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218526362</v>
      </c>
      <c r="T88" s="3">
        <v>218526362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26147664</v>
      </c>
      <c r="Z88" s="3">
        <v>26147664</v>
      </c>
      <c r="AA88" s="4">
        <v>26147665</v>
      </c>
      <c r="AB88" s="4">
        <v>26147665</v>
      </c>
      <c r="AC88" s="4">
        <v>26147665</v>
      </c>
      <c r="AD88" s="4">
        <v>26147663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131200304</v>
      </c>
      <c r="AJ88" s="4">
        <v>157347968</v>
      </c>
      <c r="AK88" s="4">
        <v>183495633</v>
      </c>
      <c r="AL88" s="4">
        <v>209643298</v>
      </c>
      <c r="AM88" s="4">
        <v>235790963</v>
      </c>
      <c r="AN88" s="4">
        <v>261938626</v>
      </c>
      <c r="AO88" s="150">
        <v>15358170</v>
      </c>
    </row>
    <row r="89" spans="1:41" x14ac:dyDescent="0.2">
      <c r="A89" s="1">
        <v>2024</v>
      </c>
      <c r="B89" s="2" t="s">
        <v>108</v>
      </c>
      <c r="C89" s="2" t="s">
        <v>108</v>
      </c>
      <c r="D89" s="1" t="s">
        <v>461</v>
      </c>
      <c r="E89" s="3">
        <v>894440</v>
      </c>
      <c r="F89" s="3">
        <v>116</v>
      </c>
      <c r="G89" s="3">
        <v>0</v>
      </c>
      <c r="H89" s="3">
        <v>2522</v>
      </c>
      <c r="I89" s="1">
        <v>0</v>
      </c>
      <c r="J89" s="3">
        <v>894324</v>
      </c>
      <c r="K89" s="3">
        <v>891802</v>
      </c>
      <c r="L89" s="3">
        <v>891802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696928</v>
      </c>
      <c r="T89" s="3">
        <v>696928</v>
      </c>
      <c r="U89" s="3">
        <v>89432</v>
      </c>
      <c r="V89" s="3">
        <v>89432</v>
      </c>
      <c r="W89" s="3">
        <v>89432</v>
      </c>
      <c r="X89" s="3">
        <v>89432</v>
      </c>
      <c r="Y89" s="3">
        <v>89012</v>
      </c>
      <c r="Z89" s="3">
        <v>89012</v>
      </c>
      <c r="AA89" s="4">
        <v>89013</v>
      </c>
      <c r="AB89" s="4">
        <v>89013</v>
      </c>
      <c r="AC89" s="4">
        <v>89013</v>
      </c>
      <c r="AD89" s="4">
        <v>89011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446740</v>
      </c>
      <c r="AJ89" s="4">
        <v>535752</v>
      </c>
      <c r="AK89" s="4">
        <v>624765</v>
      </c>
      <c r="AL89" s="4">
        <v>713778</v>
      </c>
      <c r="AM89" s="4">
        <v>802791</v>
      </c>
      <c r="AN89" s="4">
        <v>891802</v>
      </c>
      <c r="AO89" s="150">
        <v>53098</v>
      </c>
    </row>
    <row r="90" spans="1:41" x14ac:dyDescent="0.2">
      <c r="A90" s="1">
        <v>2024</v>
      </c>
      <c r="B90" s="2" t="s">
        <v>109</v>
      </c>
      <c r="C90" s="2" t="s">
        <v>109</v>
      </c>
      <c r="D90" s="1" t="s">
        <v>462</v>
      </c>
      <c r="E90" s="3">
        <v>6263108</v>
      </c>
      <c r="F90" s="3">
        <v>580</v>
      </c>
      <c r="G90" s="3">
        <v>0</v>
      </c>
      <c r="H90" s="3">
        <v>19731</v>
      </c>
      <c r="I90" s="3">
        <v>0</v>
      </c>
      <c r="J90" s="3">
        <v>6262528</v>
      </c>
      <c r="K90" s="3">
        <v>6242797</v>
      </c>
      <c r="L90" s="3">
        <v>6242797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5069565</v>
      </c>
      <c r="T90" s="3">
        <v>5069565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622964</v>
      </c>
      <c r="Z90" s="3">
        <v>622964</v>
      </c>
      <c r="AA90" s="4">
        <v>622964</v>
      </c>
      <c r="AB90" s="4">
        <v>622964</v>
      </c>
      <c r="AC90" s="4">
        <v>622964</v>
      </c>
      <c r="AD90" s="4">
        <v>622965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3127976</v>
      </c>
      <c r="AJ90" s="4">
        <v>3750940</v>
      </c>
      <c r="AK90" s="4">
        <v>4373904</v>
      </c>
      <c r="AL90" s="4">
        <v>4996868</v>
      </c>
      <c r="AM90" s="4">
        <v>5619832</v>
      </c>
      <c r="AN90" s="4">
        <v>6242797</v>
      </c>
      <c r="AO90" s="150">
        <v>448938</v>
      </c>
    </row>
    <row r="91" spans="1:41" x14ac:dyDescent="0.2">
      <c r="A91" s="1">
        <v>2024</v>
      </c>
      <c r="B91" s="2" t="s">
        <v>110</v>
      </c>
      <c r="C91" s="2" t="s">
        <v>110</v>
      </c>
      <c r="D91" s="1" t="s">
        <v>463</v>
      </c>
      <c r="E91" s="3">
        <v>75393058</v>
      </c>
      <c r="F91" s="3">
        <v>11046</v>
      </c>
      <c r="G91" s="3">
        <v>0</v>
      </c>
      <c r="H91" s="3">
        <v>226626</v>
      </c>
      <c r="I91" s="1">
        <v>0</v>
      </c>
      <c r="J91" s="3">
        <v>75382012</v>
      </c>
      <c r="K91" s="3">
        <v>75155386</v>
      </c>
      <c r="L91" s="3">
        <v>75155386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60512520</v>
      </c>
      <c r="T91" s="3">
        <v>60512520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7500430</v>
      </c>
      <c r="Z91" s="3">
        <v>7500430</v>
      </c>
      <c r="AA91" s="4">
        <v>7500431</v>
      </c>
      <c r="AB91" s="4">
        <v>7500431</v>
      </c>
      <c r="AC91" s="4">
        <v>7500431</v>
      </c>
      <c r="AD91" s="4">
        <v>7500429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37653234</v>
      </c>
      <c r="AJ91" s="4">
        <v>45153664</v>
      </c>
      <c r="AK91" s="4">
        <v>52654095</v>
      </c>
      <c r="AL91" s="4">
        <v>60154526</v>
      </c>
      <c r="AM91" s="4">
        <v>67654957</v>
      </c>
      <c r="AN91" s="4">
        <v>75155386</v>
      </c>
      <c r="AO91" s="150">
        <v>5524824</v>
      </c>
    </row>
    <row r="92" spans="1:41" x14ac:dyDescent="0.2">
      <c r="A92" s="1">
        <v>2024</v>
      </c>
      <c r="B92" s="2" t="s">
        <v>111</v>
      </c>
      <c r="C92" s="2" t="s">
        <v>111</v>
      </c>
      <c r="D92" s="1" t="s">
        <v>464</v>
      </c>
      <c r="E92" s="3">
        <v>2546964</v>
      </c>
      <c r="F92" s="1">
        <v>299</v>
      </c>
      <c r="G92" s="1">
        <v>0</v>
      </c>
      <c r="H92" s="3">
        <v>8244</v>
      </c>
      <c r="I92" s="1">
        <v>0</v>
      </c>
      <c r="J92" s="3">
        <v>2546665</v>
      </c>
      <c r="K92" s="3">
        <v>2538421</v>
      </c>
      <c r="L92" s="3">
        <v>2538421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2024902</v>
      </c>
      <c r="T92" s="3">
        <v>2024902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253292</v>
      </c>
      <c r="Z92" s="3">
        <v>253292</v>
      </c>
      <c r="AA92" s="4">
        <v>253292</v>
      </c>
      <c r="AB92" s="4">
        <v>253292</v>
      </c>
      <c r="AC92" s="4">
        <v>253292</v>
      </c>
      <c r="AD92" s="4">
        <v>253293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1271960</v>
      </c>
      <c r="AJ92" s="4">
        <v>1525252</v>
      </c>
      <c r="AK92" s="4">
        <v>1778544</v>
      </c>
      <c r="AL92" s="4">
        <v>2031836</v>
      </c>
      <c r="AM92" s="4">
        <v>2285128</v>
      </c>
      <c r="AN92" s="4">
        <v>2538421</v>
      </c>
      <c r="AO92" s="150">
        <v>193721</v>
      </c>
    </row>
    <row r="93" spans="1:41" x14ac:dyDescent="0.2">
      <c r="A93" s="1">
        <v>2024</v>
      </c>
      <c r="B93" s="2" t="s">
        <v>112</v>
      </c>
      <c r="C93" s="2" t="s">
        <v>112</v>
      </c>
      <c r="D93" s="1" t="s">
        <v>465</v>
      </c>
      <c r="E93" s="3">
        <v>2102401</v>
      </c>
      <c r="F93" s="3">
        <v>481</v>
      </c>
      <c r="G93" s="3">
        <v>0</v>
      </c>
      <c r="H93" s="3">
        <v>8539</v>
      </c>
      <c r="I93" s="3">
        <v>0</v>
      </c>
      <c r="J93" s="3">
        <v>2101920</v>
      </c>
      <c r="K93" s="3">
        <v>2093381</v>
      </c>
      <c r="L93" s="3">
        <v>2093381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1494610</v>
      </c>
      <c r="T93" s="3">
        <v>1494610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208769</v>
      </c>
      <c r="Z93" s="3">
        <v>208769</v>
      </c>
      <c r="AA93" s="4">
        <v>208769</v>
      </c>
      <c r="AB93" s="4">
        <v>208769</v>
      </c>
      <c r="AC93" s="4">
        <v>208769</v>
      </c>
      <c r="AD93" s="4">
        <v>208768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1049537</v>
      </c>
      <c r="AJ93" s="4">
        <v>1258306</v>
      </c>
      <c r="AK93" s="4">
        <v>1467075</v>
      </c>
      <c r="AL93" s="4">
        <v>1675844</v>
      </c>
      <c r="AM93" s="4">
        <v>1884613</v>
      </c>
      <c r="AN93" s="4">
        <v>2093381</v>
      </c>
      <c r="AO93" s="150">
        <v>176217</v>
      </c>
    </row>
    <row r="94" spans="1:41" x14ac:dyDescent="0.2">
      <c r="A94" s="1">
        <v>2024</v>
      </c>
      <c r="B94" s="2" t="s">
        <v>113</v>
      </c>
      <c r="C94" s="2" t="s">
        <v>113</v>
      </c>
      <c r="D94" s="1" t="s">
        <v>466</v>
      </c>
      <c r="E94" s="3">
        <v>3275315</v>
      </c>
      <c r="F94" s="1">
        <v>597</v>
      </c>
      <c r="G94" s="1">
        <v>0</v>
      </c>
      <c r="H94" s="3">
        <v>11338</v>
      </c>
      <c r="I94" s="1">
        <v>0</v>
      </c>
      <c r="J94" s="3">
        <v>3274718</v>
      </c>
      <c r="K94" s="3">
        <v>3263380</v>
      </c>
      <c r="L94" s="3">
        <v>3263380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2463274</v>
      </c>
      <c r="T94" s="3">
        <v>2463274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325582</v>
      </c>
      <c r="Z94" s="3">
        <v>325582</v>
      </c>
      <c r="AA94" s="4">
        <v>325582</v>
      </c>
      <c r="AB94" s="4">
        <v>325582</v>
      </c>
      <c r="AC94" s="4">
        <v>325582</v>
      </c>
      <c r="AD94" s="4">
        <v>325582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1635470</v>
      </c>
      <c r="AJ94" s="4">
        <v>1961052</v>
      </c>
      <c r="AK94" s="4">
        <v>2286634</v>
      </c>
      <c r="AL94" s="4">
        <v>2612216</v>
      </c>
      <c r="AM94" s="4">
        <v>2937798</v>
      </c>
      <c r="AN94" s="4">
        <v>3263380</v>
      </c>
      <c r="AO94" s="150">
        <v>242896</v>
      </c>
    </row>
    <row r="95" spans="1:41" x14ac:dyDescent="0.2">
      <c r="A95" s="1">
        <v>2024</v>
      </c>
      <c r="B95" s="2" t="s">
        <v>114</v>
      </c>
      <c r="C95" s="2" t="s">
        <v>695</v>
      </c>
      <c r="D95" s="1" t="s">
        <v>467</v>
      </c>
      <c r="E95" s="3">
        <v>6471136</v>
      </c>
      <c r="F95" s="3">
        <v>746</v>
      </c>
      <c r="G95" s="3">
        <v>0</v>
      </c>
      <c r="H95" s="3">
        <v>21741</v>
      </c>
      <c r="I95" s="1">
        <v>0</v>
      </c>
      <c r="J95" s="3">
        <v>6470390</v>
      </c>
      <c r="K95" s="3">
        <v>6448649</v>
      </c>
      <c r="L95" s="3">
        <v>6448649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5143068</v>
      </c>
      <c r="T95" s="3">
        <v>5143068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643416</v>
      </c>
      <c r="Z95" s="3">
        <v>643416</v>
      </c>
      <c r="AA95" s="4">
        <v>643415</v>
      </c>
      <c r="AB95" s="4">
        <v>643415</v>
      </c>
      <c r="AC95" s="4">
        <v>643415</v>
      </c>
      <c r="AD95" s="4">
        <v>643416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3231572</v>
      </c>
      <c r="AJ95" s="4">
        <v>3874988</v>
      </c>
      <c r="AK95" s="4">
        <v>4518403</v>
      </c>
      <c r="AL95" s="4">
        <v>5161818</v>
      </c>
      <c r="AM95" s="4">
        <v>5805233</v>
      </c>
      <c r="AN95" s="4">
        <v>6448649</v>
      </c>
      <c r="AO95" s="150">
        <v>502690</v>
      </c>
    </row>
    <row r="96" spans="1:41" x14ac:dyDescent="0.2">
      <c r="A96" s="1">
        <v>2024</v>
      </c>
      <c r="B96" s="2" t="s">
        <v>115</v>
      </c>
      <c r="C96" s="2" t="s">
        <v>115</v>
      </c>
      <c r="D96" s="1" t="s">
        <v>468</v>
      </c>
      <c r="E96" s="3">
        <v>7492841</v>
      </c>
      <c r="F96" s="3">
        <v>829</v>
      </c>
      <c r="G96" s="3">
        <v>10775</v>
      </c>
      <c r="H96" s="3">
        <v>21437</v>
      </c>
      <c r="I96" s="1">
        <v>0</v>
      </c>
      <c r="J96" s="3">
        <v>7481237</v>
      </c>
      <c r="K96" s="3">
        <v>7459800</v>
      </c>
      <c r="L96" s="3">
        <v>7459800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6132856</v>
      </c>
      <c r="T96" s="3">
        <v>6132856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744551</v>
      </c>
      <c r="Z96" s="3">
        <v>744551</v>
      </c>
      <c r="AA96" s="4">
        <v>744551</v>
      </c>
      <c r="AB96" s="4">
        <v>744551</v>
      </c>
      <c r="AC96" s="4">
        <v>744551</v>
      </c>
      <c r="AD96" s="4">
        <v>744549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3737047</v>
      </c>
      <c r="AJ96" s="4">
        <v>4481598</v>
      </c>
      <c r="AK96" s="4">
        <v>5226149</v>
      </c>
      <c r="AL96" s="4">
        <v>5970700</v>
      </c>
      <c r="AM96" s="4">
        <v>6715251</v>
      </c>
      <c r="AN96" s="4">
        <v>7459800</v>
      </c>
      <c r="AO96" s="150">
        <v>482462</v>
      </c>
    </row>
    <row r="97" spans="1:41" x14ac:dyDescent="0.2">
      <c r="A97" s="1">
        <v>2024</v>
      </c>
      <c r="B97" s="2" t="s">
        <v>116</v>
      </c>
      <c r="C97" s="2" t="s">
        <v>116</v>
      </c>
      <c r="D97" s="1" t="s">
        <v>469</v>
      </c>
      <c r="E97" s="3">
        <v>3746572</v>
      </c>
      <c r="F97" s="1">
        <v>580</v>
      </c>
      <c r="G97" s="1">
        <v>0</v>
      </c>
      <c r="H97" s="3">
        <v>12662</v>
      </c>
      <c r="I97" s="1">
        <v>0</v>
      </c>
      <c r="J97" s="3">
        <v>3745992</v>
      </c>
      <c r="K97" s="3">
        <v>3733330</v>
      </c>
      <c r="L97" s="3">
        <v>3733330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2918571</v>
      </c>
      <c r="T97" s="3">
        <v>2918571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372489</v>
      </c>
      <c r="Z97" s="3">
        <v>372489</v>
      </c>
      <c r="AA97" s="4">
        <v>372489</v>
      </c>
      <c r="AB97" s="4">
        <v>372489</v>
      </c>
      <c r="AC97" s="4">
        <v>372489</v>
      </c>
      <c r="AD97" s="4">
        <v>372489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1870885</v>
      </c>
      <c r="AJ97" s="4">
        <v>2243374</v>
      </c>
      <c r="AK97" s="4">
        <v>2615863</v>
      </c>
      <c r="AL97" s="4">
        <v>2988352</v>
      </c>
      <c r="AM97" s="4">
        <v>3360841</v>
      </c>
      <c r="AN97" s="4">
        <v>3733330</v>
      </c>
      <c r="AO97" s="150">
        <v>259469</v>
      </c>
    </row>
    <row r="98" spans="1:41" x14ac:dyDescent="0.2">
      <c r="A98" s="1">
        <v>2024</v>
      </c>
      <c r="B98" s="2" t="s">
        <v>117</v>
      </c>
      <c r="C98" s="2" t="s">
        <v>117</v>
      </c>
      <c r="D98" s="1" t="s">
        <v>470</v>
      </c>
      <c r="E98" s="3">
        <v>3873317</v>
      </c>
      <c r="F98" s="1">
        <v>547</v>
      </c>
      <c r="G98" s="1">
        <v>0</v>
      </c>
      <c r="H98" s="3">
        <v>12203</v>
      </c>
      <c r="I98" s="1">
        <v>0</v>
      </c>
      <c r="J98" s="3">
        <v>3872770</v>
      </c>
      <c r="K98" s="3">
        <v>3860567</v>
      </c>
      <c r="L98" s="3">
        <v>3860567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3068020</v>
      </c>
      <c r="T98" s="3">
        <v>3068020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385243</v>
      </c>
      <c r="Z98" s="3">
        <v>385243</v>
      </c>
      <c r="AA98" s="4">
        <v>385243</v>
      </c>
      <c r="AB98" s="4">
        <v>385243</v>
      </c>
      <c r="AC98" s="4">
        <v>385243</v>
      </c>
      <c r="AD98" s="4">
        <v>385244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1934351</v>
      </c>
      <c r="AJ98" s="4">
        <v>2319594</v>
      </c>
      <c r="AK98" s="4">
        <v>2704837</v>
      </c>
      <c r="AL98" s="4">
        <v>3090080</v>
      </c>
      <c r="AM98" s="4">
        <v>3475323</v>
      </c>
      <c r="AN98" s="4">
        <v>3860567</v>
      </c>
      <c r="AO98" s="150">
        <v>278919</v>
      </c>
    </row>
    <row r="99" spans="1:41" x14ac:dyDescent="0.2">
      <c r="A99" s="1">
        <v>2024</v>
      </c>
      <c r="B99" s="2" t="s">
        <v>118</v>
      </c>
      <c r="C99" s="2" t="s">
        <v>118</v>
      </c>
      <c r="D99" s="1" t="s">
        <v>471</v>
      </c>
      <c r="E99" s="3">
        <v>3956289</v>
      </c>
      <c r="F99" s="1">
        <v>647</v>
      </c>
      <c r="G99" s="1">
        <v>0</v>
      </c>
      <c r="H99" s="3">
        <v>12376</v>
      </c>
      <c r="I99" s="1">
        <v>0</v>
      </c>
      <c r="J99" s="3">
        <v>3955642</v>
      </c>
      <c r="K99" s="3">
        <v>3943266</v>
      </c>
      <c r="L99" s="3">
        <v>3943266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3147919</v>
      </c>
      <c r="T99" s="3">
        <v>3147919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393502</v>
      </c>
      <c r="Z99" s="3">
        <v>393502</v>
      </c>
      <c r="AA99" s="4">
        <v>393502</v>
      </c>
      <c r="AB99" s="4">
        <v>393502</v>
      </c>
      <c r="AC99" s="4">
        <v>393502</v>
      </c>
      <c r="AD99" s="4">
        <v>393500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1975758</v>
      </c>
      <c r="AJ99" s="4">
        <v>2369260</v>
      </c>
      <c r="AK99" s="4">
        <v>2762762</v>
      </c>
      <c r="AL99" s="4">
        <v>3156264</v>
      </c>
      <c r="AM99" s="4">
        <v>3549766</v>
      </c>
      <c r="AN99" s="4">
        <v>3943266</v>
      </c>
      <c r="AO99" s="150">
        <v>269447</v>
      </c>
    </row>
    <row r="100" spans="1:41" x14ac:dyDescent="0.2">
      <c r="A100" s="1">
        <v>2024</v>
      </c>
      <c r="B100" s="2" t="s">
        <v>119</v>
      </c>
      <c r="C100" s="2" t="s">
        <v>119</v>
      </c>
      <c r="D100" s="1" t="s">
        <v>472</v>
      </c>
      <c r="E100" s="3">
        <v>3677558</v>
      </c>
      <c r="F100" s="1">
        <v>531</v>
      </c>
      <c r="G100" s="1">
        <v>0</v>
      </c>
      <c r="H100" s="3">
        <v>10640</v>
      </c>
      <c r="I100" s="1">
        <v>0</v>
      </c>
      <c r="J100" s="3">
        <v>3677027</v>
      </c>
      <c r="K100" s="3">
        <v>3666387</v>
      </c>
      <c r="L100" s="3">
        <v>3666387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2980980</v>
      </c>
      <c r="T100" s="3">
        <v>2980980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365929</v>
      </c>
      <c r="Z100" s="3">
        <v>365929</v>
      </c>
      <c r="AA100" s="4">
        <v>365929</v>
      </c>
      <c r="AB100" s="4">
        <v>365929</v>
      </c>
      <c r="AC100" s="4">
        <v>365929</v>
      </c>
      <c r="AD100" s="4">
        <v>365930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1836741</v>
      </c>
      <c r="AJ100" s="4">
        <v>2202670</v>
      </c>
      <c r="AK100" s="4">
        <v>2568599</v>
      </c>
      <c r="AL100" s="4">
        <v>2934528</v>
      </c>
      <c r="AM100" s="4">
        <v>3300457</v>
      </c>
      <c r="AN100" s="4">
        <v>3666387</v>
      </c>
      <c r="AO100" s="150">
        <v>230938</v>
      </c>
    </row>
    <row r="101" spans="1:41" x14ac:dyDescent="0.2">
      <c r="A101" s="1">
        <v>2024</v>
      </c>
      <c r="B101" s="2" t="s">
        <v>120</v>
      </c>
      <c r="C101" s="2" t="s">
        <v>120</v>
      </c>
      <c r="D101" s="1" t="s">
        <v>473</v>
      </c>
      <c r="E101" s="3">
        <v>1952122</v>
      </c>
      <c r="F101" s="3">
        <v>249</v>
      </c>
      <c r="G101" s="3">
        <v>0</v>
      </c>
      <c r="H101" s="3">
        <v>7460</v>
      </c>
      <c r="I101" s="1">
        <v>0</v>
      </c>
      <c r="J101" s="3">
        <v>1951873</v>
      </c>
      <c r="K101" s="3">
        <v>1944413</v>
      </c>
      <c r="L101" s="3">
        <v>1944413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1472412</v>
      </c>
      <c r="T101" s="3">
        <v>1472412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193944</v>
      </c>
      <c r="Z101" s="3">
        <v>193944</v>
      </c>
      <c r="AA101" s="4">
        <v>193944</v>
      </c>
      <c r="AB101" s="4">
        <v>193944</v>
      </c>
      <c r="AC101" s="4">
        <v>193944</v>
      </c>
      <c r="AD101" s="4">
        <v>193945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974692</v>
      </c>
      <c r="AJ101" s="4">
        <v>1168636</v>
      </c>
      <c r="AK101" s="4">
        <v>1362580</v>
      </c>
      <c r="AL101" s="4">
        <v>1556524</v>
      </c>
      <c r="AM101" s="4">
        <v>1750468</v>
      </c>
      <c r="AN101" s="4">
        <v>1944413</v>
      </c>
      <c r="AO101" s="150">
        <v>159391</v>
      </c>
    </row>
    <row r="102" spans="1:41" x14ac:dyDescent="0.2">
      <c r="A102" s="1">
        <v>2024</v>
      </c>
      <c r="B102" s="2" t="s">
        <v>121</v>
      </c>
      <c r="C102" s="2" t="s">
        <v>121</v>
      </c>
      <c r="D102" s="1" t="s">
        <v>474</v>
      </c>
      <c r="E102" s="3">
        <v>2222748</v>
      </c>
      <c r="F102" s="1">
        <v>332</v>
      </c>
      <c r="G102" s="1">
        <v>0</v>
      </c>
      <c r="H102" s="3">
        <v>8386</v>
      </c>
      <c r="I102" s="3">
        <v>0</v>
      </c>
      <c r="J102" s="3">
        <v>2222416</v>
      </c>
      <c r="K102" s="3">
        <v>2214030</v>
      </c>
      <c r="L102" s="3">
        <v>2214030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1676839</v>
      </c>
      <c r="T102" s="3">
        <v>1676839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220844</v>
      </c>
      <c r="Z102" s="3">
        <v>220844</v>
      </c>
      <c r="AA102" s="4">
        <v>220844</v>
      </c>
      <c r="AB102" s="4">
        <v>220844</v>
      </c>
      <c r="AC102" s="4">
        <v>220844</v>
      </c>
      <c r="AD102" s="4">
        <v>220842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1109812</v>
      </c>
      <c r="AJ102" s="4">
        <v>1330656</v>
      </c>
      <c r="AK102" s="4">
        <v>1551500</v>
      </c>
      <c r="AL102" s="4">
        <v>1772344</v>
      </c>
      <c r="AM102" s="4">
        <v>1993188</v>
      </c>
      <c r="AN102" s="4">
        <v>2214030</v>
      </c>
      <c r="AO102" s="150">
        <v>183455</v>
      </c>
    </row>
    <row r="103" spans="1:41" x14ac:dyDescent="0.2">
      <c r="A103" s="1">
        <v>2024</v>
      </c>
      <c r="B103" s="2" t="s">
        <v>122</v>
      </c>
      <c r="C103" s="2" t="s">
        <v>122</v>
      </c>
      <c r="D103" s="1" t="s">
        <v>475</v>
      </c>
      <c r="E103" s="3">
        <v>2612113</v>
      </c>
      <c r="F103" s="1">
        <v>597</v>
      </c>
      <c r="G103" s="1">
        <v>0</v>
      </c>
      <c r="H103" s="3">
        <v>9030</v>
      </c>
      <c r="I103" s="3">
        <v>0</v>
      </c>
      <c r="J103" s="3">
        <v>2611516</v>
      </c>
      <c r="K103" s="3">
        <v>2602486</v>
      </c>
      <c r="L103" s="3">
        <v>2602486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1966641</v>
      </c>
      <c r="T103" s="3">
        <v>1966641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259646</v>
      </c>
      <c r="Z103" s="3">
        <v>259646</v>
      </c>
      <c r="AA103" s="4">
        <v>259647</v>
      </c>
      <c r="AB103" s="4">
        <v>259647</v>
      </c>
      <c r="AC103" s="4">
        <v>259647</v>
      </c>
      <c r="AD103" s="4">
        <v>259645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1304254</v>
      </c>
      <c r="AJ103" s="4">
        <v>1563900</v>
      </c>
      <c r="AK103" s="4">
        <v>1823547</v>
      </c>
      <c r="AL103" s="4">
        <v>2083194</v>
      </c>
      <c r="AM103" s="4">
        <v>2342841</v>
      </c>
      <c r="AN103" s="4">
        <v>2602486</v>
      </c>
      <c r="AO103" s="150">
        <v>185881</v>
      </c>
    </row>
    <row r="104" spans="1:41" x14ac:dyDescent="0.2">
      <c r="A104" s="1">
        <v>2024</v>
      </c>
      <c r="B104" s="2" t="s">
        <v>123</v>
      </c>
      <c r="C104" s="2" t="s">
        <v>123</v>
      </c>
      <c r="D104" s="1" t="s">
        <v>476</v>
      </c>
      <c r="E104" s="3">
        <v>4289416</v>
      </c>
      <c r="F104" s="1">
        <v>663</v>
      </c>
      <c r="G104" s="1">
        <v>0</v>
      </c>
      <c r="H104" s="3">
        <v>12626</v>
      </c>
      <c r="I104" s="1">
        <v>0</v>
      </c>
      <c r="J104" s="3">
        <v>4288753</v>
      </c>
      <c r="K104" s="3">
        <v>4276127</v>
      </c>
      <c r="L104" s="3">
        <v>4276127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3445004</v>
      </c>
      <c r="T104" s="3">
        <v>3445004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426771</v>
      </c>
      <c r="Z104" s="3">
        <v>426771</v>
      </c>
      <c r="AA104" s="4">
        <v>426771</v>
      </c>
      <c r="AB104" s="4">
        <v>426771</v>
      </c>
      <c r="AC104" s="4">
        <v>426771</v>
      </c>
      <c r="AD104" s="4">
        <v>426772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2142271</v>
      </c>
      <c r="AJ104" s="4">
        <v>2569042</v>
      </c>
      <c r="AK104" s="4">
        <v>2995813</v>
      </c>
      <c r="AL104" s="4">
        <v>3422584</v>
      </c>
      <c r="AM104" s="4">
        <v>3849355</v>
      </c>
      <c r="AN104" s="4">
        <v>4276127</v>
      </c>
      <c r="AO104" s="150">
        <v>301177</v>
      </c>
    </row>
    <row r="105" spans="1:41" x14ac:dyDescent="0.2">
      <c r="A105" s="1">
        <v>2024</v>
      </c>
      <c r="B105" s="2" t="s">
        <v>124</v>
      </c>
      <c r="C105" s="2" t="s">
        <v>124</v>
      </c>
      <c r="D105" s="1" t="s">
        <v>477</v>
      </c>
      <c r="E105" s="3">
        <v>4146259</v>
      </c>
      <c r="F105" s="3">
        <v>896</v>
      </c>
      <c r="G105" s="3">
        <v>14268</v>
      </c>
      <c r="H105" s="3">
        <v>14979</v>
      </c>
      <c r="I105" s="1">
        <v>0</v>
      </c>
      <c r="J105" s="3">
        <v>4131095</v>
      </c>
      <c r="K105" s="3">
        <v>4116116</v>
      </c>
      <c r="L105" s="3">
        <v>4116116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3126603</v>
      </c>
      <c r="T105" s="3">
        <v>3126603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410613</v>
      </c>
      <c r="Z105" s="3">
        <v>410613</v>
      </c>
      <c r="AA105" s="4">
        <v>410613</v>
      </c>
      <c r="AB105" s="4">
        <v>410613</v>
      </c>
      <c r="AC105" s="4">
        <v>410613</v>
      </c>
      <c r="AD105" s="4">
        <v>410611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2063053</v>
      </c>
      <c r="AJ105" s="4">
        <v>2473666</v>
      </c>
      <c r="AK105" s="4">
        <v>2884279</v>
      </c>
      <c r="AL105" s="4">
        <v>3294892</v>
      </c>
      <c r="AM105" s="4">
        <v>3705505</v>
      </c>
      <c r="AN105" s="4">
        <v>4116116</v>
      </c>
      <c r="AO105" s="150">
        <v>343276</v>
      </c>
    </row>
    <row r="106" spans="1:41" x14ac:dyDescent="0.2">
      <c r="A106" s="1">
        <v>2024</v>
      </c>
      <c r="B106" s="2" t="s">
        <v>125</v>
      </c>
      <c r="C106" s="2" t="s">
        <v>125</v>
      </c>
      <c r="D106" s="1" t="s">
        <v>478</v>
      </c>
      <c r="E106" s="3">
        <v>3062131</v>
      </c>
      <c r="F106" s="1">
        <v>398</v>
      </c>
      <c r="G106" s="1">
        <v>0</v>
      </c>
      <c r="H106" s="3">
        <v>10403</v>
      </c>
      <c r="I106" s="1">
        <v>0</v>
      </c>
      <c r="J106" s="3">
        <v>3061733</v>
      </c>
      <c r="K106" s="3">
        <v>3051330</v>
      </c>
      <c r="L106" s="3">
        <v>3051330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2357381</v>
      </c>
      <c r="T106" s="3">
        <v>2357381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304440</v>
      </c>
      <c r="Z106" s="3">
        <v>304440</v>
      </c>
      <c r="AA106" s="4">
        <v>304440</v>
      </c>
      <c r="AB106" s="4">
        <v>304440</v>
      </c>
      <c r="AC106" s="4">
        <v>304440</v>
      </c>
      <c r="AD106" s="4">
        <v>304438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1529132</v>
      </c>
      <c r="AJ106" s="4">
        <v>1833572</v>
      </c>
      <c r="AK106" s="4">
        <v>2138012</v>
      </c>
      <c r="AL106" s="4">
        <v>2442452</v>
      </c>
      <c r="AM106" s="4">
        <v>2746892</v>
      </c>
      <c r="AN106" s="4">
        <v>3051330</v>
      </c>
      <c r="AO106" s="150">
        <v>213425</v>
      </c>
    </row>
    <row r="107" spans="1:41" x14ac:dyDescent="0.2">
      <c r="A107" s="1">
        <v>2024</v>
      </c>
      <c r="B107" s="2" t="s">
        <v>126</v>
      </c>
      <c r="C107" s="2" t="s">
        <v>126</v>
      </c>
      <c r="D107" s="1" t="s">
        <v>479</v>
      </c>
      <c r="E107" s="3">
        <v>1303083</v>
      </c>
      <c r="F107" s="3">
        <v>133</v>
      </c>
      <c r="G107" s="3">
        <v>7576</v>
      </c>
      <c r="H107" s="3">
        <v>4177</v>
      </c>
      <c r="I107" s="1">
        <v>0</v>
      </c>
      <c r="J107" s="3">
        <v>1295374</v>
      </c>
      <c r="K107" s="3">
        <v>1291197</v>
      </c>
      <c r="L107" s="3">
        <v>1291197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1022906</v>
      </c>
      <c r="T107" s="3">
        <v>1022906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128842</v>
      </c>
      <c r="Z107" s="3">
        <v>128842</v>
      </c>
      <c r="AA107" s="4">
        <v>128841</v>
      </c>
      <c r="AB107" s="4">
        <v>128841</v>
      </c>
      <c r="AC107" s="4">
        <v>128841</v>
      </c>
      <c r="AD107" s="4">
        <v>128842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646990</v>
      </c>
      <c r="AJ107" s="4">
        <v>775832</v>
      </c>
      <c r="AK107" s="4">
        <v>904673</v>
      </c>
      <c r="AL107" s="4">
        <v>1033514</v>
      </c>
      <c r="AM107" s="4">
        <v>1162355</v>
      </c>
      <c r="AN107" s="4">
        <v>1291197</v>
      </c>
      <c r="AO107" s="150">
        <v>90518</v>
      </c>
    </row>
    <row r="108" spans="1:41" x14ac:dyDescent="0.2">
      <c r="A108" s="1">
        <v>2024</v>
      </c>
      <c r="B108" s="2" t="s">
        <v>127</v>
      </c>
      <c r="C108" s="2" t="s">
        <v>127</v>
      </c>
      <c r="D108" s="1" t="s">
        <v>480</v>
      </c>
      <c r="E108" s="3">
        <v>8959424</v>
      </c>
      <c r="F108" s="3">
        <v>1028</v>
      </c>
      <c r="G108" s="3">
        <v>0</v>
      </c>
      <c r="H108" s="3">
        <v>27067</v>
      </c>
      <c r="I108" s="1">
        <v>0</v>
      </c>
      <c r="J108" s="3">
        <v>8958396</v>
      </c>
      <c r="K108" s="3">
        <v>8931329</v>
      </c>
      <c r="L108" s="3">
        <v>8931329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7267997</v>
      </c>
      <c r="T108" s="3">
        <v>7267997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891328</v>
      </c>
      <c r="Z108" s="3">
        <v>891328</v>
      </c>
      <c r="AA108" s="4">
        <v>891328</v>
      </c>
      <c r="AB108" s="4">
        <v>891328</v>
      </c>
      <c r="AC108" s="4">
        <v>891328</v>
      </c>
      <c r="AD108" s="4">
        <v>891329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4474688</v>
      </c>
      <c r="AJ108" s="4">
        <v>5366016</v>
      </c>
      <c r="AK108" s="4">
        <v>6257344</v>
      </c>
      <c r="AL108" s="4">
        <v>7148672</v>
      </c>
      <c r="AM108" s="4">
        <v>8040000</v>
      </c>
      <c r="AN108" s="4">
        <v>8931329</v>
      </c>
      <c r="AO108" s="150">
        <v>588910</v>
      </c>
    </row>
    <row r="109" spans="1:41" x14ac:dyDescent="0.2">
      <c r="A109" s="1">
        <v>2024</v>
      </c>
      <c r="B109" s="2" t="s">
        <v>128</v>
      </c>
      <c r="C109" s="2" t="s">
        <v>128</v>
      </c>
      <c r="D109" s="1" t="s">
        <v>481</v>
      </c>
      <c r="E109" s="3">
        <v>2636680</v>
      </c>
      <c r="F109" s="1">
        <v>332</v>
      </c>
      <c r="G109" s="1">
        <v>0</v>
      </c>
      <c r="H109" s="3">
        <v>9604</v>
      </c>
      <c r="I109" s="1">
        <v>0</v>
      </c>
      <c r="J109" s="3">
        <v>2636348</v>
      </c>
      <c r="K109" s="3">
        <v>2626744</v>
      </c>
      <c r="L109" s="3">
        <v>2626744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2010973</v>
      </c>
      <c r="T109" s="3">
        <v>2010973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262034</v>
      </c>
      <c r="Z109" s="3">
        <v>262034</v>
      </c>
      <c r="AA109" s="4">
        <v>262034</v>
      </c>
      <c r="AB109" s="4">
        <v>262034</v>
      </c>
      <c r="AC109" s="4">
        <v>262034</v>
      </c>
      <c r="AD109" s="4">
        <v>262034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1316574</v>
      </c>
      <c r="AJ109" s="4">
        <v>1578608</v>
      </c>
      <c r="AK109" s="4">
        <v>1840642</v>
      </c>
      <c r="AL109" s="4">
        <v>2102676</v>
      </c>
      <c r="AM109" s="4">
        <v>2364710</v>
      </c>
      <c r="AN109" s="4">
        <v>2626744</v>
      </c>
      <c r="AO109" s="150">
        <v>189203</v>
      </c>
    </row>
    <row r="110" spans="1:41" x14ac:dyDescent="0.2">
      <c r="A110" s="1">
        <v>2024</v>
      </c>
      <c r="B110" s="2" t="s">
        <v>129</v>
      </c>
      <c r="C110" s="2" t="s">
        <v>129</v>
      </c>
      <c r="D110" s="1" t="s">
        <v>482</v>
      </c>
      <c r="E110" s="3">
        <v>9797966</v>
      </c>
      <c r="F110" s="3">
        <v>829</v>
      </c>
      <c r="G110" s="3">
        <v>15152</v>
      </c>
      <c r="H110" s="3">
        <v>35315</v>
      </c>
      <c r="I110" s="1">
        <v>0</v>
      </c>
      <c r="J110" s="3">
        <v>9781985</v>
      </c>
      <c r="K110" s="3">
        <v>9746670</v>
      </c>
      <c r="L110" s="3">
        <v>9746670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7692354</v>
      </c>
      <c r="T110" s="3">
        <v>7692354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972312</v>
      </c>
      <c r="Z110" s="3">
        <v>972312</v>
      </c>
      <c r="AA110" s="4">
        <v>972313</v>
      </c>
      <c r="AB110" s="4">
        <v>972313</v>
      </c>
      <c r="AC110" s="4">
        <v>972313</v>
      </c>
      <c r="AD110" s="4">
        <v>972311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4885108</v>
      </c>
      <c r="AJ110" s="4">
        <v>5857420</v>
      </c>
      <c r="AK110" s="4">
        <v>6829733</v>
      </c>
      <c r="AL110" s="4">
        <v>7802046</v>
      </c>
      <c r="AM110" s="4">
        <v>8774359</v>
      </c>
      <c r="AN110" s="4">
        <v>9746670</v>
      </c>
      <c r="AO110" s="150">
        <v>775297</v>
      </c>
    </row>
    <row r="111" spans="1:41" x14ac:dyDescent="0.2">
      <c r="A111" s="1">
        <v>2024</v>
      </c>
      <c r="B111" s="2" t="s">
        <v>130</v>
      </c>
      <c r="C111" s="2" t="s">
        <v>130</v>
      </c>
      <c r="D111" s="1" t="s">
        <v>483</v>
      </c>
      <c r="E111" s="3">
        <v>7336047</v>
      </c>
      <c r="F111" s="3">
        <v>929</v>
      </c>
      <c r="G111" s="3">
        <v>7576</v>
      </c>
      <c r="H111" s="3">
        <v>23766</v>
      </c>
      <c r="I111" s="1">
        <v>0</v>
      </c>
      <c r="J111" s="3">
        <v>7327542</v>
      </c>
      <c r="K111" s="3">
        <v>7303776</v>
      </c>
      <c r="L111" s="3">
        <v>7303776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5807948</v>
      </c>
      <c r="T111" s="3">
        <v>5807948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728793</v>
      </c>
      <c r="Z111" s="3">
        <v>728793</v>
      </c>
      <c r="AA111" s="4">
        <v>728794</v>
      </c>
      <c r="AB111" s="4">
        <v>728794</v>
      </c>
      <c r="AC111" s="4">
        <v>728794</v>
      </c>
      <c r="AD111" s="4">
        <v>728792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3659809</v>
      </c>
      <c r="AJ111" s="4">
        <v>4388602</v>
      </c>
      <c r="AK111" s="4">
        <v>5117396</v>
      </c>
      <c r="AL111" s="4">
        <v>5846190</v>
      </c>
      <c r="AM111" s="4">
        <v>6574984</v>
      </c>
      <c r="AN111" s="4">
        <v>7303776</v>
      </c>
      <c r="AO111" s="150">
        <v>524367</v>
      </c>
    </row>
    <row r="112" spans="1:41" x14ac:dyDescent="0.2">
      <c r="A112" s="1">
        <v>2024</v>
      </c>
      <c r="B112" s="2" t="s">
        <v>131</v>
      </c>
      <c r="C112" s="2" t="s">
        <v>131</v>
      </c>
      <c r="D112" s="1" t="s">
        <v>484</v>
      </c>
      <c r="E112" s="3">
        <v>28075457</v>
      </c>
      <c r="F112" s="3">
        <v>3649</v>
      </c>
      <c r="G112" s="3">
        <v>5009</v>
      </c>
      <c r="H112" s="3">
        <v>80188</v>
      </c>
      <c r="I112" s="3">
        <v>129795</v>
      </c>
      <c r="J112" s="3">
        <v>28066799</v>
      </c>
      <c r="K112" s="3">
        <v>27986611</v>
      </c>
      <c r="L112" s="3">
        <v>27856816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22881665</v>
      </c>
      <c r="T112" s="3">
        <v>22751870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2793315</v>
      </c>
      <c r="Z112" s="3">
        <v>2793315</v>
      </c>
      <c r="AA112" s="4">
        <v>2760867</v>
      </c>
      <c r="AB112" s="4">
        <v>2760867</v>
      </c>
      <c r="AC112" s="4">
        <v>2760867</v>
      </c>
      <c r="AD112" s="4">
        <v>2760865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14020035</v>
      </c>
      <c r="AJ112" s="4">
        <v>16813350</v>
      </c>
      <c r="AK112" s="4">
        <v>19574217</v>
      </c>
      <c r="AL112" s="4">
        <v>22335084</v>
      </c>
      <c r="AM112" s="4">
        <v>25095951</v>
      </c>
      <c r="AN112" s="4">
        <v>27856816</v>
      </c>
      <c r="AO112" s="150">
        <v>1861501</v>
      </c>
    </row>
    <row r="113" spans="1:41" x14ac:dyDescent="0.2">
      <c r="A113" s="1">
        <v>2024</v>
      </c>
      <c r="B113" s="2" t="s">
        <v>132</v>
      </c>
      <c r="C113" s="2" t="s">
        <v>132</v>
      </c>
      <c r="D113" s="1" t="s">
        <v>485</v>
      </c>
      <c r="E113" s="3">
        <v>15153548</v>
      </c>
      <c r="F113" s="3">
        <v>962</v>
      </c>
      <c r="G113" s="3">
        <v>0</v>
      </c>
      <c r="H113" s="3">
        <v>47336</v>
      </c>
      <c r="I113" s="3">
        <v>47118</v>
      </c>
      <c r="J113" s="3">
        <v>15152586</v>
      </c>
      <c r="K113" s="3">
        <v>15105250</v>
      </c>
      <c r="L113" s="3">
        <v>15058132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12476063</v>
      </c>
      <c r="T113" s="3">
        <v>12428945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1507369</v>
      </c>
      <c r="Z113" s="3">
        <v>1507369</v>
      </c>
      <c r="AA113" s="4">
        <v>1495590</v>
      </c>
      <c r="AB113" s="4">
        <v>1495590</v>
      </c>
      <c r="AC113" s="4">
        <v>1495590</v>
      </c>
      <c r="AD113" s="4">
        <v>1495588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7568405</v>
      </c>
      <c r="AJ113" s="4">
        <v>9075774</v>
      </c>
      <c r="AK113" s="4">
        <v>10571364</v>
      </c>
      <c r="AL113" s="4">
        <v>12066954</v>
      </c>
      <c r="AM113" s="4">
        <v>13562544</v>
      </c>
      <c r="AN113" s="4">
        <v>15058132</v>
      </c>
      <c r="AO113" s="150">
        <v>1057180</v>
      </c>
    </row>
    <row r="114" spans="1:41" x14ac:dyDescent="0.2">
      <c r="A114" s="1">
        <v>2024</v>
      </c>
      <c r="B114" s="2" t="s">
        <v>133</v>
      </c>
      <c r="C114" s="2" t="s">
        <v>133</v>
      </c>
      <c r="D114" s="1" t="s">
        <v>486</v>
      </c>
      <c r="E114" s="3">
        <v>3029627</v>
      </c>
      <c r="F114" s="3">
        <v>398</v>
      </c>
      <c r="G114" s="3">
        <v>0</v>
      </c>
      <c r="H114" s="3">
        <v>9773</v>
      </c>
      <c r="I114" s="3">
        <v>0</v>
      </c>
      <c r="J114" s="3">
        <v>3029229</v>
      </c>
      <c r="K114" s="3">
        <v>3019456</v>
      </c>
      <c r="L114" s="3">
        <v>3019456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2419012</v>
      </c>
      <c r="T114" s="3">
        <v>2419012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301294</v>
      </c>
      <c r="Z114" s="3">
        <v>301294</v>
      </c>
      <c r="AA114" s="4">
        <v>301294</v>
      </c>
      <c r="AB114" s="4">
        <v>301294</v>
      </c>
      <c r="AC114" s="4">
        <v>301294</v>
      </c>
      <c r="AD114" s="4">
        <v>301294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1512986</v>
      </c>
      <c r="AJ114" s="4">
        <v>1814280</v>
      </c>
      <c r="AK114" s="4">
        <v>2115574</v>
      </c>
      <c r="AL114" s="4">
        <v>2416868</v>
      </c>
      <c r="AM114" s="4">
        <v>2718162</v>
      </c>
      <c r="AN114" s="4">
        <v>3019456</v>
      </c>
      <c r="AO114" s="150">
        <v>215194</v>
      </c>
    </row>
    <row r="115" spans="1:41" x14ac:dyDescent="0.2">
      <c r="A115" s="1">
        <v>2024</v>
      </c>
      <c r="B115" s="2" t="s">
        <v>134</v>
      </c>
      <c r="C115" s="2" t="s">
        <v>134</v>
      </c>
      <c r="D115" s="1" t="s">
        <v>487</v>
      </c>
      <c r="E115" s="3">
        <v>2602082</v>
      </c>
      <c r="F115" s="3">
        <v>415</v>
      </c>
      <c r="G115" s="3">
        <v>0</v>
      </c>
      <c r="H115" s="3">
        <v>10448</v>
      </c>
      <c r="I115" s="1">
        <v>0</v>
      </c>
      <c r="J115" s="3">
        <v>2601667</v>
      </c>
      <c r="K115" s="3">
        <v>2591219</v>
      </c>
      <c r="L115" s="3">
        <v>2591219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1929123</v>
      </c>
      <c r="T115" s="3">
        <v>1929123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258425</v>
      </c>
      <c r="Z115" s="3">
        <v>258425</v>
      </c>
      <c r="AA115" s="4">
        <v>258425</v>
      </c>
      <c r="AB115" s="4">
        <v>258425</v>
      </c>
      <c r="AC115" s="4">
        <v>258425</v>
      </c>
      <c r="AD115" s="4">
        <v>258426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1299093</v>
      </c>
      <c r="AJ115" s="4">
        <v>1557518</v>
      </c>
      <c r="AK115" s="4">
        <v>1815943</v>
      </c>
      <c r="AL115" s="4">
        <v>2074368</v>
      </c>
      <c r="AM115" s="4">
        <v>2332793</v>
      </c>
      <c r="AN115" s="4">
        <v>2591219</v>
      </c>
      <c r="AO115" s="150">
        <v>218939</v>
      </c>
    </row>
    <row r="116" spans="1:41" x14ac:dyDescent="0.2">
      <c r="A116" s="1">
        <v>2024</v>
      </c>
      <c r="B116" s="2" t="s">
        <v>135</v>
      </c>
      <c r="C116" s="2" t="s">
        <v>135</v>
      </c>
      <c r="D116" s="1" t="s">
        <v>488</v>
      </c>
      <c r="E116" s="3">
        <v>4234778</v>
      </c>
      <c r="F116" s="3">
        <v>1227</v>
      </c>
      <c r="G116" s="3">
        <v>7576</v>
      </c>
      <c r="H116" s="3">
        <v>19141</v>
      </c>
      <c r="I116" s="1">
        <v>0</v>
      </c>
      <c r="J116" s="3">
        <v>4225975</v>
      </c>
      <c r="K116" s="3">
        <v>4206834</v>
      </c>
      <c r="L116" s="3">
        <v>4206834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2892296</v>
      </c>
      <c r="T116" s="3">
        <v>2892296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419407</v>
      </c>
      <c r="Z116" s="3">
        <v>419407</v>
      </c>
      <c r="AA116" s="4">
        <v>419407</v>
      </c>
      <c r="AB116" s="4">
        <v>419407</v>
      </c>
      <c r="AC116" s="4">
        <v>419407</v>
      </c>
      <c r="AD116" s="4">
        <v>419407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2109799</v>
      </c>
      <c r="AJ116" s="4">
        <v>2529206</v>
      </c>
      <c r="AK116" s="4">
        <v>2948613</v>
      </c>
      <c r="AL116" s="4">
        <v>3368020</v>
      </c>
      <c r="AM116" s="4">
        <v>3787427</v>
      </c>
      <c r="AN116" s="4">
        <v>4206834</v>
      </c>
      <c r="AO116" s="150">
        <v>431803</v>
      </c>
    </row>
    <row r="117" spans="1:41" x14ac:dyDescent="0.2">
      <c r="A117" s="1">
        <v>2024</v>
      </c>
      <c r="B117" s="2" t="s">
        <v>136</v>
      </c>
      <c r="C117" s="2" t="s">
        <v>136</v>
      </c>
      <c r="D117" s="1" t="s">
        <v>489</v>
      </c>
      <c r="E117" s="3">
        <v>2742971</v>
      </c>
      <c r="F117" s="1">
        <v>381</v>
      </c>
      <c r="G117" s="1">
        <v>0</v>
      </c>
      <c r="H117" s="3">
        <v>10239</v>
      </c>
      <c r="I117" s="1">
        <v>0</v>
      </c>
      <c r="J117" s="3">
        <v>2742590</v>
      </c>
      <c r="K117" s="3">
        <v>2732351</v>
      </c>
      <c r="L117" s="3">
        <v>2732351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2098807</v>
      </c>
      <c r="T117" s="3">
        <v>2098807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272553</v>
      </c>
      <c r="Z117" s="3">
        <v>272553</v>
      </c>
      <c r="AA117" s="4">
        <v>272552</v>
      </c>
      <c r="AB117" s="4">
        <v>272552</v>
      </c>
      <c r="AC117" s="4">
        <v>272552</v>
      </c>
      <c r="AD117" s="4">
        <v>272553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1369589</v>
      </c>
      <c r="AJ117" s="4">
        <v>1642142</v>
      </c>
      <c r="AK117" s="4">
        <v>1914694</v>
      </c>
      <c r="AL117" s="4">
        <v>2187246</v>
      </c>
      <c r="AM117" s="4">
        <v>2459798</v>
      </c>
      <c r="AN117" s="4">
        <v>2732351</v>
      </c>
      <c r="AO117" s="150">
        <v>222346</v>
      </c>
    </row>
    <row r="118" spans="1:41" x14ac:dyDescent="0.2">
      <c r="A118" s="1">
        <v>2024</v>
      </c>
      <c r="B118" s="2" t="s">
        <v>137</v>
      </c>
      <c r="C118" s="2" t="s">
        <v>137</v>
      </c>
      <c r="D118" s="1" t="s">
        <v>490</v>
      </c>
      <c r="E118" s="3">
        <v>10016088</v>
      </c>
      <c r="F118" s="3">
        <v>1244</v>
      </c>
      <c r="G118" s="3">
        <v>0</v>
      </c>
      <c r="H118" s="3">
        <v>35730</v>
      </c>
      <c r="I118" s="1">
        <v>0</v>
      </c>
      <c r="J118" s="3">
        <v>10014844</v>
      </c>
      <c r="K118" s="3">
        <v>9979114</v>
      </c>
      <c r="L118" s="3">
        <v>9979114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7910704</v>
      </c>
      <c r="T118" s="3">
        <v>7910704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995530</v>
      </c>
      <c r="Z118" s="3">
        <v>995530</v>
      </c>
      <c r="AA118" s="4">
        <v>995530</v>
      </c>
      <c r="AB118" s="4">
        <v>995530</v>
      </c>
      <c r="AC118" s="4">
        <v>995530</v>
      </c>
      <c r="AD118" s="4">
        <v>995528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5001466</v>
      </c>
      <c r="AJ118" s="4">
        <v>5996996</v>
      </c>
      <c r="AK118" s="4">
        <v>6992526</v>
      </c>
      <c r="AL118" s="4">
        <v>7988056</v>
      </c>
      <c r="AM118" s="4">
        <v>8983586</v>
      </c>
      <c r="AN118" s="4">
        <v>9979114</v>
      </c>
      <c r="AO118" s="150">
        <v>767752</v>
      </c>
    </row>
    <row r="119" spans="1:41" x14ac:dyDescent="0.2">
      <c r="A119" s="1">
        <v>2024</v>
      </c>
      <c r="B119" s="2" t="s">
        <v>138</v>
      </c>
      <c r="C119" s="2" t="s">
        <v>138</v>
      </c>
      <c r="D119" s="1" t="s">
        <v>491</v>
      </c>
      <c r="E119" s="3">
        <v>1212186</v>
      </c>
      <c r="F119" s="1">
        <v>265</v>
      </c>
      <c r="G119" s="1">
        <v>0</v>
      </c>
      <c r="H119" s="3">
        <v>3918</v>
      </c>
      <c r="I119" s="1">
        <v>0</v>
      </c>
      <c r="J119" s="3">
        <v>1211921</v>
      </c>
      <c r="K119" s="3">
        <v>1208003</v>
      </c>
      <c r="L119" s="3">
        <v>1208003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930456</v>
      </c>
      <c r="T119" s="3">
        <v>930456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120539</v>
      </c>
      <c r="Z119" s="3">
        <v>120539</v>
      </c>
      <c r="AA119" s="4">
        <v>120539</v>
      </c>
      <c r="AB119" s="4">
        <v>120539</v>
      </c>
      <c r="AC119" s="4">
        <v>120539</v>
      </c>
      <c r="AD119" s="4">
        <v>120540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605307</v>
      </c>
      <c r="AJ119" s="4">
        <v>725846</v>
      </c>
      <c r="AK119" s="4">
        <v>846385</v>
      </c>
      <c r="AL119" s="4">
        <v>966924</v>
      </c>
      <c r="AM119" s="4">
        <v>1087463</v>
      </c>
      <c r="AN119" s="4">
        <v>1208003</v>
      </c>
      <c r="AO119" s="150">
        <v>91424</v>
      </c>
    </row>
    <row r="120" spans="1:41" x14ac:dyDescent="0.2">
      <c r="A120" s="1">
        <v>2024</v>
      </c>
      <c r="B120" s="2" t="s">
        <v>139</v>
      </c>
      <c r="C120" s="2" t="s">
        <v>139</v>
      </c>
      <c r="D120" s="1" t="s">
        <v>492</v>
      </c>
      <c r="E120" s="3">
        <v>3830225</v>
      </c>
      <c r="F120" s="3">
        <v>464</v>
      </c>
      <c r="G120" s="3">
        <v>5472</v>
      </c>
      <c r="H120" s="3">
        <v>13901</v>
      </c>
      <c r="I120" s="1">
        <v>0</v>
      </c>
      <c r="J120" s="3">
        <v>3824289</v>
      </c>
      <c r="K120" s="3">
        <v>3810388</v>
      </c>
      <c r="L120" s="3">
        <v>3810388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2956535</v>
      </c>
      <c r="T120" s="3">
        <v>2956535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380112</v>
      </c>
      <c r="Z120" s="3">
        <v>380112</v>
      </c>
      <c r="AA120" s="4">
        <v>380112</v>
      </c>
      <c r="AB120" s="4">
        <v>380112</v>
      </c>
      <c r="AC120" s="4">
        <v>380112</v>
      </c>
      <c r="AD120" s="4">
        <v>380112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1909828</v>
      </c>
      <c r="AJ120" s="4">
        <v>2289940</v>
      </c>
      <c r="AK120" s="4">
        <v>2670052</v>
      </c>
      <c r="AL120" s="4">
        <v>3050164</v>
      </c>
      <c r="AM120" s="4">
        <v>3430276</v>
      </c>
      <c r="AN120" s="4">
        <v>3810388</v>
      </c>
      <c r="AO120" s="150">
        <v>302976</v>
      </c>
    </row>
    <row r="121" spans="1:41" x14ac:dyDescent="0.2">
      <c r="A121" s="1">
        <v>2024</v>
      </c>
      <c r="B121" s="2" t="s">
        <v>140</v>
      </c>
      <c r="C121" s="2" t="s">
        <v>140</v>
      </c>
      <c r="D121" s="1" t="s">
        <v>493</v>
      </c>
      <c r="E121" s="3">
        <v>13490438</v>
      </c>
      <c r="F121" s="3">
        <v>796</v>
      </c>
      <c r="G121" s="3">
        <v>0</v>
      </c>
      <c r="H121" s="3">
        <v>43210</v>
      </c>
      <c r="I121" s="1">
        <v>0</v>
      </c>
      <c r="J121" s="3">
        <v>13489642</v>
      </c>
      <c r="K121" s="3">
        <v>13446432</v>
      </c>
      <c r="L121" s="3">
        <v>13446432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11066004</v>
      </c>
      <c r="T121" s="3">
        <v>11066004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1341763</v>
      </c>
      <c r="Z121" s="3">
        <v>1341763</v>
      </c>
      <c r="AA121" s="4">
        <v>1341763</v>
      </c>
      <c r="AB121" s="4">
        <v>1341763</v>
      </c>
      <c r="AC121" s="4">
        <v>1341763</v>
      </c>
      <c r="AD121" s="4">
        <v>1341761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6737619</v>
      </c>
      <c r="AJ121" s="4">
        <v>8079382</v>
      </c>
      <c r="AK121" s="4">
        <v>9421145</v>
      </c>
      <c r="AL121" s="4">
        <v>10762908</v>
      </c>
      <c r="AM121" s="4">
        <v>12104671</v>
      </c>
      <c r="AN121" s="4">
        <v>13446432</v>
      </c>
      <c r="AO121" s="150">
        <v>938499</v>
      </c>
    </row>
    <row r="122" spans="1:41" x14ac:dyDescent="0.2">
      <c r="A122" s="1">
        <v>2024</v>
      </c>
      <c r="B122" s="2" t="s">
        <v>141</v>
      </c>
      <c r="C122" s="2" t="s">
        <v>141</v>
      </c>
      <c r="D122" s="1" t="s">
        <v>494</v>
      </c>
      <c r="E122" s="3">
        <v>1847312</v>
      </c>
      <c r="F122" s="1">
        <v>580</v>
      </c>
      <c r="G122" s="1">
        <v>0</v>
      </c>
      <c r="H122" s="3">
        <v>6665</v>
      </c>
      <c r="I122" s="1">
        <v>0</v>
      </c>
      <c r="J122" s="3">
        <v>1846732</v>
      </c>
      <c r="K122" s="3">
        <v>1840067</v>
      </c>
      <c r="L122" s="3">
        <v>1840067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1343474</v>
      </c>
      <c r="T122" s="3">
        <v>1343474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183563</v>
      </c>
      <c r="Z122" s="3">
        <v>183563</v>
      </c>
      <c r="AA122" s="4">
        <v>183562</v>
      </c>
      <c r="AB122" s="4">
        <v>183562</v>
      </c>
      <c r="AC122" s="4">
        <v>183562</v>
      </c>
      <c r="AD122" s="4">
        <v>183563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922255</v>
      </c>
      <c r="AJ122" s="4">
        <v>1105818</v>
      </c>
      <c r="AK122" s="4">
        <v>1289380</v>
      </c>
      <c r="AL122" s="4">
        <v>1472942</v>
      </c>
      <c r="AM122" s="4">
        <v>1656504</v>
      </c>
      <c r="AN122" s="4">
        <v>1840067</v>
      </c>
      <c r="AO122" s="150">
        <v>134906</v>
      </c>
    </row>
    <row r="123" spans="1:41" x14ac:dyDescent="0.2">
      <c r="A123" s="1">
        <v>2024</v>
      </c>
      <c r="B123" s="2" t="s">
        <v>142</v>
      </c>
      <c r="C123" s="2" t="s">
        <v>142</v>
      </c>
      <c r="D123" s="1" t="s">
        <v>495</v>
      </c>
      <c r="E123" s="3">
        <v>1997500</v>
      </c>
      <c r="F123" s="3">
        <v>431</v>
      </c>
      <c r="G123" s="3">
        <v>0</v>
      </c>
      <c r="H123" s="3">
        <v>8512</v>
      </c>
      <c r="I123" s="1">
        <v>0</v>
      </c>
      <c r="J123" s="3">
        <v>1997069</v>
      </c>
      <c r="K123" s="3">
        <v>1988557</v>
      </c>
      <c r="L123" s="3">
        <v>1988557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1433884</v>
      </c>
      <c r="T123" s="3">
        <v>1433884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198288</v>
      </c>
      <c r="Z123" s="3">
        <v>198288</v>
      </c>
      <c r="AA123" s="4">
        <v>198288</v>
      </c>
      <c r="AB123" s="4">
        <v>198288</v>
      </c>
      <c r="AC123" s="4">
        <v>198288</v>
      </c>
      <c r="AD123" s="4">
        <v>198289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997116</v>
      </c>
      <c r="AJ123" s="4">
        <v>1195404</v>
      </c>
      <c r="AK123" s="4">
        <v>1393692</v>
      </c>
      <c r="AL123" s="4">
        <v>1591980</v>
      </c>
      <c r="AM123" s="4">
        <v>1790268</v>
      </c>
      <c r="AN123" s="4">
        <v>1988557</v>
      </c>
      <c r="AO123" s="150">
        <v>180134</v>
      </c>
    </row>
    <row r="124" spans="1:41" x14ac:dyDescent="0.2">
      <c r="A124" s="1">
        <v>2024</v>
      </c>
      <c r="B124" s="2" t="s">
        <v>143</v>
      </c>
      <c r="C124" s="2" t="s">
        <v>143</v>
      </c>
      <c r="D124" s="1" t="s">
        <v>496</v>
      </c>
      <c r="E124" s="3">
        <v>4128135</v>
      </c>
      <c r="F124" s="3">
        <v>365</v>
      </c>
      <c r="G124" s="3">
        <v>0</v>
      </c>
      <c r="H124" s="3">
        <v>14108</v>
      </c>
      <c r="I124" s="1">
        <v>0</v>
      </c>
      <c r="J124" s="3">
        <v>4127770</v>
      </c>
      <c r="K124" s="3">
        <v>4113662</v>
      </c>
      <c r="L124" s="3">
        <v>4113662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3265881</v>
      </c>
      <c r="T124" s="3">
        <v>3265881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410426</v>
      </c>
      <c r="Z124" s="3">
        <v>410426</v>
      </c>
      <c r="AA124" s="4">
        <v>410426</v>
      </c>
      <c r="AB124" s="4">
        <v>410426</v>
      </c>
      <c r="AC124" s="4">
        <v>410426</v>
      </c>
      <c r="AD124" s="4">
        <v>410424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2061534</v>
      </c>
      <c r="AJ124" s="4">
        <v>2471960</v>
      </c>
      <c r="AK124" s="4">
        <v>2882386</v>
      </c>
      <c r="AL124" s="4">
        <v>3292812</v>
      </c>
      <c r="AM124" s="4">
        <v>3703238</v>
      </c>
      <c r="AN124" s="4">
        <v>4113662</v>
      </c>
      <c r="AO124" s="150">
        <v>294231</v>
      </c>
    </row>
    <row r="125" spans="1:41" x14ac:dyDescent="0.2">
      <c r="A125" s="1">
        <v>2024</v>
      </c>
      <c r="B125" s="2" t="s">
        <v>144</v>
      </c>
      <c r="C125" s="2" t="s">
        <v>144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5731</v>
      </c>
      <c r="I125" s="1">
        <v>0</v>
      </c>
      <c r="J125" s="3">
        <v>1337839</v>
      </c>
      <c r="K125" s="3">
        <v>1332108</v>
      </c>
      <c r="L125" s="3">
        <v>1332108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906352</v>
      </c>
      <c r="T125" s="3">
        <v>906352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132829</v>
      </c>
      <c r="Z125" s="3">
        <v>132829</v>
      </c>
      <c r="AA125" s="4">
        <v>132829</v>
      </c>
      <c r="AB125" s="4">
        <v>132829</v>
      </c>
      <c r="AC125" s="4">
        <v>132829</v>
      </c>
      <c r="AD125" s="4">
        <v>132827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667965</v>
      </c>
      <c r="AJ125" s="4">
        <v>800794</v>
      </c>
      <c r="AK125" s="4">
        <v>933623</v>
      </c>
      <c r="AL125" s="4">
        <v>1066452</v>
      </c>
      <c r="AM125" s="4">
        <v>1199281</v>
      </c>
      <c r="AN125" s="4">
        <v>1332108</v>
      </c>
      <c r="AO125" s="150">
        <v>129568</v>
      </c>
    </row>
    <row r="126" spans="1:41" x14ac:dyDescent="0.2">
      <c r="A126" s="1">
        <v>2024</v>
      </c>
      <c r="B126" s="2" t="s">
        <v>145</v>
      </c>
      <c r="C126" s="2" t="s">
        <v>145</v>
      </c>
      <c r="D126" s="1" t="s">
        <v>497</v>
      </c>
      <c r="E126" s="3">
        <v>10076772</v>
      </c>
      <c r="F126" s="3">
        <v>1194</v>
      </c>
      <c r="G126" s="3">
        <v>0</v>
      </c>
      <c r="H126" s="3">
        <v>33739</v>
      </c>
      <c r="I126" s="1">
        <v>0</v>
      </c>
      <c r="J126" s="3">
        <v>10075578</v>
      </c>
      <c r="K126" s="3">
        <v>10041839</v>
      </c>
      <c r="L126" s="3">
        <v>10041839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8024842</v>
      </c>
      <c r="T126" s="3">
        <v>8024842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1001935</v>
      </c>
      <c r="Z126" s="3">
        <v>1001935</v>
      </c>
      <c r="AA126" s="4">
        <v>1001934</v>
      </c>
      <c r="AB126" s="4">
        <v>1001934</v>
      </c>
      <c r="AC126" s="4">
        <v>1001934</v>
      </c>
      <c r="AD126" s="4">
        <v>1001935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5032167</v>
      </c>
      <c r="AJ126" s="4">
        <v>6034102</v>
      </c>
      <c r="AK126" s="4">
        <v>7036036</v>
      </c>
      <c r="AL126" s="4">
        <v>8037970</v>
      </c>
      <c r="AM126" s="4">
        <v>9039904</v>
      </c>
      <c r="AN126" s="4">
        <v>10041839</v>
      </c>
      <c r="AO126" s="150">
        <v>764428</v>
      </c>
    </row>
    <row r="127" spans="1:41" x14ac:dyDescent="0.2">
      <c r="A127" s="1">
        <v>2024</v>
      </c>
      <c r="B127" s="2" t="s">
        <v>146</v>
      </c>
      <c r="C127" s="2" t="s">
        <v>146</v>
      </c>
      <c r="D127" s="1" t="s">
        <v>498</v>
      </c>
      <c r="E127" s="3">
        <v>2791296</v>
      </c>
      <c r="F127" s="1">
        <v>498</v>
      </c>
      <c r="G127" s="1">
        <v>0</v>
      </c>
      <c r="H127" s="3">
        <v>10084</v>
      </c>
      <c r="I127" s="1">
        <v>0</v>
      </c>
      <c r="J127" s="3">
        <v>2790798</v>
      </c>
      <c r="K127" s="3">
        <v>2780714</v>
      </c>
      <c r="L127" s="3">
        <v>2780714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2152353</v>
      </c>
      <c r="T127" s="3">
        <v>2152353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277399</v>
      </c>
      <c r="Z127" s="3">
        <v>277399</v>
      </c>
      <c r="AA127" s="4">
        <v>277399</v>
      </c>
      <c r="AB127" s="4">
        <v>277399</v>
      </c>
      <c r="AC127" s="4">
        <v>277399</v>
      </c>
      <c r="AD127" s="4">
        <v>277399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1393719</v>
      </c>
      <c r="AJ127" s="4">
        <v>1671118</v>
      </c>
      <c r="AK127" s="4">
        <v>1948517</v>
      </c>
      <c r="AL127" s="4">
        <v>2225916</v>
      </c>
      <c r="AM127" s="4">
        <v>2503315</v>
      </c>
      <c r="AN127" s="4">
        <v>2780714</v>
      </c>
      <c r="AO127" s="150">
        <v>220717</v>
      </c>
    </row>
    <row r="128" spans="1:41" x14ac:dyDescent="0.2">
      <c r="A128" s="1">
        <v>2024</v>
      </c>
      <c r="B128" s="2" t="s">
        <v>147</v>
      </c>
      <c r="C128" s="2" t="s">
        <v>147</v>
      </c>
      <c r="D128" s="1" t="s">
        <v>499</v>
      </c>
      <c r="E128" s="3">
        <v>4817705</v>
      </c>
      <c r="F128" s="3">
        <v>779</v>
      </c>
      <c r="G128" s="3">
        <v>0</v>
      </c>
      <c r="H128" s="3">
        <v>15297</v>
      </c>
      <c r="I128" s="1">
        <v>0</v>
      </c>
      <c r="J128" s="3">
        <v>4816926</v>
      </c>
      <c r="K128" s="3">
        <v>4801629</v>
      </c>
      <c r="L128" s="3">
        <v>4801629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3792691</v>
      </c>
      <c r="T128" s="3">
        <v>3792691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479143</v>
      </c>
      <c r="Z128" s="3">
        <v>479143</v>
      </c>
      <c r="AA128" s="4">
        <v>479143</v>
      </c>
      <c r="AB128" s="4">
        <v>479143</v>
      </c>
      <c r="AC128" s="4">
        <v>479143</v>
      </c>
      <c r="AD128" s="4">
        <v>479142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2405915</v>
      </c>
      <c r="AJ128" s="4">
        <v>2885058</v>
      </c>
      <c r="AK128" s="4">
        <v>3364201</v>
      </c>
      <c r="AL128" s="4">
        <v>3843344</v>
      </c>
      <c r="AM128" s="4">
        <v>4322487</v>
      </c>
      <c r="AN128" s="4">
        <v>4801629</v>
      </c>
      <c r="AO128" s="150">
        <v>346878</v>
      </c>
    </row>
    <row r="129" spans="1:41" x14ac:dyDescent="0.2">
      <c r="A129" s="1">
        <v>2024</v>
      </c>
      <c r="B129" s="2" t="s">
        <v>148</v>
      </c>
      <c r="C129" s="2" t="s">
        <v>148</v>
      </c>
      <c r="D129" s="1" t="s">
        <v>500</v>
      </c>
      <c r="E129" s="3">
        <v>2548789</v>
      </c>
      <c r="F129" s="1">
        <v>564</v>
      </c>
      <c r="G129" s="1">
        <v>0</v>
      </c>
      <c r="H129" s="3">
        <v>9010</v>
      </c>
      <c r="I129" s="1">
        <v>0</v>
      </c>
      <c r="J129" s="3">
        <v>2548225</v>
      </c>
      <c r="K129" s="3">
        <v>2539215</v>
      </c>
      <c r="L129" s="3">
        <v>2539215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1927980</v>
      </c>
      <c r="T129" s="3">
        <v>1927980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253321</v>
      </c>
      <c r="Z129" s="3">
        <v>253321</v>
      </c>
      <c r="AA129" s="4">
        <v>253320</v>
      </c>
      <c r="AB129" s="4">
        <v>253320</v>
      </c>
      <c r="AC129" s="4">
        <v>253320</v>
      </c>
      <c r="AD129" s="4">
        <v>253321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1272613</v>
      </c>
      <c r="AJ129" s="4">
        <v>1525934</v>
      </c>
      <c r="AK129" s="4">
        <v>1779254</v>
      </c>
      <c r="AL129" s="4">
        <v>2032574</v>
      </c>
      <c r="AM129" s="4">
        <v>2285894</v>
      </c>
      <c r="AN129" s="4">
        <v>2539215</v>
      </c>
      <c r="AO129" s="150">
        <v>187143</v>
      </c>
    </row>
    <row r="130" spans="1:41" x14ac:dyDescent="0.2">
      <c r="A130" s="1">
        <v>2024</v>
      </c>
      <c r="B130" s="2" t="s">
        <v>149</v>
      </c>
      <c r="C130" s="2" t="s">
        <v>149</v>
      </c>
      <c r="D130" s="1" t="s">
        <v>501</v>
      </c>
      <c r="E130" s="3">
        <v>3591223</v>
      </c>
      <c r="F130" s="1">
        <v>398</v>
      </c>
      <c r="G130" s="1">
        <v>0</v>
      </c>
      <c r="H130" s="3">
        <v>14454</v>
      </c>
      <c r="I130" s="1">
        <v>0</v>
      </c>
      <c r="J130" s="3">
        <v>3590825</v>
      </c>
      <c r="K130" s="3">
        <v>3576371</v>
      </c>
      <c r="L130" s="3">
        <v>3576371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2733684</v>
      </c>
      <c r="T130" s="3">
        <v>2733684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356673</v>
      </c>
      <c r="Z130" s="3">
        <v>356673</v>
      </c>
      <c r="AA130" s="4">
        <v>356673</v>
      </c>
      <c r="AB130" s="4">
        <v>356673</v>
      </c>
      <c r="AC130" s="4">
        <v>356673</v>
      </c>
      <c r="AD130" s="4">
        <v>356674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1793005</v>
      </c>
      <c r="AJ130" s="4">
        <v>2149678</v>
      </c>
      <c r="AK130" s="4">
        <v>2506351</v>
      </c>
      <c r="AL130" s="4">
        <v>2863024</v>
      </c>
      <c r="AM130" s="4">
        <v>3219697</v>
      </c>
      <c r="AN130" s="4">
        <v>3576371</v>
      </c>
      <c r="AO130" s="150">
        <v>311854</v>
      </c>
    </row>
    <row r="131" spans="1:41" x14ac:dyDescent="0.2">
      <c r="A131" s="1">
        <v>2024</v>
      </c>
      <c r="B131" s="2" t="s">
        <v>150</v>
      </c>
      <c r="C131" s="2" t="s">
        <v>150</v>
      </c>
      <c r="D131" s="1" t="s">
        <v>5</v>
      </c>
      <c r="E131" s="3">
        <v>1951253</v>
      </c>
      <c r="F131" s="3">
        <v>282</v>
      </c>
      <c r="G131" s="3">
        <v>0</v>
      </c>
      <c r="H131" s="3">
        <v>7055</v>
      </c>
      <c r="I131" s="1">
        <v>0</v>
      </c>
      <c r="J131" s="3">
        <v>1950971</v>
      </c>
      <c r="K131" s="3">
        <v>1943916</v>
      </c>
      <c r="L131" s="3">
        <v>1943916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1501443</v>
      </c>
      <c r="T131" s="3">
        <v>1501443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193921</v>
      </c>
      <c r="Z131" s="3">
        <v>193921</v>
      </c>
      <c r="AA131" s="4">
        <v>193922</v>
      </c>
      <c r="AB131" s="4">
        <v>193922</v>
      </c>
      <c r="AC131" s="4">
        <v>193922</v>
      </c>
      <c r="AD131" s="4">
        <v>193920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974309</v>
      </c>
      <c r="AJ131" s="4">
        <v>1168230</v>
      </c>
      <c r="AK131" s="4">
        <v>1362152</v>
      </c>
      <c r="AL131" s="4">
        <v>1556074</v>
      </c>
      <c r="AM131" s="4">
        <v>1749996</v>
      </c>
      <c r="AN131" s="4">
        <v>1943916</v>
      </c>
      <c r="AO131" s="150">
        <v>149095</v>
      </c>
    </row>
    <row r="132" spans="1:41" x14ac:dyDescent="0.2">
      <c r="A132" s="1">
        <v>2024</v>
      </c>
      <c r="B132" s="2" t="s">
        <v>151</v>
      </c>
      <c r="C132" s="2" t="s">
        <v>151</v>
      </c>
      <c r="D132" s="1" t="s">
        <v>502</v>
      </c>
      <c r="E132" s="3">
        <v>1426448</v>
      </c>
      <c r="F132" s="1">
        <v>182</v>
      </c>
      <c r="G132" s="3">
        <v>204343</v>
      </c>
      <c r="H132" s="3">
        <v>5089</v>
      </c>
      <c r="I132" s="1">
        <v>0</v>
      </c>
      <c r="J132" s="3">
        <v>1221923</v>
      </c>
      <c r="K132" s="3">
        <v>1216834</v>
      </c>
      <c r="L132" s="3">
        <v>1216834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907202</v>
      </c>
      <c r="T132" s="3">
        <v>907202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121344</v>
      </c>
      <c r="Z132" s="3">
        <v>121344</v>
      </c>
      <c r="AA132" s="4">
        <v>121345</v>
      </c>
      <c r="AB132" s="4">
        <v>121345</v>
      </c>
      <c r="AC132" s="4">
        <v>121345</v>
      </c>
      <c r="AD132" s="4">
        <v>121343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610112</v>
      </c>
      <c r="AJ132" s="4">
        <v>731456</v>
      </c>
      <c r="AK132" s="4">
        <v>852801</v>
      </c>
      <c r="AL132" s="4">
        <v>974146</v>
      </c>
      <c r="AM132" s="4">
        <v>1095491</v>
      </c>
      <c r="AN132" s="4">
        <v>1216834</v>
      </c>
      <c r="AO132" s="150">
        <v>105549</v>
      </c>
    </row>
    <row r="133" spans="1:41" x14ac:dyDescent="0.2">
      <c r="A133" s="1">
        <v>2024</v>
      </c>
      <c r="B133" s="2" t="s">
        <v>152</v>
      </c>
      <c r="C133" s="2" t="s">
        <v>152</v>
      </c>
      <c r="D133" s="1" t="s">
        <v>503</v>
      </c>
      <c r="E133" s="3">
        <v>8008227</v>
      </c>
      <c r="F133" s="3">
        <v>896</v>
      </c>
      <c r="G133" s="3">
        <v>0</v>
      </c>
      <c r="H133" s="3">
        <v>25209</v>
      </c>
      <c r="I133" s="1">
        <v>0</v>
      </c>
      <c r="J133" s="3">
        <v>8007331</v>
      </c>
      <c r="K133" s="3">
        <v>7982122</v>
      </c>
      <c r="L133" s="3">
        <v>7982122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6423309</v>
      </c>
      <c r="T133" s="3">
        <v>6423309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796532</v>
      </c>
      <c r="Z133" s="3">
        <v>796532</v>
      </c>
      <c r="AA133" s="4">
        <v>796532</v>
      </c>
      <c r="AB133" s="4">
        <v>796532</v>
      </c>
      <c r="AC133" s="4">
        <v>796532</v>
      </c>
      <c r="AD133" s="4">
        <v>796530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3999464</v>
      </c>
      <c r="AJ133" s="4">
        <v>4795996</v>
      </c>
      <c r="AK133" s="4">
        <v>5592528</v>
      </c>
      <c r="AL133" s="4">
        <v>6389060</v>
      </c>
      <c r="AM133" s="4">
        <v>7185592</v>
      </c>
      <c r="AN133" s="4">
        <v>7982122</v>
      </c>
      <c r="AO133" s="150">
        <v>560399</v>
      </c>
    </row>
    <row r="134" spans="1:41" x14ac:dyDescent="0.2">
      <c r="A134" s="1">
        <v>2024</v>
      </c>
      <c r="B134" s="2" t="s">
        <v>153</v>
      </c>
      <c r="C134" s="2" t="s">
        <v>153</v>
      </c>
      <c r="D134" s="1" t="s">
        <v>504</v>
      </c>
      <c r="E134" s="3">
        <v>9523192</v>
      </c>
      <c r="F134" s="3">
        <v>1360</v>
      </c>
      <c r="G134" s="3">
        <v>0</v>
      </c>
      <c r="H134" s="3">
        <v>30969</v>
      </c>
      <c r="I134" s="1">
        <v>0</v>
      </c>
      <c r="J134" s="3">
        <v>9521832</v>
      </c>
      <c r="K134" s="3">
        <v>9490863</v>
      </c>
      <c r="L134" s="3">
        <v>9490863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7560900</v>
      </c>
      <c r="T134" s="3">
        <v>7560900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947022</v>
      </c>
      <c r="Z134" s="3">
        <v>947022</v>
      </c>
      <c r="AA134" s="4">
        <v>947022</v>
      </c>
      <c r="AB134" s="4">
        <v>947022</v>
      </c>
      <c r="AC134" s="4">
        <v>947022</v>
      </c>
      <c r="AD134" s="4">
        <v>947021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4755754</v>
      </c>
      <c r="AJ134" s="4">
        <v>5702776</v>
      </c>
      <c r="AK134" s="4">
        <v>6649798</v>
      </c>
      <c r="AL134" s="4">
        <v>7596820</v>
      </c>
      <c r="AM134" s="4">
        <v>8543842</v>
      </c>
      <c r="AN134" s="4">
        <v>9490863</v>
      </c>
      <c r="AO134" s="150">
        <v>672008</v>
      </c>
    </row>
    <row r="135" spans="1:41" x14ac:dyDescent="0.2">
      <c r="A135" s="1">
        <v>2024</v>
      </c>
      <c r="B135" s="2" t="s">
        <v>155</v>
      </c>
      <c r="C135" s="2" t="s">
        <v>155</v>
      </c>
      <c r="D135" s="1" t="s">
        <v>505</v>
      </c>
      <c r="E135" s="3">
        <v>1141706</v>
      </c>
      <c r="F135" s="3">
        <v>249</v>
      </c>
      <c r="G135" s="3">
        <v>0</v>
      </c>
      <c r="H135" s="3">
        <v>6620</v>
      </c>
      <c r="I135" s="1">
        <v>0</v>
      </c>
      <c r="J135" s="3">
        <v>1141457</v>
      </c>
      <c r="K135" s="3">
        <v>1134837</v>
      </c>
      <c r="L135" s="3">
        <v>1134837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721019</v>
      </c>
      <c r="T135" s="3">
        <v>721019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113042</v>
      </c>
      <c r="Z135" s="3">
        <v>113042</v>
      </c>
      <c r="AA135" s="4">
        <v>113042</v>
      </c>
      <c r="AB135" s="4">
        <v>113042</v>
      </c>
      <c r="AC135" s="4">
        <v>113042</v>
      </c>
      <c r="AD135" s="4">
        <v>113043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569626</v>
      </c>
      <c r="AJ135" s="4">
        <v>682668</v>
      </c>
      <c r="AK135" s="4">
        <v>795710</v>
      </c>
      <c r="AL135" s="4">
        <v>908752</v>
      </c>
      <c r="AM135" s="4">
        <v>1021794</v>
      </c>
      <c r="AN135" s="4">
        <v>1134837</v>
      </c>
      <c r="AO135" s="150">
        <v>143930</v>
      </c>
    </row>
    <row r="136" spans="1:41" x14ac:dyDescent="0.2">
      <c r="A136" s="1">
        <v>2024</v>
      </c>
      <c r="B136" s="2" t="s">
        <v>156</v>
      </c>
      <c r="C136" s="2" t="s">
        <v>156</v>
      </c>
      <c r="D136" s="1" t="s">
        <v>506</v>
      </c>
      <c r="E136" s="3">
        <v>3254577</v>
      </c>
      <c r="F136" s="3">
        <v>614</v>
      </c>
      <c r="G136" s="3">
        <v>0</v>
      </c>
      <c r="H136" s="3">
        <v>14450</v>
      </c>
      <c r="I136" s="1">
        <v>0</v>
      </c>
      <c r="J136" s="3">
        <v>3253963</v>
      </c>
      <c r="K136" s="3">
        <v>3239513</v>
      </c>
      <c r="L136" s="3">
        <v>3239513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2326927</v>
      </c>
      <c r="T136" s="3">
        <v>2326927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322988</v>
      </c>
      <c r="Z136" s="3">
        <v>322988</v>
      </c>
      <c r="AA136" s="4">
        <v>322988</v>
      </c>
      <c r="AB136" s="4">
        <v>322988</v>
      </c>
      <c r="AC136" s="4">
        <v>322988</v>
      </c>
      <c r="AD136" s="4">
        <v>322989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1624572</v>
      </c>
      <c r="AJ136" s="4">
        <v>1947560</v>
      </c>
      <c r="AK136" s="4">
        <v>2270548</v>
      </c>
      <c r="AL136" s="4">
        <v>2593536</v>
      </c>
      <c r="AM136" s="4">
        <v>2916524</v>
      </c>
      <c r="AN136" s="4">
        <v>3239513</v>
      </c>
      <c r="AO136" s="150">
        <v>331550</v>
      </c>
    </row>
    <row r="137" spans="1:41" x14ac:dyDescent="0.2">
      <c r="A137" s="1">
        <v>2024</v>
      </c>
      <c r="B137" s="2" t="s">
        <v>157</v>
      </c>
      <c r="C137" s="2" t="s">
        <v>157</v>
      </c>
      <c r="D137" s="1" t="s">
        <v>507</v>
      </c>
      <c r="E137" s="3">
        <v>3481668</v>
      </c>
      <c r="F137" s="1">
        <v>580</v>
      </c>
      <c r="G137" s="1">
        <v>0</v>
      </c>
      <c r="H137" s="3">
        <v>13128</v>
      </c>
      <c r="I137" s="1">
        <v>0</v>
      </c>
      <c r="J137" s="3">
        <v>3481088</v>
      </c>
      <c r="K137" s="3">
        <v>3467960</v>
      </c>
      <c r="L137" s="3">
        <v>3467960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2632972</v>
      </c>
      <c r="T137" s="3">
        <v>2632972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345921</v>
      </c>
      <c r="Z137" s="3">
        <v>345921</v>
      </c>
      <c r="AA137" s="4">
        <v>345921</v>
      </c>
      <c r="AB137" s="4">
        <v>345921</v>
      </c>
      <c r="AC137" s="4">
        <v>345921</v>
      </c>
      <c r="AD137" s="4">
        <v>345919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1738357</v>
      </c>
      <c r="AJ137" s="4">
        <v>2084278</v>
      </c>
      <c r="AK137" s="4">
        <v>2430199</v>
      </c>
      <c r="AL137" s="4">
        <v>2776120</v>
      </c>
      <c r="AM137" s="4">
        <v>3122041</v>
      </c>
      <c r="AN137" s="4">
        <v>3467960</v>
      </c>
      <c r="AO137" s="150">
        <v>276573</v>
      </c>
    </row>
    <row r="138" spans="1:41" x14ac:dyDescent="0.2">
      <c r="A138" s="1">
        <v>2024</v>
      </c>
      <c r="B138" s="2" t="s">
        <v>158</v>
      </c>
      <c r="C138" s="2" t="s">
        <v>158</v>
      </c>
      <c r="D138" s="1" t="s">
        <v>508</v>
      </c>
      <c r="E138" s="3">
        <v>3695278</v>
      </c>
      <c r="F138" s="1">
        <v>580</v>
      </c>
      <c r="G138" s="1">
        <v>0</v>
      </c>
      <c r="H138" s="3">
        <v>12545</v>
      </c>
      <c r="I138" s="3">
        <v>0</v>
      </c>
      <c r="J138" s="3">
        <v>3694698</v>
      </c>
      <c r="K138" s="3">
        <v>3682153</v>
      </c>
      <c r="L138" s="3">
        <v>3682153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2877893</v>
      </c>
      <c r="T138" s="3">
        <v>2877893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367379</v>
      </c>
      <c r="Z138" s="3">
        <v>367379</v>
      </c>
      <c r="AA138" s="4">
        <v>367379</v>
      </c>
      <c r="AB138" s="4">
        <v>367379</v>
      </c>
      <c r="AC138" s="4">
        <v>367379</v>
      </c>
      <c r="AD138" s="4">
        <v>367378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1845259</v>
      </c>
      <c r="AJ138" s="4">
        <v>2212638</v>
      </c>
      <c r="AK138" s="4">
        <v>2580017</v>
      </c>
      <c r="AL138" s="4">
        <v>2947396</v>
      </c>
      <c r="AM138" s="4">
        <v>3314775</v>
      </c>
      <c r="AN138" s="4">
        <v>3682153</v>
      </c>
      <c r="AO138" s="150">
        <v>271440</v>
      </c>
    </row>
    <row r="139" spans="1:41" x14ac:dyDescent="0.2">
      <c r="A139" s="1">
        <v>2024</v>
      </c>
      <c r="B139" s="2" t="s">
        <v>159</v>
      </c>
      <c r="C139" s="2" t="s">
        <v>159</v>
      </c>
      <c r="D139" s="1" t="s">
        <v>509</v>
      </c>
      <c r="E139" s="3">
        <v>7475304</v>
      </c>
      <c r="F139" s="3">
        <v>1045</v>
      </c>
      <c r="G139" s="3">
        <v>0</v>
      </c>
      <c r="H139" s="3">
        <v>25934</v>
      </c>
      <c r="I139" s="1">
        <v>0</v>
      </c>
      <c r="J139" s="3">
        <v>7474259</v>
      </c>
      <c r="K139" s="3">
        <v>7448325</v>
      </c>
      <c r="L139" s="3">
        <v>7448325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5836386</v>
      </c>
      <c r="T139" s="3">
        <v>5836386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743104</v>
      </c>
      <c r="Z139" s="3">
        <v>743104</v>
      </c>
      <c r="AA139" s="4">
        <v>743103</v>
      </c>
      <c r="AB139" s="4">
        <v>743103</v>
      </c>
      <c r="AC139" s="4">
        <v>743103</v>
      </c>
      <c r="AD139" s="4">
        <v>743104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3732808</v>
      </c>
      <c r="AJ139" s="4">
        <v>4475912</v>
      </c>
      <c r="AK139" s="4">
        <v>5219015</v>
      </c>
      <c r="AL139" s="4">
        <v>5962118</v>
      </c>
      <c r="AM139" s="4">
        <v>6705221</v>
      </c>
      <c r="AN139" s="4">
        <v>7448325</v>
      </c>
      <c r="AO139" s="150">
        <v>581221</v>
      </c>
    </row>
    <row r="140" spans="1:41" x14ac:dyDescent="0.2">
      <c r="A140" s="1">
        <v>2024</v>
      </c>
      <c r="B140" s="2" t="s">
        <v>160</v>
      </c>
      <c r="C140" s="2" t="s">
        <v>160</v>
      </c>
      <c r="D140" s="1" t="s">
        <v>510</v>
      </c>
      <c r="E140" s="3">
        <v>1963037</v>
      </c>
      <c r="F140" s="1">
        <v>431</v>
      </c>
      <c r="G140" s="1">
        <v>0</v>
      </c>
      <c r="H140" s="3">
        <v>9273</v>
      </c>
      <c r="I140" s="1">
        <v>0</v>
      </c>
      <c r="J140" s="3">
        <v>1962606</v>
      </c>
      <c r="K140" s="3">
        <v>1953333</v>
      </c>
      <c r="L140" s="3">
        <v>1953333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1384196</v>
      </c>
      <c r="T140" s="3">
        <v>1384196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194715</v>
      </c>
      <c r="Z140" s="3">
        <v>194715</v>
      </c>
      <c r="AA140" s="4">
        <v>194715</v>
      </c>
      <c r="AB140" s="4">
        <v>194715</v>
      </c>
      <c r="AC140" s="4">
        <v>194715</v>
      </c>
      <c r="AD140" s="4">
        <v>194714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979759</v>
      </c>
      <c r="AJ140" s="4">
        <v>1174474</v>
      </c>
      <c r="AK140" s="4">
        <v>1369189</v>
      </c>
      <c r="AL140" s="4">
        <v>1563904</v>
      </c>
      <c r="AM140" s="4">
        <v>1758619</v>
      </c>
      <c r="AN140" s="4">
        <v>1953333</v>
      </c>
      <c r="AO140" s="150">
        <v>197508</v>
      </c>
    </row>
    <row r="141" spans="1:41" x14ac:dyDescent="0.2">
      <c r="A141" s="1">
        <v>2024</v>
      </c>
      <c r="B141" s="2" t="s">
        <v>161</v>
      </c>
      <c r="C141" s="2" t="s">
        <v>161</v>
      </c>
      <c r="D141" s="1" t="s">
        <v>511</v>
      </c>
      <c r="E141" s="3">
        <v>5590895</v>
      </c>
      <c r="F141" s="3">
        <v>680</v>
      </c>
      <c r="G141" s="3">
        <v>0</v>
      </c>
      <c r="H141" s="3">
        <v>16094</v>
      </c>
      <c r="I141" s="1">
        <v>0</v>
      </c>
      <c r="J141" s="3">
        <v>5590215</v>
      </c>
      <c r="K141" s="3">
        <v>5574121</v>
      </c>
      <c r="L141" s="3">
        <v>5574121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4550795</v>
      </c>
      <c r="T141" s="3">
        <v>4550795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556339</v>
      </c>
      <c r="Z141" s="3">
        <v>556339</v>
      </c>
      <c r="AA141" s="4">
        <v>556339</v>
      </c>
      <c r="AB141" s="4">
        <v>556339</v>
      </c>
      <c r="AC141" s="4">
        <v>556339</v>
      </c>
      <c r="AD141" s="4">
        <v>556338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2792427</v>
      </c>
      <c r="AJ141" s="4">
        <v>3348766</v>
      </c>
      <c r="AK141" s="4">
        <v>3905105</v>
      </c>
      <c r="AL141" s="4">
        <v>4461444</v>
      </c>
      <c r="AM141" s="4">
        <v>5017783</v>
      </c>
      <c r="AN141" s="4">
        <v>5574121</v>
      </c>
      <c r="AO141" s="150">
        <v>358533</v>
      </c>
    </row>
    <row r="142" spans="1:41" x14ac:dyDescent="0.2">
      <c r="A142" s="1">
        <v>2024</v>
      </c>
      <c r="B142" s="2" t="s">
        <v>162</v>
      </c>
      <c r="C142" s="2" t="s">
        <v>162</v>
      </c>
      <c r="D142" s="1" t="s">
        <v>512</v>
      </c>
      <c r="E142" s="3">
        <v>8380694</v>
      </c>
      <c r="F142" s="3">
        <v>1194</v>
      </c>
      <c r="G142" s="3">
        <v>0</v>
      </c>
      <c r="H142" s="3">
        <v>28076</v>
      </c>
      <c r="I142" s="1">
        <v>0</v>
      </c>
      <c r="J142" s="3">
        <v>8379500</v>
      </c>
      <c r="K142" s="3">
        <v>8351424</v>
      </c>
      <c r="L142" s="3">
        <v>8351424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6589740</v>
      </c>
      <c r="T142" s="3">
        <v>6589740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833271</v>
      </c>
      <c r="Z142" s="3">
        <v>833271</v>
      </c>
      <c r="AA142" s="4">
        <v>833271</v>
      </c>
      <c r="AB142" s="4">
        <v>833271</v>
      </c>
      <c r="AC142" s="4">
        <v>833271</v>
      </c>
      <c r="AD142" s="4">
        <v>833269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4185071</v>
      </c>
      <c r="AJ142" s="4">
        <v>5018342</v>
      </c>
      <c r="AK142" s="4">
        <v>5851613</v>
      </c>
      <c r="AL142" s="4">
        <v>6684884</v>
      </c>
      <c r="AM142" s="4">
        <v>7518155</v>
      </c>
      <c r="AN142" s="4">
        <v>8351424</v>
      </c>
      <c r="AO142" s="150">
        <v>631606</v>
      </c>
    </row>
    <row r="143" spans="1:41" x14ac:dyDescent="0.2">
      <c r="A143" s="1">
        <v>2024</v>
      </c>
      <c r="B143" s="2" t="s">
        <v>163</v>
      </c>
      <c r="C143" s="2" t="s">
        <v>163</v>
      </c>
      <c r="D143" s="1" t="s">
        <v>513</v>
      </c>
      <c r="E143" s="3">
        <v>10232469</v>
      </c>
      <c r="F143" s="3">
        <v>1725</v>
      </c>
      <c r="G143" s="3">
        <v>0</v>
      </c>
      <c r="H143" s="3">
        <v>31159</v>
      </c>
      <c r="I143" s="1">
        <v>0</v>
      </c>
      <c r="J143" s="3">
        <v>10230744</v>
      </c>
      <c r="K143" s="3">
        <v>10199585</v>
      </c>
      <c r="L143" s="3">
        <v>10199585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8134649</v>
      </c>
      <c r="T143" s="3">
        <v>8134649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1017882</v>
      </c>
      <c r="Z143" s="3">
        <v>1017882</v>
      </c>
      <c r="AA143" s="4">
        <v>1017881</v>
      </c>
      <c r="AB143" s="4">
        <v>1017881</v>
      </c>
      <c r="AC143" s="4">
        <v>1017881</v>
      </c>
      <c r="AD143" s="4">
        <v>1017882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5110178</v>
      </c>
      <c r="AJ143" s="4">
        <v>6128060</v>
      </c>
      <c r="AK143" s="4">
        <v>7145941</v>
      </c>
      <c r="AL143" s="4">
        <v>8163822</v>
      </c>
      <c r="AM143" s="4">
        <v>9181703</v>
      </c>
      <c r="AN143" s="4">
        <v>10199585</v>
      </c>
      <c r="AO143" s="150">
        <v>705608</v>
      </c>
    </row>
    <row r="144" spans="1:41" x14ac:dyDescent="0.2">
      <c r="A144" s="1">
        <v>2024</v>
      </c>
      <c r="B144" s="2" t="s">
        <v>164</v>
      </c>
      <c r="C144" s="2" t="s">
        <v>164</v>
      </c>
      <c r="D144" s="1" t="s">
        <v>514</v>
      </c>
      <c r="E144" s="3">
        <v>26123950</v>
      </c>
      <c r="F144" s="3">
        <v>2007</v>
      </c>
      <c r="G144" s="3">
        <v>6608</v>
      </c>
      <c r="H144" s="3">
        <v>77386</v>
      </c>
      <c r="I144" s="1">
        <v>0</v>
      </c>
      <c r="J144" s="3">
        <v>26115335</v>
      </c>
      <c r="K144" s="3">
        <v>26037949</v>
      </c>
      <c r="L144" s="3">
        <v>26037949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21714784</v>
      </c>
      <c r="T144" s="3">
        <v>21714784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2598636</v>
      </c>
      <c r="Z144" s="3">
        <v>2598636</v>
      </c>
      <c r="AA144" s="4">
        <v>2598635</v>
      </c>
      <c r="AB144" s="4">
        <v>2598635</v>
      </c>
      <c r="AC144" s="4">
        <v>2598635</v>
      </c>
      <c r="AD144" s="4">
        <v>2598636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13044772</v>
      </c>
      <c r="AJ144" s="4">
        <v>15643408</v>
      </c>
      <c r="AK144" s="4">
        <v>18242043</v>
      </c>
      <c r="AL144" s="4">
        <v>20840678</v>
      </c>
      <c r="AM144" s="4">
        <v>23439313</v>
      </c>
      <c r="AN144" s="4">
        <v>26037949</v>
      </c>
      <c r="AO144" s="150">
        <v>1664541</v>
      </c>
    </row>
    <row r="145" spans="1:41" x14ac:dyDescent="0.2">
      <c r="A145" s="1">
        <v>2024</v>
      </c>
      <c r="B145" s="2" t="s">
        <v>165</v>
      </c>
      <c r="C145" s="2" t="s">
        <v>165</v>
      </c>
      <c r="D145" s="1" t="s">
        <v>515</v>
      </c>
      <c r="E145" s="3">
        <v>6014722</v>
      </c>
      <c r="F145" s="3">
        <v>647</v>
      </c>
      <c r="G145" s="3">
        <v>0</v>
      </c>
      <c r="H145" s="3">
        <v>18888</v>
      </c>
      <c r="I145" s="1">
        <v>0</v>
      </c>
      <c r="J145" s="3">
        <v>6014075</v>
      </c>
      <c r="K145" s="3">
        <v>5995187</v>
      </c>
      <c r="L145" s="3">
        <v>5995187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4867182</v>
      </c>
      <c r="T145" s="3">
        <v>4867182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598259</v>
      </c>
      <c r="Z145" s="3">
        <v>598259</v>
      </c>
      <c r="AA145" s="4">
        <v>598259</v>
      </c>
      <c r="AB145" s="4">
        <v>598259</v>
      </c>
      <c r="AC145" s="4">
        <v>598259</v>
      </c>
      <c r="AD145" s="4">
        <v>598260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3003891</v>
      </c>
      <c r="AJ145" s="4">
        <v>3602150</v>
      </c>
      <c r="AK145" s="4">
        <v>4200409</v>
      </c>
      <c r="AL145" s="4">
        <v>4798668</v>
      </c>
      <c r="AM145" s="4">
        <v>5396927</v>
      </c>
      <c r="AN145" s="4">
        <v>5995187</v>
      </c>
      <c r="AO145" s="150">
        <v>397729</v>
      </c>
    </row>
    <row r="146" spans="1:41" x14ac:dyDescent="0.2">
      <c r="A146" s="1">
        <v>2024</v>
      </c>
      <c r="B146" s="2" t="s">
        <v>166</v>
      </c>
      <c r="C146" s="2" t="s">
        <v>166</v>
      </c>
      <c r="D146" s="1" t="s">
        <v>516</v>
      </c>
      <c r="E146" s="3">
        <v>91830657</v>
      </c>
      <c r="F146" s="3">
        <v>7695</v>
      </c>
      <c r="G146" s="3">
        <v>8712</v>
      </c>
      <c r="H146" s="3">
        <v>325159</v>
      </c>
      <c r="I146" s="1">
        <v>0</v>
      </c>
      <c r="J146" s="3">
        <v>91814250</v>
      </c>
      <c r="K146" s="3">
        <v>91489091</v>
      </c>
      <c r="L146" s="3">
        <v>91489091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73014527</v>
      </c>
      <c r="T146" s="3">
        <v>73014527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9127232</v>
      </c>
      <c r="Z146" s="3">
        <v>9127232</v>
      </c>
      <c r="AA146" s="4">
        <v>9127232</v>
      </c>
      <c r="AB146" s="4">
        <v>9127232</v>
      </c>
      <c r="AC146" s="4">
        <v>9127232</v>
      </c>
      <c r="AD146" s="4">
        <v>9127231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45852932</v>
      </c>
      <c r="AJ146" s="4">
        <v>54980164</v>
      </c>
      <c r="AK146" s="4">
        <v>64107396</v>
      </c>
      <c r="AL146" s="4">
        <v>73234628</v>
      </c>
      <c r="AM146" s="4">
        <v>82361860</v>
      </c>
      <c r="AN146" s="4">
        <v>91489091</v>
      </c>
      <c r="AO146" s="150">
        <v>7299380</v>
      </c>
    </row>
    <row r="147" spans="1:41" x14ac:dyDescent="0.2">
      <c r="A147" s="1">
        <v>2024</v>
      </c>
      <c r="B147" s="2" t="s">
        <v>167</v>
      </c>
      <c r="C147" s="2" t="s">
        <v>167</v>
      </c>
      <c r="D147" s="1" t="s">
        <v>517</v>
      </c>
      <c r="E147" s="3">
        <v>6993269</v>
      </c>
      <c r="F147" s="3">
        <v>1028</v>
      </c>
      <c r="G147" s="3">
        <v>0</v>
      </c>
      <c r="H147" s="3">
        <v>22570</v>
      </c>
      <c r="I147" s="1">
        <v>0</v>
      </c>
      <c r="J147" s="3">
        <v>6992241</v>
      </c>
      <c r="K147" s="3">
        <v>6969671</v>
      </c>
      <c r="L147" s="3">
        <v>6969671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5538160</v>
      </c>
      <c r="T147" s="3">
        <v>5538160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695463</v>
      </c>
      <c r="Z147" s="3">
        <v>695463</v>
      </c>
      <c r="AA147" s="4">
        <v>695462</v>
      </c>
      <c r="AB147" s="4">
        <v>695462</v>
      </c>
      <c r="AC147" s="4">
        <v>695462</v>
      </c>
      <c r="AD147" s="4">
        <v>695463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3492359</v>
      </c>
      <c r="AJ147" s="4">
        <v>4187822</v>
      </c>
      <c r="AK147" s="4">
        <v>4883284</v>
      </c>
      <c r="AL147" s="4">
        <v>5578746</v>
      </c>
      <c r="AM147" s="4">
        <v>6274208</v>
      </c>
      <c r="AN147" s="4">
        <v>6969671</v>
      </c>
      <c r="AO147" s="150">
        <v>500411</v>
      </c>
    </row>
    <row r="148" spans="1:41" x14ac:dyDescent="0.2">
      <c r="A148" s="1">
        <v>2024</v>
      </c>
      <c r="B148" s="2" t="s">
        <v>168</v>
      </c>
      <c r="C148" s="2" t="s">
        <v>168</v>
      </c>
      <c r="D148" s="1" t="s">
        <v>518</v>
      </c>
      <c r="E148" s="3">
        <v>3602176</v>
      </c>
      <c r="F148" s="1">
        <v>514</v>
      </c>
      <c r="G148" s="1">
        <v>0</v>
      </c>
      <c r="H148" s="3">
        <v>11259</v>
      </c>
      <c r="I148" s="1">
        <v>0</v>
      </c>
      <c r="J148" s="3">
        <v>3601662</v>
      </c>
      <c r="K148" s="3">
        <v>3590403</v>
      </c>
      <c r="L148" s="3">
        <v>3590403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2906174</v>
      </c>
      <c r="T148" s="3">
        <v>2906174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358290</v>
      </c>
      <c r="Z148" s="3">
        <v>358290</v>
      </c>
      <c r="AA148" s="4">
        <v>358290</v>
      </c>
      <c r="AB148" s="4">
        <v>358290</v>
      </c>
      <c r="AC148" s="4">
        <v>358290</v>
      </c>
      <c r="AD148" s="4">
        <v>358289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1798954</v>
      </c>
      <c r="AJ148" s="4">
        <v>2157244</v>
      </c>
      <c r="AK148" s="4">
        <v>2515534</v>
      </c>
      <c r="AL148" s="4">
        <v>2873824</v>
      </c>
      <c r="AM148" s="4">
        <v>3232114</v>
      </c>
      <c r="AN148" s="4">
        <v>3590403</v>
      </c>
      <c r="AO148" s="150">
        <v>232347</v>
      </c>
    </row>
    <row r="149" spans="1:41" x14ac:dyDescent="0.2">
      <c r="A149" s="1">
        <v>2024</v>
      </c>
      <c r="B149" s="2" t="s">
        <v>169</v>
      </c>
      <c r="C149" s="2" t="s">
        <v>169</v>
      </c>
      <c r="D149" s="1" t="s">
        <v>519</v>
      </c>
      <c r="E149" s="3">
        <v>3845428</v>
      </c>
      <c r="F149" s="3">
        <v>796</v>
      </c>
      <c r="G149" s="3">
        <v>0</v>
      </c>
      <c r="H149" s="3">
        <v>14999</v>
      </c>
      <c r="I149" s="1">
        <v>0</v>
      </c>
      <c r="J149" s="3">
        <v>3844632</v>
      </c>
      <c r="K149" s="3">
        <v>3829633</v>
      </c>
      <c r="L149" s="3">
        <v>3829633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2828032</v>
      </c>
      <c r="T149" s="3">
        <v>2828032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381964</v>
      </c>
      <c r="Z149" s="3">
        <v>381964</v>
      </c>
      <c r="AA149" s="4">
        <v>381963</v>
      </c>
      <c r="AB149" s="4">
        <v>381963</v>
      </c>
      <c r="AC149" s="4">
        <v>381963</v>
      </c>
      <c r="AD149" s="4">
        <v>381964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1919816</v>
      </c>
      <c r="AJ149" s="4">
        <v>2301780</v>
      </c>
      <c r="AK149" s="4">
        <v>2683743</v>
      </c>
      <c r="AL149" s="4">
        <v>3065706</v>
      </c>
      <c r="AM149" s="4">
        <v>3447669</v>
      </c>
      <c r="AN149" s="4">
        <v>3829633</v>
      </c>
      <c r="AO149" s="150">
        <v>311001</v>
      </c>
    </row>
    <row r="150" spans="1:41" x14ac:dyDescent="0.2">
      <c r="A150" s="1">
        <v>2024</v>
      </c>
      <c r="B150" s="2" t="s">
        <v>170</v>
      </c>
      <c r="C150" s="2" t="s">
        <v>170</v>
      </c>
      <c r="D150" s="1" t="s">
        <v>520</v>
      </c>
      <c r="E150" s="3">
        <v>3278191</v>
      </c>
      <c r="F150" s="1">
        <v>647</v>
      </c>
      <c r="G150" s="1">
        <v>0</v>
      </c>
      <c r="H150" s="3">
        <v>9928</v>
      </c>
      <c r="I150" s="1">
        <v>0</v>
      </c>
      <c r="J150" s="3">
        <v>3277544</v>
      </c>
      <c r="K150" s="3">
        <v>3267616</v>
      </c>
      <c r="L150" s="3">
        <v>3267616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2619571</v>
      </c>
      <c r="T150" s="3">
        <v>2619571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326100</v>
      </c>
      <c r="Z150" s="3">
        <v>326100</v>
      </c>
      <c r="AA150" s="4">
        <v>326100</v>
      </c>
      <c r="AB150" s="4">
        <v>326100</v>
      </c>
      <c r="AC150" s="4">
        <v>326100</v>
      </c>
      <c r="AD150" s="4">
        <v>326100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1637116</v>
      </c>
      <c r="AJ150" s="4">
        <v>1963216</v>
      </c>
      <c r="AK150" s="4">
        <v>2289316</v>
      </c>
      <c r="AL150" s="4">
        <v>2615416</v>
      </c>
      <c r="AM150" s="4">
        <v>2941516</v>
      </c>
      <c r="AN150" s="4">
        <v>3267616</v>
      </c>
      <c r="AO150" s="150">
        <v>229694</v>
      </c>
    </row>
    <row r="151" spans="1:41" x14ac:dyDescent="0.2">
      <c r="A151" s="1">
        <v>2024</v>
      </c>
      <c r="B151" s="2" t="s">
        <v>171</v>
      </c>
      <c r="C151" s="2" t="s">
        <v>171</v>
      </c>
      <c r="D151" s="1" t="s">
        <v>521</v>
      </c>
      <c r="E151" s="3">
        <v>7618874</v>
      </c>
      <c r="F151" s="3">
        <v>1294</v>
      </c>
      <c r="G151" s="3">
        <v>0</v>
      </c>
      <c r="H151" s="3">
        <v>26684</v>
      </c>
      <c r="I151" s="1">
        <v>0</v>
      </c>
      <c r="J151" s="3">
        <v>7617580</v>
      </c>
      <c r="K151" s="3">
        <v>7590896</v>
      </c>
      <c r="L151" s="3">
        <v>7590896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5883836</v>
      </c>
      <c r="T151" s="3">
        <v>5883836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757311</v>
      </c>
      <c r="Z151" s="3">
        <v>757311</v>
      </c>
      <c r="AA151" s="4">
        <v>757311</v>
      </c>
      <c r="AB151" s="4">
        <v>757311</v>
      </c>
      <c r="AC151" s="4">
        <v>757311</v>
      </c>
      <c r="AD151" s="4">
        <v>757309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3804343</v>
      </c>
      <c r="AJ151" s="4">
        <v>4561654</v>
      </c>
      <c r="AK151" s="4">
        <v>5318965</v>
      </c>
      <c r="AL151" s="4">
        <v>6076276</v>
      </c>
      <c r="AM151" s="4">
        <v>6833587</v>
      </c>
      <c r="AN151" s="4">
        <v>7590896</v>
      </c>
      <c r="AO151" s="150">
        <v>572190</v>
      </c>
    </row>
    <row r="152" spans="1:41" x14ac:dyDescent="0.2">
      <c r="A152" s="1">
        <v>2024</v>
      </c>
      <c r="B152" s="2" t="s">
        <v>172</v>
      </c>
      <c r="C152" s="2" t="s">
        <v>172</v>
      </c>
      <c r="D152" s="1" t="s">
        <v>522</v>
      </c>
      <c r="E152" s="3">
        <v>6491414</v>
      </c>
      <c r="F152" s="3">
        <v>1012</v>
      </c>
      <c r="G152" s="3">
        <v>0</v>
      </c>
      <c r="H152" s="3">
        <v>20134</v>
      </c>
      <c r="I152" s="1">
        <v>0</v>
      </c>
      <c r="J152" s="3">
        <v>6490402</v>
      </c>
      <c r="K152" s="3">
        <v>6470268</v>
      </c>
      <c r="L152" s="3">
        <v>6470268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5241561</v>
      </c>
      <c r="T152" s="3">
        <v>5241561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645685</v>
      </c>
      <c r="Z152" s="3">
        <v>645685</v>
      </c>
      <c r="AA152" s="4">
        <v>645685</v>
      </c>
      <c r="AB152" s="4">
        <v>645685</v>
      </c>
      <c r="AC152" s="4">
        <v>645685</v>
      </c>
      <c r="AD152" s="4">
        <v>645683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3241845</v>
      </c>
      <c r="AJ152" s="4">
        <v>3887530</v>
      </c>
      <c r="AK152" s="4">
        <v>4533215</v>
      </c>
      <c r="AL152" s="4">
        <v>5178900</v>
      </c>
      <c r="AM152" s="4">
        <v>5824585</v>
      </c>
      <c r="AN152" s="4">
        <v>6470268</v>
      </c>
      <c r="AO152" s="150">
        <v>468598</v>
      </c>
    </row>
    <row r="153" spans="1:41" x14ac:dyDescent="0.2">
      <c r="A153" s="1">
        <v>2024</v>
      </c>
      <c r="B153" s="2" t="s">
        <v>173</v>
      </c>
      <c r="C153" s="2" t="s">
        <v>173</v>
      </c>
      <c r="D153" s="1" t="s">
        <v>523</v>
      </c>
      <c r="E153" s="3">
        <v>48327267</v>
      </c>
      <c r="F153" s="3">
        <v>4030</v>
      </c>
      <c r="G153" s="3">
        <v>3830</v>
      </c>
      <c r="H153" s="3">
        <v>157286</v>
      </c>
      <c r="I153" s="1">
        <v>0</v>
      </c>
      <c r="J153" s="3">
        <v>48319407</v>
      </c>
      <c r="K153" s="3">
        <v>48162121</v>
      </c>
      <c r="L153" s="3">
        <v>48162121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39414964</v>
      </c>
      <c r="T153" s="3">
        <v>39414964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4805726</v>
      </c>
      <c r="Z153" s="3">
        <v>4805726</v>
      </c>
      <c r="AA153" s="4">
        <v>4805726</v>
      </c>
      <c r="AB153" s="4">
        <v>4805726</v>
      </c>
      <c r="AC153" s="4">
        <v>4805726</v>
      </c>
      <c r="AD153" s="4">
        <v>4805727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24133490</v>
      </c>
      <c r="AJ153" s="4">
        <v>28939216</v>
      </c>
      <c r="AK153" s="4">
        <v>33744942</v>
      </c>
      <c r="AL153" s="4">
        <v>38550668</v>
      </c>
      <c r="AM153" s="4">
        <v>43356394</v>
      </c>
      <c r="AN153" s="4">
        <v>48162121</v>
      </c>
      <c r="AO153" s="150">
        <v>3508434</v>
      </c>
    </row>
    <row r="154" spans="1:41" x14ac:dyDescent="0.2">
      <c r="A154" s="1">
        <v>2024</v>
      </c>
      <c r="B154" s="2" t="s">
        <v>174</v>
      </c>
      <c r="C154" s="2" t="s">
        <v>174</v>
      </c>
      <c r="D154" s="1" t="s">
        <v>524</v>
      </c>
      <c r="E154" s="3">
        <v>16016553</v>
      </c>
      <c r="F154" s="3">
        <v>1542</v>
      </c>
      <c r="G154" s="3">
        <v>0</v>
      </c>
      <c r="H154" s="3">
        <v>41659</v>
      </c>
      <c r="I154" s="3">
        <v>92991</v>
      </c>
      <c r="J154" s="3">
        <v>16015011</v>
      </c>
      <c r="K154" s="3">
        <v>15973352</v>
      </c>
      <c r="L154" s="3">
        <v>15880361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13453015</v>
      </c>
      <c r="T154" s="3">
        <v>13360024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1594558</v>
      </c>
      <c r="Z154" s="3">
        <v>1594558</v>
      </c>
      <c r="AA154" s="4">
        <v>1571310</v>
      </c>
      <c r="AB154" s="4">
        <v>1571310</v>
      </c>
      <c r="AC154" s="4">
        <v>1571310</v>
      </c>
      <c r="AD154" s="4">
        <v>1571311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8000562</v>
      </c>
      <c r="AJ154" s="4">
        <v>9595120</v>
      </c>
      <c r="AK154" s="4">
        <v>11166430</v>
      </c>
      <c r="AL154" s="4">
        <v>12737740</v>
      </c>
      <c r="AM154" s="4">
        <v>14309050</v>
      </c>
      <c r="AN154" s="4">
        <v>15880361</v>
      </c>
      <c r="AO154" s="150">
        <v>918870</v>
      </c>
    </row>
    <row r="155" spans="1:41" x14ac:dyDescent="0.2">
      <c r="A155" s="1">
        <v>2024</v>
      </c>
      <c r="B155" s="2" t="s">
        <v>175</v>
      </c>
      <c r="C155" s="2" t="s">
        <v>175</v>
      </c>
      <c r="D155" s="1" t="s">
        <v>525</v>
      </c>
      <c r="E155" s="3">
        <v>2258489</v>
      </c>
      <c r="F155" s="3">
        <v>315</v>
      </c>
      <c r="G155" s="3">
        <v>0</v>
      </c>
      <c r="H155" s="3">
        <v>8122</v>
      </c>
      <c r="I155" s="1">
        <v>0</v>
      </c>
      <c r="J155" s="3">
        <v>2258174</v>
      </c>
      <c r="K155" s="3">
        <v>2250052</v>
      </c>
      <c r="L155" s="3">
        <v>2250052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1741967</v>
      </c>
      <c r="T155" s="3">
        <v>1741967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224464</v>
      </c>
      <c r="Z155" s="3">
        <v>224464</v>
      </c>
      <c r="AA155" s="4">
        <v>224464</v>
      </c>
      <c r="AB155" s="4">
        <v>224464</v>
      </c>
      <c r="AC155" s="4">
        <v>224464</v>
      </c>
      <c r="AD155" s="4">
        <v>224464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1127732</v>
      </c>
      <c r="AJ155" s="4">
        <v>1352196</v>
      </c>
      <c r="AK155" s="4">
        <v>1576660</v>
      </c>
      <c r="AL155" s="4">
        <v>1801124</v>
      </c>
      <c r="AM155" s="4">
        <v>2025588</v>
      </c>
      <c r="AN155" s="4">
        <v>2250052</v>
      </c>
      <c r="AO155" s="150">
        <v>172532</v>
      </c>
    </row>
    <row r="156" spans="1:41" x14ac:dyDescent="0.2">
      <c r="A156" s="1">
        <v>2024</v>
      </c>
      <c r="B156" s="2" t="s">
        <v>176</v>
      </c>
      <c r="C156" s="2" t="s">
        <v>176</v>
      </c>
      <c r="D156" s="1" t="s">
        <v>526</v>
      </c>
      <c r="E156" s="3">
        <v>3173129</v>
      </c>
      <c r="F156" s="3">
        <v>0</v>
      </c>
      <c r="G156" s="3">
        <v>0</v>
      </c>
      <c r="H156" s="3">
        <v>10608</v>
      </c>
      <c r="I156" s="1">
        <v>0</v>
      </c>
      <c r="J156" s="3">
        <v>3173129</v>
      </c>
      <c r="K156" s="3">
        <v>3162521</v>
      </c>
      <c r="L156" s="3">
        <v>3162521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2582833</v>
      </c>
      <c r="T156" s="3">
        <v>2582833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315545</v>
      </c>
      <c r="Z156" s="3">
        <v>315545</v>
      </c>
      <c r="AA156" s="4">
        <v>315545</v>
      </c>
      <c r="AB156" s="4">
        <v>315545</v>
      </c>
      <c r="AC156" s="4">
        <v>315545</v>
      </c>
      <c r="AD156" s="4">
        <v>315544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1584797</v>
      </c>
      <c r="AJ156" s="4">
        <v>1900342</v>
      </c>
      <c r="AK156" s="4">
        <v>2215887</v>
      </c>
      <c r="AL156" s="4">
        <v>2531432</v>
      </c>
      <c r="AM156" s="4">
        <v>2846977</v>
      </c>
      <c r="AN156" s="4">
        <v>3162521</v>
      </c>
      <c r="AO156" s="150">
        <v>239926</v>
      </c>
    </row>
    <row r="157" spans="1:41" x14ac:dyDescent="0.2">
      <c r="A157" s="1">
        <v>2024</v>
      </c>
      <c r="B157" s="2" t="s">
        <v>177</v>
      </c>
      <c r="C157" s="2" t="s">
        <v>177</v>
      </c>
      <c r="D157" s="1" t="s">
        <v>527</v>
      </c>
      <c r="E157" s="3">
        <v>13665947</v>
      </c>
      <c r="F157" s="3">
        <v>1211</v>
      </c>
      <c r="G157" s="3">
        <v>3409</v>
      </c>
      <c r="H157" s="3">
        <v>39659</v>
      </c>
      <c r="I157" s="1">
        <v>0</v>
      </c>
      <c r="J157" s="3">
        <v>13661327</v>
      </c>
      <c r="K157" s="3">
        <v>13621668</v>
      </c>
      <c r="L157" s="3">
        <v>13621668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11277864</v>
      </c>
      <c r="T157" s="3">
        <v>11277864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1359523</v>
      </c>
      <c r="Z157" s="3">
        <v>1359523</v>
      </c>
      <c r="AA157" s="4">
        <v>1359523</v>
      </c>
      <c r="AB157" s="4">
        <v>1359523</v>
      </c>
      <c r="AC157" s="4">
        <v>1359523</v>
      </c>
      <c r="AD157" s="4">
        <v>1359521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6824055</v>
      </c>
      <c r="AJ157" s="4">
        <v>8183578</v>
      </c>
      <c r="AK157" s="4">
        <v>9543101</v>
      </c>
      <c r="AL157" s="4">
        <v>10902624</v>
      </c>
      <c r="AM157" s="4">
        <v>12262147</v>
      </c>
      <c r="AN157" s="4">
        <v>13621668</v>
      </c>
      <c r="AO157" s="150">
        <v>822512</v>
      </c>
    </row>
    <row r="158" spans="1:41" x14ac:dyDescent="0.2">
      <c r="A158" s="1">
        <v>2024</v>
      </c>
      <c r="B158" s="2" t="s">
        <v>178</v>
      </c>
      <c r="C158" s="2" t="s">
        <v>178</v>
      </c>
      <c r="D158" s="1" t="s">
        <v>528</v>
      </c>
      <c r="E158" s="3">
        <v>3460838</v>
      </c>
      <c r="F158" s="3">
        <v>464</v>
      </c>
      <c r="G158" s="3">
        <v>0</v>
      </c>
      <c r="H158" s="3">
        <v>12725</v>
      </c>
      <c r="I158" s="1">
        <v>0</v>
      </c>
      <c r="J158" s="3">
        <v>3460374</v>
      </c>
      <c r="K158" s="3">
        <v>3447649</v>
      </c>
      <c r="L158" s="3">
        <v>3447649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2655728</v>
      </c>
      <c r="T158" s="3">
        <v>2655728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343917</v>
      </c>
      <c r="Z158" s="3">
        <v>343917</v>
      </c>
      <c r="AA158" s="4">
        <v>343917</v>
      </c>
      <c r="AB158" s="4">
        <v>343917</v>
      </c>
      <c r="AC158" s="4">
        <v>343917</v>
      </c>
      <c r="AD158" s="4">
        <v>343916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1728065</v>
      </c>
      <c r="AJ158" s="4">
        <v>2071982</v>
      </c>
      <c r="AK158" s="4">
        <v>2415899</v>
      </c>
      <c r="AL158" s="4">
        <v>2759816</v>
      </c>
      <c r="AM158" s="4">
        <v>3103733</v>
      </c>
      <c r="AN158" s="4">
        <v>3447649</v>
      </c>
      <c r="AO158" s="150">
        <v>277281</v>
      </c>
    </row>
    <row r="159" spans="1:41" x14ac:dyDescent="0.2">
      <c r="A159" s="1">
        <v>2024</v>
      </c>
      <c r="B159" s="2" t="s">
        <v>179</v>
      </c>
      <c r="C159" s="2" t="s">
        <v>179</v>
      </c>
      <c r="D159" s="1" t="s">
        <v>529</v>
      </c>
      <c r="E159" s="3">
        <v>2954902</v>
      </c>
      <c r="F159" s="1">
        <v>398</v>
      </c>
      <c r="G159" s="1">
        <v>0</v>
      </c>
      <c r="H159" s="3">
        <v>7584</v>
      </c>
      <c r="I159" s="3">
        <v>174685</v>
      </c>
      <c r="J159" s="3">
        <v>2954504</v>
      </c>
      <c r="K159" s="3">
        <v>2946920</v>
      </c>
      <c r="L159" s="3">
        <v>2772235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2429925</v>
      </c>
      <c r="T159" s="3">
        <v>2255240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294187</v>
      </c>
      <c r="Z159" s="3">
        <v>294187</v>
      </c>
      <c r="AA159" s="4">
        <v>250515</v>
      </c>
      <c r="AB159" s="4">
        <v>250515</v>
      </c>
      <c r="AC159" s="4">
        <v>250515</v>
      </c>
      <c r="AD159" s="4">
        <v>250516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1475987</v>
      </c>
      <c r="AJ159" s="4">
        <v>1770174</v>
      </c>
      <c r="AK159" s="4">
        <v>2020689</v>
      </c>
      <c r="AL159" s="4">
        <v>2271204</v>
      </c>
      <c r="AM159" s="4">
        <v>2521719</v>
      </c>
      <c r="AN159" s="4">
        <v>2772235</v>
      </c>
      <c r="AO159" s="150">
        <v>168351</v>
      </c>
    </row>
    <row r="160" spans="1:41" x14ac:dyDescent="0.2">
      <c r="A160" s="1">
        <v>2024</v>
      </c>
      <c r="B160" s="2" t="s">
        <v>180</v>
      </c>
      <c r="C160" s="2" t="s">
        <v>180</v>
      </c>
      <c r="D160" s="1" t="s">
        <v>530</v>
      </c>
      <c r="E160" s="3">
        <v>1965733</v>
      </c>
      <c r="F160" s="3">
        <v>332</v>
      </c>
      <c r="G160" s="3">
        <v>0</v>
      </c>
      <c r="H160" s="3">
        <v>6740</v>
      </c>
      <c r="I160" s="1">
        <v>0</v>
      </c>
      <c r="J160" s="3">
        <v>1965401</v>
      </c>
      <c r="K160" s="3">
        <v>1958661</v>
      </c>
      <c r="L160" s="3">
        <v>1958661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1509915</v>
      </c>
      <c r="T160" s="3">
        <v>1509915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195417</v>
      </c>
      <c r="Z160" s="3">
        <v>195417</v>
      </c>
      <c r="AA160" s="4">
        <v>195417</v>
      </c>
      <c r="AB160" s="4">
        <v>195417</v>
      </c>
      <c r="AC160" s="4">
        <v>195417</v>
      </c>
      <c r="AD160" s="4">
        <v>195416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981577</v>
      </c>
      <c r="AJ160" s="4">
        <v>1176994</v>
      </c>
      <c r="AK160" s="4">
        <v>1372411</v>
      </c>
      <c r="AL160" s="4">
        <v>1567828</v>
      </c>
      <c r="AM160" s="4">
        <v>1763245</v>
      </c>
      <c r="AN160" s="4">
        <v>1958661</v>
      </c>
      <c r="AO160" s="150">
        <v>148082</v>
      </c>
    </row>
    <row r="161" spans="1:41" x14ac:dyDescent="0.2">
      <c r="A161" s="1">
        <v>2024</v>
      </c>
      <c r="B161" s="2" t="s">
        <v>181</v>
      </c>
      <c r="C161" s="2" t="s">
        <v>181</v>
      </c>
      <c r="D161" s="1" t="s">
        <v>531</v>
      </c>
      <c r="E161" s="3">
        <v>4001088</v>
      </c>
      <c r="F161" s="1">
        <v>514</v>
      </c>
      <c r="G161" s="1">
        <v>0</v>
      </c>
      <c r="H161" s="3">
        <v>13770</v>
      </c>
      <c r="I161" s="1">
        <v>0</v>
      </c>
      <c r="J161" s="3">
        <v>4000574</v>
      </c>
      <c r="K161" s="3">
        <v>3986804</v>
      </c>
      <c r="L161" s="3">
        <v>3986804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3165242</v>
      </c>
      <c r="T161" s="3">
        <v>3165242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397763</v>
      </c>
      <c r="Z161" s="3">
        <v>397763</v>
      </c>
      <c r="AA161" s="4">
        <v>397763</v>
      </c>
      <c r="AB161" s="4">
        <v>397763</v>
      </c>
      <c r="AC161" s="4">
        <v>397763</v>
      </c>
      <c r="AD161" s="4">
        <v>397761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1997991</v>
      </c>
      <c r="AJ161" s="4">
        <v>2395754</v>
      </c>
      <c r="AK161" s="4">
        <v>2793517</v>
      </c>
      <c r="AL161" s="4">
        <v>3191280</v>
      </c>
      <c r="AM161" s="4">
        <v>3589043</v>
      </c>
      <c r="AN161" s="4">
        <v>3986804</v>
      </c>
      <c r="AO161" s="150">
        <v>300952</v>
      </c>
    </row>
    <row r="162" spans="1:41" x14ac:dyDescent="0.2">
      <c r="A162" s="1">
        <v>2024</v>
      </c>
      <c r="B162" s="2" t="s">
        <v>182</v>
      </c>
      <c r="C162" s="2" t="s">
        <v>696</v>
      </c>
      <c r="D162" s="1" t="s">
        <v>532</v>
      </c>
      <c r="E162" s="3">
        <v>3126662</v>
      </c>
      <c r="F162" s="1">
        <v>381</v>
      </c>
      <c r="G162" s="1">
        <v>0</v>
      </c>
      <c r="H162" s="3">
        <v>11827</v>
      </c>
      <c r="I162" s="3">
        <v>608078</v>
      </c>
      <c r="J162" s="3">
        <v>3126281</v>
      </c>
      <c r="K162" s="3">
        <v>3114454</v>
      </c>
      <c r="L162" s="3">
        <v>2506376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2347084</v>
      </c>
      <c r="T162" s="3">
        <v>1739006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310657</v>
      </c>
      <c r="Z162" s="3">
        <v>310657</v>
      </c>
      <c r="AA162" s="4">
        <v>158638</v>
      </c>
      <c r="AB162" s="4">
        <v>158638</v>
      </c>
      <c r="AC162" s="4">
        <v>158638</v>
      </c>
      <c r="AD162" s="4">
        <v>158636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1561169</v>
      </c>
      <c r="AJ162" s="4">
        <v>1871826</v>
      </c>
      <c r="AK162" s="4">
        <v>2030464</v>
      </c>
      <c r="AL162" s="4">
        <v>2189102</v>
      </c>
      <c r="AM162" s="4">
        <v>2347740</v>
      </c>
      <c r="AN162" s="4">
        <v>2506376</v>
      </c>
      <c r="AO162" s="150">
        <v>266868</v>
      </c>
    </row>
    <row r="163" spans="1:41" x14ac:dyDescent="0.2">
      <c r="A163" s="1">
        <v>2024</v>
      </c>
      <c r="B163" s="2" t="s">
        <v>183</v>
      </c>
      <c r="C163" s="2" t="s">
        <v>183</v>
      </c>
      <c r="D163" s="1" t="s">
        <v>533</v>
      </c>
      <c r="E163" s="3">
        <v>15573722</v>
      </c>
      <c r="F163" s="3">
        <v>1741</v>
      </c>
      <c r="G163" s="3">
        <v>0</v>
      </c>
      <c r="H163" s="3">
        <v>50335</v>
      </c>
      <c r="I163" s="3">
        <v>0</v>
      </c>
      <c r="J163" s="3">
        <v>15571981</v>
      </c>
      <c r="K163" s="3">
        <v>15521646</v>
      </c>
      <c r="L163" s="3">
        <v>15521646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12562952</v>
      </c>
      <c r="T163" s="3">
        <v>12562952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1548809</v>
      </c>
      <c r="Z163" s="3">
        <v>1548809</v>
      </c>
      <c r="AA163" s="4">
        <v>1548809</v>
      </c>
      <c r="AB163" s="4">
        <v>1548809</v>
      </c>
      <c r="AC163" s="4">
        <v>1548809</v>
      </c>
      <c r="AD163" s="4">
        <v>1548809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7777601</v>
      </c>
      <c r="AJ163" s="4">
        <v>9326410</v>
      </c>
      <c r="AK163" s="4">
        <v>10875219</v>
      </c>
      <c r="AL163" s="4">
        <v>12424028</v>
      </c>
      <c r="AM163" s="4">
        <v>13972837</v>
      </c>
      <c r="AN163" s="4">
        <v>15521646</v>
      </c>
      <c r="AO163" s="150">
        <v>1195193</v>
      </c>
    </row>
    <row r="164" spans="1:41" x14ac:dyDescent="0.2">
      <c r="A164" s="1">
        <v>2024</v>
      </c>
      <c r="B164" s="2" t="s">
        <v>184</v>
      </c>
      <c r="C164" s="2" t="s">
        <v>184</v>
      </c>
      <c r="D164" s="1" t="s">
        <v>534</v>
      </c>
      <c r="E164" s="3">
        <v>3299434</v>
      </c>
      <c r="F164" s="3">
        <v>564</v>
      </c>
      <c r="G164" s="3">
        <v>0</v>
      </c>
      <c r="H164" s="3">
        <v>10142</v>
      </c>
      <c r="I164" s="1">
        <v>0</v>
      </c>
      <c r="J164" s="3">
        <v>3298870</v>
      </c>
      <c r="K164" s="3">
        <v>3288728</v>
      </c>
      <c r="L164" s="3">
        <v>3288728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2591574</v>
      </c>
      <c r="T164" s="3">
        <v>2591574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328197</v>
      </c>
      <c r="Z164" s="3">
        <v>328197</v>
      </c>
      <c r="AA164" s="4">
        <v>328197</v>
      </c>
      <c r="AB164" s="4">
        <v>328197</v>
      </c>
      <c r="AC164" s="4">
        <v>328197</v>
      </c>
      <c r="AD164" s="4">
        <v>328195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1647745</v>
      </c>
      <c r="AJ164" s="4">
        <v>1975942</v>
      </c>
      <c r="AK164" s="4">
        <v>2304139</v>
      </c>
      <c r="AL164" s="4">
        <v>2632336</v>
      </c>
      <c r="AM164" s="4">
        <v>2960533</v>
      </c>
      <c r="AN164" s="4">
        <v>3288728</v>
      </c>
      <c r="AO164" s="150">
        <v>214753</v>
      </c>
    </row>
    <row r="165" spans="1:41" x14ac:dyDescent="0.2">
      <c r="A165" s="1">
        <v>2024</v>
      </c>
      <c r="B165" s="2" t="s">
        <v>185</v>
      </c>
      <c r="C165" s="2" t="s">
        <v>185</v>
      </c>
      <c r="D165" s="1" t="s">
        <v>535</v>
      </c>
      <c r="E165" s="3">
        <v>15707993</v>
      </c>
      <c r="F165" s="3">
        <v>1045</v>
      </c>
      <c r="G165" s="3">
        <v>0</v>
      </c>
      <c r="H165" s="3">
        <v>59800</v>
      </c>
      <c r="I165" s="3">
        <v>0</v>
      </c>
      <c r="J165" s="3">
        <v>15706948</v>
      </c>
      <c r="K165" s="3">
        <v>15647148</v>
      </c>
      <c r="L165" s="3">
        <v>15647148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12288089</v>
      </c>
      <c r="T165" s="3">
        <v>12288089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1560728</v>
      </c>
      <c r="Z165" s="3">
        <v>1560728</v>
      </c>
      <c r="AA165" s="4">
        <v>1560728</v>
      </c>
      <c r="AB165" s="4">
        <v>1560728</v>
      </c>
      <c r="AC165" s="4">
        <v>1560728</v>
      </c>
      <c r="AD165" s="4">
        <v>1560728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7843508</v>
      </c>
      <c r="AJ165" s="4">
        <v>9404236</v>
      </c>
      <c r="AK165" s="4">
        <v>10964964</v>
      </c>
      <c r="AL165" s="4">
        <v>12525692</v>
      </c>
      <c r="AM165" s="4">
        <v>14086420</v>
      </c>
      <c r="AN165" s="4">
        <v>15647148</v>
      </c>
      <c r="AO165" s="150">
        <v>1365127</v>
      </c>
    </row>
    <row r="166" spans="1:41" x14ac:dyDescent="0.2">
      <c r="A166" s="1">
        <v>2024</v>
      </c>
      <c r="B166" s="2" t="s">
        <v>186</v>
      </c>
      <c r="C166" s="2" t="s">
        <v>186</v>
      </c>
      <c r="D166" s="1" t="s">
        <v>536</v>
      </c>
      <c r="E166" s="3">
        <v>4779848</v>
      </c>
      <c r="F166" s="3">
        <v>614</v>
      </c>
      <c r="G166" s="3">
        <v>0</v>
      </c>
      <c r="H166" s="3">
        <v>16344</v>
      </c>
      <c r="I166" s="3">
        <v>0</v>
      </c>
      <c r="J166" s="3">
        <v>4779234</v>
      </c>
      <c r="K166" s="3">
        <v>4762890</v>
      </c>
      <c r="L166" s="3">
        <v>4762890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3779276</v>
      </c>
      <c r="T166" s="3">
        <v>3779276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475200</v>
      </c>
      <c r="Z166" s="3">
        <v>475200</v>
      </c>
      <c r="AA166" s="4">
        <v>475200</v>
      </c>
      <c r="AB166" s="4">
        <v>475200</v>
      </c>
      <c r="AC166" s="4">
        <v>475200</v>
      </c>
      <c r="AD166" s="4">
        <v>475198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2386892</v>
      </c>
      <c r="AJ166" s="4">
        <v>2862092</v>
      </c>
      <c r="AK166" s="4">
        <v>3337292</v>
      </c>
      <c r="AL166" s="4">
        <v>3812492</v>
      </c>
      <c r="AM166" s="4">
        <v>4287692</v>
      </c>
      <c r="AN166" s="4">
        <v>4762890</v>
      </c>
      <c r="AO166" s="150">
        <v>347378</v>
      </c>
    </row>
    <row r="167" spans="1:41" x14ac:dyDescent="0.2">
      <c r="A167" s="1">
        <v>2024</v>
      </c>
      <c r="B167" s="2" t="s">
        <v>187</v>
      </c>
      <c r="C167" s="2" t="s">
        <v>187</v>
      </c>
      <c r="D167" s="1" t="s">
        <v>537</v>
      </c>
      <c r="E167" s="3">
        <v>55020275</v>
      </c>
      <c r="F167" s="3">
        <v>4146</v>
      </c>
      <c r="G167" s="3">
        <v>0</v>
      </c>
      <c r="H167" s="3">
        <v>173064</v>
      </c>
      <c r="I167" s="1">
        <v>0</v>
      </c>
      <c r="J167" s="3">
        <v>55016129</v>
      </c>
      <c r="K167" s="3">
        <v>54843065</v>
      </c>
      <c r="L167" s="3">
        <v>54843065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45227773</v>
      </c>
      <c r="T167" s="3">
        <v>45227773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5472769</v>
      </c>
      <c r="Z167" s="3">
        <v>5472769</v>
      </c>
      <c r="AA167" s="4">
        <v>5472769</v>
      </c>
      <c r="AB167" s="4">
        <v>5472769</v>
      </c>
      <c r="AC167" s="4">
        <v>5472769</v>
      </c>
      <c r="AD167" s="4">
        <v>5472768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27479221</v>
      </c>
      <c r="AJ167" s="4">
        <v>32951990</v>
      </c>
      <c r="AK167" s="4">
        <v>38424759</v>
      </c>
      <c r="AL167" s="4">
        <v>43897528</v>
      </c>
      <c r="AM167" s="4">
        <v>49370297</v>
      </c>
      <c r="AN167" s="4">
        <v>54843065</v>
      </c>
      <c r="AO167" s="150">
        <v>3893683</v>
      </c>
    </row>
    <row r="168" spans="1:41" x14ac:dyDescent="0.2">
      <c r="A168" s="1">
        <v>2024</v>
      </c>
      <c r="B168" s="2" t="s">
        <v>188</v>
      </c>
      <c r="C168" s="2" t="s">
        <v>188</v>
      </c>
      <c r="D168" s="1" t="s">
        <v>538</v>
      </c>
      <c r="E168" s="3">
        <v>5086267</v>
      </c>
      <c r="F168" s="3">
        <v>796</v>
      </c>
      <c r="G168" s="3">
        <v>0</v>
      </c>
      <c r="H168" s="3">
        <v>15112</v>
      </c>
      <c r="I168" s="3">
        <v>0</v>
      </c>
      <c r="J168" s="3">
        <v>5085471</v>
      </c>
      <c r="K168" s="3">
        <v>5070359</v>
      </c>
      <c r="L168" s="3">
        <v>5070359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4138545</v>
      </c>
      <c r="T168" s="3">
        <v>4138545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506029</v>
      </c>
      <c r="Z168" s="3">
        <v>506029</v>
      </c>
      <c r="AA168" s="4">
        <v>506028</v>
      </c>
      <c r="AB168" s="4">
        <v>506028</v>
      </c>
      <c r="AC168" s="4">
        <v>506028</v>
      </c>
      <c r="AD168" s="4">
        <v>506029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2540217</v>
      </c>
      <c r="AJ168" s="4">
        <v>3046246</v>
      </c>
      <c r="AK168" s="4">
        <v>3552274</v>
      </c>
      <c r="AL168" s="4">
        <v>4058302</v>
      </c>
      <c r="AM168" s="4">
        <v>4564330</v>
      </c>
      <c r="AN168" s="4">
        <v>5070359</v>
      </c>
      <c r="AO168" s="150">
        <v>323545</v>
      </c>
    </row>
    <row r="169" spans="1:41" x14ac:dyDescent="0.2">
      <c r="A169" s="1">
        <v>2024</v>
      </c>
      <c r="B169" s="2" t="s">
        <v>189</v>
      </c>
      <c r="C169" s="2" t="s">
        <v>189</v>
      </c>
      <c r="D169" s="1" t="s">
        <v>539</v>
      </c>
      <c r="E169" s="3">
        <v>4201163</v>
      </c>
      <c r="F169" s="1">
        <v>431</v>
      </c>
      <c r="G169" s="1">
        <v>0</v>
      </c>
      <c r="H169" s="3">
        <v>13576</v>
      </c>
      <c r="I169" s="1">
        <v>0</v>
      </c>
      <c r="J169" s="3">
        <v>4200732</v>
      </c>
      <c r="K169" s="3">
        <v>4187156</v>
      </c>
      <c r="L169" s="3">
        <v>4187156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3379117</v>
      </c>
      <c r="T169" s="3">
        <v>3379117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417811</v>
      </c>
      <c r="Z169" s="3">
        <v>417811</v>
      </c>
      <c r="AA169" s="4">
        <v>417811</v>
      </c>
      <c r="AB169" s="4">
        <v>417811</v>
      </c>
      <c r="AC169" s="4">
        <v>417811</v>
      </c>
      <c r="AD169" s="4">
        <v>417809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2098103</v>
      </c>
      <c r="AJ169" s="4">
        <v>2515914</v>
      </c>
      <c r="AK169" s="4">
        <v>2933725</v>
      </c>
      <c r="AL169" s="4">
        <v>3351536</v>
      </c>
      <c r="AM169" s="4">
        <v>3769347</v>
      </c>
      <c r="AN169" s="4">
        <v>4187156</v>
      </c>
      <c r="AO169" s="150">
        <v>286872</v>
      </c>
    </row>
    <row r="170" spans="1:41" x14ac:dyDescent="0.2">
      <c r="A170" s="1">
        <v>2024</v>
      </c>
      <c r="B170" s="2" t="s">
        <v>190</v>
      </c>
      <c r="C170" s="2" t="s">
        <v>190</v>
      </c>
      <c r="D170" s="1" t="s">
        <v>540</v>
      </c>
      <c r="E170" s="3">
        <v>1864483</v>
      </c>
      <c r="F170" s="3">
        <v>282</v>
      </c>
      <c r="G170" s="3">
        <v>0</v>
      </c>
      <c r="H170" s="3">
        <v>7134</v>
      </c>
      <c r="I170" s="3">
        <v>0</v>
      </c>
      <c r="J170" s="3">
        <v>1864201</v>
      </c>
      <c r="K170" s="3">
        <v>1857067</v>
      </c>
      <c r="L170" s="3">
        <v>1857067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1382709</v>
      </c>
      <c r="T170" s="3">
        <v>1382709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185231</v>
      </c>
      <c r="Z170" s="3">
        <v>185231</v>
      </c>
      <c r="AA170" s="4">
        <v>185231</v>
      </c>
      <c r="AB170" s="4">
        <v>185231</v>
      </c>
      <c r="AC170" s="4">
        <v>185231</v>
      </c>
      <c r="AD170" s="4">
        <v>185232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930911</v>
      </c>
      <c r="AJ170" s="4">
        <v>1116142</v>
      </c>
      <c r="AK170" s="4">
        <v>1301373</v>
      </c>
      <c r="AL170" s="4">
        <v>1486604</v>
      </c>
      <c r="AM170" s="4">
        <v>1671835</v>
      </c>
      <c r="AN170" s="4">
        <v>1857067</v>
      </c>
      <c r="AO170" s="150">
        <v>158714</v>
      </c>
    </row>
    <row r="171" spans="1:41" x14ac:dyDescent="0.2">
      <c r="A171" s="1">
        <v>2024</v>
      </c>
      <c r="B171" s="2" t="s">
        <v>191</v>
      </c>
      <c r="C171" s="2" t="s">
        <v>191</v>
      </c>
      <c r="D171" s="1" t="s">
        <v>541</v>
      </c>
      <c r="E171" s="3">
        <v>4581091</v>
      </c>
      <c r="F171" s="1">
        <v>697</v>
      </c>
      <c r="G171" s="1">
        <v>0</v>
      </c>
      <c r="H171" s="3">
        <v>15475</v>
      </c>
      <c r="I171" s="1">
        <v>0</v>
      </c>
      <c r="J171" s="3">
        <v>4580394</v>
      </c>
      <c r="K171" s="3">
        <v>4564919</v>
      </c>
      <c r="L171" s="3">
        <v>4564919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3560334</v>
      </c>
      <c r="T171" s="3">
        <v>3560334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455461</v>
      </c>
      <c r="Z171" s="3">
        <v>455461</v>
      </c>
      <c r="AA171" s="4">
        <v>455460</v>
      </c>
      <c r="AB171" s="4">
        <v>455460</v>
      </c>
      <c r="AC171" s="4">
        <v>455460</v>
      </c>
      <c r="AD171" s="4">
        <v>455461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2287617</v>
      </c>
      <c r="AJ171" s="4">
        <v>2743078</v>
      </c>
      <c r="AK171" s="4">
        <v>3198538</v>
      </c>
      <c r="AL171" s="4">
        <v>3653998</v>
      </c>
      <c r="AM171" s="4">
        <v>4109458</v>
      </c>
      <c r="AN171" s="4">
        <v>4564919</v>
      </c>
      <c r="AO171" s="150">
        <v>319814</v>
      </c>
    </row>
    <row r="172" spans="1:41" x14ac:dyDescent="0.2">
      <c r="A172" s="1">
        <v>2024</v>
      </c>
      <c r="B172" s="2" t="s">
        <v>193</v>
      </c>
      <c r="C172" s="2" t="s">
        <v>193</v>
      </c>
      <c r="D172" s="1" t="s">
        <v>543</v>
      </c>
      <c r="E172" s="3">
        <v>2798670</v>
      </c>
      <c r="F172" s="1">
        <v>431</v>
      </c>
      <c r="G172" s="1">
        <v>0</v>
      </c>
      <c r="H172" s="3">
        <v>10133</v>
      </c>
      <c r="I172" s="1">
        <v>0</v>
      </c>
      <c r="J172" s="3">
        <v>2798239</v>
      </c>
      <c r="K172" s="3">
        <v>2788106</v>
      </c>
      <c r="L172" s="3">
        <v>2788106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2161769</v>
      </c>
      <c r="T172" s="3">
        <v>2161769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278135</v>
      </c>
      <c r="Z172" s="3">
        <v>278135</v>
      </c>
      <c r="AA172" s="4">
        <v>278135</v>
      </c>
      <c r="AB172" s="4">
        <v>278135</v>
      </c>
      <c r="AC172" s="4">
        <v>278135</v>
      </c>
      <c r="AD172" s="4">
        <v>278135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1397431</v>
      </c>
      <c r="AJ172" s="4">
        <v>1675566</v>
      </c>
      <c r="AK172" s="4">
        <v>1953701</v>
      </c>
      <c r="AL172" s="4">
        <v>2231836</v>
      </c>
      <c r="AM172" s="4">
        <v>2509971</v>
      </c>
      <c r="AN172" s="4">
        <v>2788106</v>
      </c>
      <c r="AO172" s="150">
        <v>218338</v>
      </c>
    </row>
    <row r="173" spans="1:41" x14ac:dyDescent="0.2">
      <c r="A173" s="1">
        <v>2024</v>
      </c>
      <c r="B173" s="2" t="s">
        <v>194</v>
      </c>
      <c r="C173" s="2" t="s">
        <v>194</v>
      </c>
      <c r="D173" s="1" t="s">
        <v>544</v>
      </c>
      <c r="E173" s="3">
        <v>5274402</v>
      </c>
      <c r="F173" s="1">
        <v>481</v>
      </c>
      <c r="G173" s="1">
        <v>0</v>
      </c>
      <c r="H173" s="3">
        <v>15087</v>
      </c>
      <c r="I173" s="1">
        <v>0</v>
      </c>
      <c r="J173" s="3">
        <v>5273921</v>
      </c>
      <c r="K173" s="3">
        <v>5258834</v>
      </c>
      <c r="L173" s="3">
        <v>5258834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4368827</v>
      </c>
      <c r="T173" s="3">
        <v>4368827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524878</v>
      </c>
      <c r="Z173" s="3">
        <v>524878</v>
      </c>
      <c r="AA173" s="4">
        <v>524878</v>
      </c>
      <c r="AB173" s="4">
        <v>524878</v>
      </c>
      <c r="AC173" s="4">
        <v>524878</v>
      </c>
      <c r="AD173" s="4">
        <v>524876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2634446</v>
      </c>
      <c r="AJ173" s="4">
        <v>3159324</v>
      </c>
      <c r="AK173" s="4">
        <v>3684202</v>
      </c>
      <c r="AL173" s="4">
        <v>4209080</v>
      </c>
      <c r="AM173" s="4">
        <v>4733958</v>
      </c>
      <c r="AN173" s="4">
        <v>5258834</v>
      </c>
      <c r="AO173" s="150">
        <v>322746</v>
      </c>
    </row>
    <row r="174" spans="1:41" x14ac:dyDescent="0.2">
      <c r="A174" s="1">
        <v>2024</v>
      </c>
      <c r="B174" s="2" t="s">
        <v>195</v>
      </c>
      <c r="C174" s="2" t="s">
        <v>195</v>
      </c>
      <c r="D174" s="1" t="s">
        <v>545</v>
      </c>
      <c r="E174" s="3">
        <v>3259333</v>
      </c>
      <c r="F174" s="1">
        <v>431</v>
      </c>
      <c r="G174" s="1">
        <v>0</v>
      </c>
      <c r="H174" s="3">
        <v>11901</v>
      </c>
      <c r="I174" s="1">
        <v>0</v>
      </c>
      <c r="J174" s="3">
        <v>3258902</v>
      </c>
      <c r="K174" s="3">
        <v>3247001</v>
      </c>
      <c r="L174" s="3">
        <v>3247001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2497498</v>
      </c>
      <c r="T174" s="3">
        <v>2497498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323907</v>
      </c>
      <c r="Z174" s="3">
        <v>323907</v>
      </c>
      <c r="AA174" s="4">
        <v>323907</v>
      </c>
      <c r="AB174" s="4">
        <v>323907</v>
      </c>
      <c r="AC174" s="4">
        <v>323907</v>
      </c>
      <c r="AD174" s="4">
        <v>323906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1627467</v>
      </c>
      <c r="AJ174" s="4">
        <v>1951374</v>
      </c>
      <c r="AK174" s="4">
        <v>2275281</v>
      </c>
      <c r="AL174" s="4">
        <v>2599188</v>
      </c>
      <c r="AM174" s="4">
        <v>2923095</v>
      </c>
      <c r="AN174" s="4">
        <v>3247001</v>
      </c>
      <c r="AO174" s="150">
        <v>258805</v>
      </c>
    </row>
    <row r="175" spans="1:41" x14ac:dyDescent="0.2">
      <c r="A175" s="1">
        <v>2024</v>
      </c>
      <c r="B175" s="2" t="s">
        <v>196</v>
      </c>
      <c r="C175" s="2" t="s">
        <v>196</v>
      </c>
      <c r="D175" s="1" t="s">
        <v>546</v>
      </c>
      <c r="E175" s="3">
        <v>3477194</v>
      </c>
      <c r="F175" s="1">
        <v>564</v>
      </c>
      <c r="G175" s="1">
        <v>0</v>
      </c>
      <c r="H175" s="3">
        <v>14763</v>
      </c>
      <c r="I175" s="1">
        <v>0</v>
      </c>
      <c r="J175" s="3">
        <v>3476630</v>
      </c>
      <c r="K175" s="3">
        <v>3461867</v>
      </c>
      <c r="L175" s="3">
        <v>3461867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2550387</v>
      </c>
      <c r="T175" s="3">
        <v>2550387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345203</v>
      </c>
      <c r="Z175" s="3">
        <v>345203</v>
      </c>
      <c r="AA175" s="4">
        <v>345202</v>
      </c>
      <c r="AB175" s="4">
        <v>345202</v>
      </c>
      <c r="AC175" s="4">
        <v>345202</v>
      </c>
      <c r="AD175" s="4">
        <v>345203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1735855</v>
      </c>
      <c r="AJ175" s="4">
        <v>2081058</v>
      </c>
      <c r="AK175" s="4">
        <v>2426260</v>
      </c>
      <c r="AL175" s="4">
        <v>2771462</v>
      </c>
      <c r="AM175" s="4">
        <v>3116664</v>
      </c>
      <c r="AN175" s="4">
        <v>3461867</v>
      </c>
      <c r="AO175" s="150">
        <v>322927</v>
      </c>
    </row>
    <row r="176" spans="1:41" x14ac:dyDescent="0.2">
      <c r="A176" s="1">
        <v>2024</v>
      </c>
      <c r="B176" s="2" t="s">
        <v>197</v>
      </c>
      <c r="C176" s="2" t="s">
        <v>197</v>
      </c>
      <c r="D176" s="1" t="s">
        <v>547</v>
      </c>
      <c r="E176" s="3">
        <v>3200195</v>
      </c>
      <c r="F176" s="3">
        <v>580</v>
      </c>
      <c r="G176" s="3">
        <v>0</v>
      </c>
      <c r="H176" s="3">
        <v>13371</v>
      </c>
      <c r="I176" s="1">
        <v>0</v>
      </c>
      <c r="J176" s="3">
        <v>3199615</v>
      </c>
      <c r="K176" s="3">
        <v>3186244</v>
      </c>
      <c r="L176" s="3">
        <v>3186244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2356390</v>
      </c>
      <c r="T176" s="3">
        <v>2356390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317733</v>
      </c>
      <c r="Z176" s="3">
        <v>317733</v>
      </c>
      <c r="AA176" s="4">
        <v>317733</v>
      </c>
      <c r="AB176" s="4">
        <v>317733</v>
      </c>
      <c r="AC176" s="4">
        <v>317733</v>
      </c>
      <c r="AD176" s="4">
        <v>317731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1597581</v>
      </c>
      <c r="AJ176" s="4">
        <v>1915314</v>
      </c>
      <c r="AK176" s="4">
        <v>2233047</v>
      </c>
      <c r="AL176" s="4">
        <v>2550780</v>
      </c>
      <c r="AM176" s="4">
        <v>2868513</v>
      </c>
      <c r="AN176" s="4">
        <v>3186244</v>
      </c>
      <c r="AO176" s="150">
        <v>288270</v>
      </c>
    </row>
    <row r="177" spans="1:41" x14ac:dyDescent="0.2">
      <c r="A177" s="1">
        <v>2024</v>
      </c>
      <c r="B177" s="2" t="s">
        <v>198</v>
      </c>
      <c r="C177" s="2" t="s">
        <v>198</v>
      </c>
      <c r="D177" s="1" t="s">
        <v>548</v>
      </c>
      <c r="E177" s="3">
        <v>9794141</v>
      </c>
      <c r="F177" s="3">
        <v>1144</v>
      </c>
      <c r="G177" s="3">
        <v>0</v>
      </c>
      <c r="H177" s="3">
        <v>27022</v>
      </c>
      <c r="I177" s="1">
        <v>0</v>
      </c>
      <c r="J177" s="3">
        <v>9792997</v>
      </c>
      <c r="K177" s="3">
        <v>9765975</v>
      </c>
      <c r="L177" s="3">
        <v>9765975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8030913</v>
      </c>
      <c r="T177" s="3">
        <v>8030913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974796</v>
      </c>
      <c r="Z177" s="3">
        <v>974796</v>
      </c>
      <c r="AA177" s="4">
        <v>974796</v>
      </c>
      <c r="AB177" s="4">
        <v>974796</v>
      </c>
      <c r="AC177" s="4">
        <v>974796</v>
      </c>
      <c r="AD177" s="4">
        <v>974795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4891996</v>
      </c>
      <c r="AJ177" s="4">
        <v>5866792</v>
      </c>
      <c r="AK177" s="4">
        <v>6841588</v>
      </c>
      <c r="AL177" s="4">
        <v>7816384</v>
      </c>
      <c r="AM177" s="4">
        <v>8791180</v>
      </c>
      <c r="AN177" s="4">
        <v>9765975</v>
      </c>
      <c r="AO177" s="150">
        <v>627222</v>
      </c>
    </row>
    <row r="178" spans="1:41" x14ac:dyDescent="0.2">
      <c r="A178" s="1">
        <v>2024</v>
      </c>
      <c r="B178" s="2" t="s">
        <v>199</v>
      </c>
      <c r="C178" s="2" t="s">
        <v>199</v>
      </c>
      <c r="D178" s="1" t="s">
        <v>549</v>
      </c>
      <c r="E178" s="3">
        <v>3818586</v>
      </c>
      <c r="F178" s="3">
        <v>614</v>
      </c>
      <c r="G178" s="3">
        <v>0</v>
      </c>
      <c r="H178" s="3">
        <v>14932</v>
      </c>
      <c r="I178" s="1">
        <v>0</v>
      </c>
      <c r="J178" s="3">
        <v>3817972</v>
      </c>
      <c r="K178" s="3">
        <v>3803040</v>
      </c>
      <c r="L178" s="3">
        <v>3803040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2878131</v>
      </c>
      <c r="T178" s="3">
        <v>2878131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379309</v>
      </c>
      <c r="Z178" s="3">
        <v>379309</v>
      </c>
      <c r="AA178" s="4">
        <v>379309</v>
      </c>
      <c r="AB178" s="4">
        <v>379309</v>
      </c>
      <c r="AC178" s="4">
        <v>379309</v>
      </c>
      <c r="AD178" s="4">
        <v>379307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1906497</v>
      </c>
      <c r="AJ178" s="4">
        <v>2285806</v>
      </c>
      <c r="AK178" s="4">
        <v>2665115</v>
      </c>
      <c r="AL178" s="4">
        <v>3044424</v>
      </c>
      <c r="AM178" s="4">
        <v>3423733</v>
      </c>
      <c r="AN178" s="4">
        <v>3803040</v>
      </c>
      <c r="AO178" s="150">
        <v>321502</v>
      </c>
    </row>
    <row r="179" spans="1:41" x14ac:dyDescent="0.2">
      <c r="A179" s="1">
        <v>2024</v>
      </c>
      <c r="B179" s="2" t="s">
        <v>200</v>
      </c>
      <c r="C179" s="2" t="s">
        <v>200</v>
      </c>
      <c r="D179" s="1" t="s">
        <v>550</v>
      </c>
      <c r="E179" s="3">
        <v>2134744</v>
      </c>
      <c r="F179" s="3">
        <v>381</v>
      </c>
      <c r="G179" s="3">
        <v>0</v>
      </c>
      <c r="H179" s="3">
        <v>10476</v>
      </c>
      <c r="I179" s="3">
        <v>0</v>
      </c>
      <c r="J179" s="3">
        <v>2134363</v>
      </c>
      <c r="K179" s="3">
        <v>2123887</v>
      </c>
      <c r="L179" s="3">
        <v>2123887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1480481</v>
      </c>
      <c r="T179" s="3">
        <v>1480481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211691</v>
      </c>
      <c r="Z179" s="3">
        <v>211691</v>
      </c>
      <c r="AA179" s="4">
        <v>211690</v>
      </c>
      <c r="AB179" s="4">
        <v>211690</v>
      </c>
      <c r="AC179" s="4">
        <v>211690</v>
      </c>
      <c r="AD179" s="4">
        <v>211691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1065435</v>
      </c>
      <c r="AJ179" s="4">
        <v>1277126</v>
      </c>
      <c r="AK179" s="4">
        <v>1488816</v>
      </c>
      <c r="AL179" s="4">
        <v>1700506</v>
      </c>
      <c r="AM179" s="4">
        <v>1912196</v>
      </c>
      <c r="AN179" s="4">
        <v>2123887</v>
      </c>
      <c r="AO179" s="150">
        <v>220445</v>
      </c>
    </row>
    <row r="180" spans="1:41" x14ac:dyDescent="0.2">
      <c r="A180" s="1">
        <v>2024</v>
      </c>
      <c r="B180" s="2" t="s">
        <v>201</v>
      </c>
      <c r="C180" s="2" t="s">
        <v>201</v>
      </c>
      <c r="D180" s="1" t="s">
        <v>551</v>
      </c>
      <c r="E180" s="3">
        <v>14678861</v>
      </c>
      <c r="F180" s="3">
        <v>1692</v>
      </c>
      <c r="G180" s="3">
        <v>0</v>
      </c>
      <c r="H180" s="3">
        <v>40479</v>
      </c>
      <c r="I180" s="1">
        <v>0</v>
      </c>
      <c r="J180" s="3">
        <v>14677169</v>
      </c>
      <c r="K180" s="3">
        <v>14636690</v>
      </c>
      <c r="L180" s="3">
        <v>14636690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12061226</v>
      </c>
      <c r="T180" s="3">
        <v>12061226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1460970</v>
      </c>
      <c r="Z180" s="3">
        <v>1460970</v>
      </c>
      <c r="AA180" s="4">
        <v>1460971</v>
      </c>
      <c r="AB180" s="4">
        <v>1460971</v>
      </c>
      <c r="AC180" s="4">
        <v>1460971</v>
      </c>
      <c r="AD180" s="4">
        <v>1460969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7331838</v>
      </c>
      <c r="AJ180" s="4">
        <v>8792808</v>
      </c>
      <c r="AK180" s="4">
        <v>10253779</v>
      </c>
      <c r="AL180" s="4">
        <v>11714750</v>
      </c>
      <c r="AM180" s="4">
        <v>13175721</v>
      </c>
      <c r="AN180" s="4">
        <v>14636690</v>
      </c>
      <c r="AO180" s="150">
        <v>903193</v>
      </c>
    </row>
    <row r="181" spans="1:41" x14ac:dyDescent="0.2">
      <c r="A181" s="1">
        <v>2024</v>
      </c>
      <c r="B181" s="2" t="s">
        <v>202</v>
      </c>
      <c r="C181" s="2" t="s">
        <v>202</v>
      </c>
      <c r="D181" s="1" t="s">
        <v>552</v>
      </c>
      <c r="E181" s="3">
        <v>46719083</v>
      </c>
      <c r="F181" s="3">
        <v>4710</v>
      </c>
      <c r="G181" s="3">
        <v>39017</v>
      </c>
      <c r="H181" s="3">
        <v>121033</v>
      </c>
      <c r="I181" s="1">
        <v>0</v>
      </c>
      <c r="J181" s="3">
        <v>46675356</v>
      </c>
      <c r="K181" s="3">
        <v>46554323</v>
      </c>
      <c r="L181" s="3">
        <v>46554323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39172632</v>
      </c>
      <c r="T181" s="3">
        <v>39172632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4647363</v>
      </c>
      <c r="Z181" s="3">
        <v>4647363</v>
      </c>
      <c r="AA181" s="4">
        <v>4647363</v>
      </c>
      <c r="AB181" s="4">
        <v>4647363</v>
      </c>
      <c r="AC181" s="4">
        <v>4647363</v>
      </c>
      <c r="AD181" s="4">
        <v>4647364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23317507</v>
      </c>
      <c r="AJ181" s="4">
        <v>27964870</v>
      </c>
      <c r="AK181" s="4">
        <v>32612233</v>
      </c>
      <c r="AL181" s="4">
        <v>37259596</v>
      </c>
      <c r="AM181" s="4">
        <v>41906959</v>
      </c>
      <c r="AN181" s="4">
        <v>46554323</v>
      </c>
      <c r="AO181" s="150">
        <v>2796048</v>
      </c>
    </row>
    <row r="182" spans="1:41" x14ac:dyDescent="0.2">
      <c r="A182" s="1">
        <v>2024</v>
      </c>
      <c r="B182" s="2" t="s">
        <v>203</v>
      </c>
      <c r="C182" s="2" t="s">
        <v>203</v>
      </c>
      <c r="D182" s="1" t="s">
        <v>553</v>
      </c>
      <c r="E182" s="3">
        <v>3344871</v>
      </c>
      <c r="F182" s="3">
        <v>315</v>
      </c>
      <c r="G182" s="3">
        <v>0</v>
      </c>
      <c r="H182" s="3">
        <v>11516</v>
      </c>
      <c r="I182" s="1">
        <v>0</v>
      </c>
      <c r="J182" s="3">
        <v>3344556</v>
      </c>
      <c r="K182" s="3">
        <v>3333040</v>
      </c>
      <c r="L182" s="3">
        <v>3333040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2669097</v>
      </c>
      <c r="T182" s="3">
        <v>2669097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332536</v>
      </c>
      <c r="Z182" s="3">
        <v>332536</v>
      </c>
      <c r="AA182" s="4">
        <v>332536</v>
      </c>
      <c r="AB182" s="4">
        <v>332536</v>
      </c>
      <c r="AC182" s="4">
        <v>332536</v>
      </c>
      <c r="AD182" s="4">
        <v>332536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1670360</v>
      </c>
      <c r="AJ182" s="4">
        <v>2002896</v>
      </c>
      <c r="AK182" s="4">
        <v>2335432</v>
      </c>
      <c r="AL182" s="4">
        <v>2667968</v>
      </c>
      <c r="AM182" s="4">
        <v>3000504</v>
      </c>
      <c r="AN182" s="4">
        <v>3333040</v>
      </c>
      <c r="AO182" s="150">
        <v>236550</v>
      </c>
    </row>
    <row r="183" spans="1:41" x14ac:dyDescent="0.2">
      <c r="A183" s="1">
        <v>2024</v>
      </c>
      <c r="B183" s="2" t="s">
        <v>204</v>
      </c>
      <c r="C183" s="2" t="s">
        <v>204</v>
      </c>
      <c r="D183" s="1" t="s">
        <v>554</v>
      </c>
      <c r="E183" s="3">
        <v>24548120</v>
      </c>
      <c r="F183" s="3">
        <v>2985</v>
      </c>
      <c r="G183" s="3">
        <v>20708</v>
      </c>
      <c r="H183" s="3">
        <v>76666</v>
      </c>
      <c r="I183" s="1">
        <v>0</v>
      </c>
      <c r="J183" s="3">
        <v>24524427</v>
      </c>
      <c r="K183" s="3">
        <v>24447761</v>
      </c>
      <c r="L183" s="3">
        <v>24447761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19774869</v>
      </c>
      <c r="T183" s="3">
        <v>19774869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2439665</v>
      </c>
      <c r="Z183" s="3">
        <v>2439665</v>
      </c>
      <c r="AA183" s="4">
        <v>2439665</v>
      </c>
      <c r="AB183" s="4">
        <v>2439665</v>
      </c>
      <c r="AC183" s="4">
        <v>2439665</v>
      </c>
      <c r="AD183" s="4">
        <v>2439664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12249437</v>
      </c>
      <c r="AJ183" s="4">
        <v>14689102</v>
      </c>
      <c r="AK183" s="4">
        <v>17128767</v>
      </c>
      <c r="AL183" s="4">
        <v>19568432</v>
      </c>
      <c r="AM183" s="4">
        <v>22008097</v>
      </c>
      <c r="AN183" s="4">
        <v>24447761</v>
      </c>
      <c r="AO183" s="150">
        <v>1787013</v>
      </c>
    </row>
    <row r="184" spans="1:41" x14ac:dyDescent="0.2">
      <c r="A184" s="1">
        <v>2024</v>
      </c>
      <c r="B184" s="2" t="s">
        <v>205</v>
      </c>
      <c r="C184" s="2" t="s">
        <v>205</v>
      </c>
      <c r="D184" s="1" t="s">
        <v>555</v>
      </c>
      <c r="E184" s="3">
        <v>9822666</v>
      </c>
      <c r="F184" s="3">
        <v>1012</v>
      </c>
      <c r="G184" s="3">
        <v>0</v>
      </c>
      <c r="H184" s="3">
        <v>34140</v>
      </c>
      <c r="I184" s="1">
        <v>0</v>
      </c>
      <c r="J184" s="3">
        <v>9821654</v>
      </c>
      <c r="K184" s="3">
        <v>9787514</v>
      </c>
      <c r="L184" s="3">
        <v>9787514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7788113</v>
      </c>
      <c r="T184" s="3">
        <v>7788113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976476</v>
      </c>
      <c r="Z184" s="3">
        <v>976476</v>
      </c>
      <c r="AA184" s="4">
        <v>976476</v>
      </c>
      <c r="AB184" s="4">
        <v>976476</v>
      </c>
      <c r="AC184" s="4">
        <v>976476</v>
      </c>
      <c r="AD184" s="4">
        <v>976474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4905136</v>
      </c>
      <c r="AJ184" s="4">
        <v>5881612</v>
      </c>
      <c r="AK184" s="4">
        <v>6858088</v>
      </c>
      <c r="AL184" s="4">
        <v>7834564</v>
      </c>
      <c r="AM184" s="4">
        <v>8811040</v>
      </c>
      <c r="AN184" s="4">
        <v>9787514</v>
      </c>
      <c r="AO184" s="150">
        <v>832819</v>
      </c>
    </row>
    <row r="185" spans="1:41" x14ac:dyDescent="0.2">
      <c r="A185" s="1">
        <v>2024</v>
      </c>
      <c r="B185" s="2" t="s">
        <v>206</v>
      </c>
      <c r="C185" s="2" t="s">
        <v>206</v>
      </c>
      <c r="D185" s="1" t="s">
        <v>556</v>
      </c>
      <c r="E185" s="3">
        <v>5590294</v>
      </c>
      <c r="F185" s="3">
        <v>0</v>
      </c>
      <c r="G185" s="3">
        <v>0</v>
      </c>
      <c r="H185" s="3">
        <v>19710</v>
      </c>
      <c r="I185" s="1">
        <v>0</v>
      </c>
      <c r="J185" s="3">
        <v>5590294</v>
      </c>
      <c r="K185" s="3">
        <v>5570584</v>
      </c>
      <c r="L185" s="3">
        <v>5570584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4548277</v>
      </c>
      <c r="T185" s="3">
        <v>4548277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555745</v>
      </c>
      <c r="Z185" s="3">
        <v>555745</v>
      </c>
      <c r="AA185" s="4">
        <v>555745</v>
      </c>
      <c r="AB185" s="4">
        <v>555745</v>
      </c>
      <c r="AC185" s="4">
        <v>555745</v>
      </c>
      <c r="AD185" s="4">
        <v>555743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2791861</v>
      </c>
      <c r="AJ185" s="4">
        <v>3347606</v>
      </c>
      <c r="AK185" s="4">
        <v>3903351</v>
      </c>
      <c r="AL185" s="4">
        <v>4459096</v>
      </c>
      <c r="AM185" s="4">
        <v>5014841</v>
      </c>
      <c r="AN185" s="4">
        <v>5570584</v>
      </c>
      <c r="AO185" s="150">
        <v>415832</v>
      </c>
    </row>
    <row r="186" spans="1:41" x14ac:dyDescent="0.2">
      <c r="A186" s="1">
        <v>2024</v>
      </c>
      <c r="B186" s="2" t="s">
        <v>207</v>
      </c>
      <c r="C186" s="2" t="s">
        <v>207</v>
      </c>
      <c r="D186" s="1" t="s">
        <v>557</v>
      </c>
      <c r="E186" s="3">
        <v>2503842</v>
      </c>
      <c r="F186" s="3">
        <v>348</v>
      </c>
      <c r="G186" s="3">
        <v>3788</v>
      </c>
      <c r="H186" s="3">
        <v>6929</v>
      </c>
      <c r="I186" s="3">
        <v>0</v>
      </c>
      <c r="J186" s="3">
        <v>2499706</v>
      </c>
      <c r="K186" s="3">
        <v>2492777</v>
      </c>
      <c r="L186" s="3">
        <v>2492777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2013334</v>
      </c>
      <c r="T186" s="3">
        <v>2013334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248816</v>
      </c>
      <c r="Z186" s="3">
        <v>248816</v>
      </c>
      <c r="AA186" s="4">
        <v>248815</v>
      </c>
      <c r="AB186" s="4">
        <v>248815</v>
      </c>
      <c r="AC186" s="4">
        <v>248815</v>
      </c>
      <c r="AD186" s="4">
        <v>248816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1248700</v>
      </c>
      <c r="AJ186" s="4">
        <v>1497516</v>
      </c>
      <c r="AK186" s="4">
        <v>1746331</v>
      </c>
      <c r="AL186" s="4">
        <v>1995146</v>
      </c>
      <c r="AM186" s="4">
        <v>2243961</v>
      </c>
      <c r="AN186" s="4">
        <v>2492777</v>
      </c>
      <c r="AO186" s="150">
        <v>140335</v>
      </c>
    </row>
    <row r="187" spans="1:41" x14ac:dyDescent="0.2">
      <c r="A187" s="1">
        <v>2024</v>
      </c>
      <c r="B187" s="2" t="s">
        <v>208</v>
      </c>
      <c r="C187" s="2" t="s">
        <v>208</v>
      </c>
      <c r="D187" s="1" t="s">
        <v>558</v>
      </c>
      <c r="E187" s="3">
        <v>3161257</v>
      </c>
      <c r="F187" s="3">
        <v>365</v>
      </c>
      <c r="G187" s="3">
        <v>0</v>
      </c>
      <c r="H187" s="3">
        <v>11300</v>
      </c>
      <c r="I187" s="3">
        <v>0</v>
      </c>
      <c r="J187" s="3">
        <v>3160892</v>
      </c>
      <c r="K187" s="3">
        <v>3149592</v>
      </c>
      <c r="L187" s="3">
        <v>3149592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2459727</v>
      </c>
      <c r="T187" s="3">
        <v>2459727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314206</v>
      </c>
      <c r="Z187" s="3">
        <v>314206</v>
      </c>
      <c r="AA187" s="4">
        <v>314206</v>
      </c>
      <c r="AB187" s="4">
        <v>314206</v>
      </c>
      <c r="AC187" s="4">
        <v>314206</v>
      </c>
      <c r="AD187" s="4">
        <v>314206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1578562</v>
      </c>
      <c r="AJ187" s="4">
        <v>1892768</v>
      </c>
      <c r="AK187" s="4">
        <v>2206974</v>
      </c>
      <c r="AL187" s="4">
        <v>2521180</v>
      </c>
      <c r="AM187" s="4">
        <v>2835386</v>
      </c>
      <c r="AN187" s="4">
        <v>3149592</v>
      </c>
      <c r="AO187" s="150">
        <v>233851</v>
      </c>
    </row>
    <row r="188" spans="1:41" x14ac:dyDescent="0.2">
      <c r="A188" s="1">
        <v>2024</v>
      </c>
      <c r="B188" s="2" t="s">
        <v>209</v>
      </c>
      <c r="C188" s="2" t="s">
        <v>209</v>
      </c>
      <c r="D188" s="1" t="s">
        <v>559</v>
      </c>
      <c r="E188" s="3">
        <v>8282499</v>
      </c>
      <c r="F188" s="3">
        <v>1211</v>
      </c>
      <c r="G188" s="3">
        <v>0</v>
      </c>
      <c r="H188" s="3">
        <v>27650</v>
      </c>
      <c r="I188" s="3">
        <v>0</v>
      </c>
      <c r="J188" s="3">
        <v>8281288</v>
      </c>
      <c r="K188" s="3">
        <v>8253638</v>
      </c>
      <c r="L188" s="3">
        <v>8253638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6515276</v>
      </c>
      <c r="T188" s="3">
        <v>6515276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823520</v>
      </c>
      <c r="Z188" s="3">
        <v>823520</v>
      </c>
      <c r="AA188" s="4">
        <v>823521</v>
      </c>
      <c r="AB188" s="4">
        <v>823521</v>
      </c>
      <c r="AC188" s="4">
        <v>823521</v>
      </c>
      <c r="AD188" s="4">
        <v>823519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4136036</v>
      </c>
      <c r="AJ188" s="4">
        <v>4959556</v>
      </c>
      <c r="AK188" s="4">
        <v>5783077</v>
      </c>
      <c r="AL188" s="4">
        <v>6606598</v>
      </c>
      <c r="AM188" s="4">
        <v>7430119</v>
      </c>
      <c r="AN188" s="4">
        <v>8253638</v>
      </c>
      <c r="AO188" s="150">
        <v>599413</v>
      </c>
    </row>
    <row r="189" spans="1:41" x14ac:dyDescent="0.2">
      <c r="A189" s="1">
        <v>2024</v>
      </c>
      <c r="B189" s="2" t="s">
        <v>210</v>
      </c>
      <c r="C189" s="2" t="s">
        <v>210</v>
      </c>
      <c r="D189" s="1" t="s">
        <v>560</v>
      </c>
      <c r="E189" s="3">
        <v>5221497</v>
      </c>
      <c r="F189" s="3">
        <v>498</v>
      </c>
      <c r="G189" s="3">
        <v>0</v>
      </c>
      <c r="H189" s="3">
        <v>17172</v>
      </c>
      <c r="I189" s="1">
        <v>0</v>
      </c>
      <c r="J189" s="3">
        <v>5220999</v>
      </c>
      <c r="K189" s="3">
        <v>5203827</v>
      </c>
      <c r="L189" s="3">
        <v>5203827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4222060</v>
      </c>
      <c r="T189" s="3">
        <v>4222060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519238</v>
      </c>
      <c r="Z189" s="3">
        <v>519238</v>
      </c>
      <c r="AA189" s="4">
        <v>519238</v>
      </c>
      <c r="AB189" s="4">
        <v>519238</v>
      </c>
      <c r="AC189" s="4">
        <v>519238</v>
      </c>
      <c r="AD189" s="4">
        <v>519237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2607638</v>
      </c>
      <c r="AJ189" s="4">
        <v>3126876</v>
      </c>
      <c r="AK189" s="4">
        <v>3646114</v>
      </c>
      <c r="AL189" s="4">
        <v>4165352</v>
      </c>
      <c r="AM189" s="4">
        <v>4684590</v>
      </c>
      <c r="AN189" s="4">
        <v>5203827</v>
      </c>
      <c r="AO189" s="150">
        <v>368994</v>
      </c>
    </row>
    <row r="190" spans="1:41" x14ac:dyDescent="0.2">
      <c r="A190" s="1">
        <v>2024</v>
      </c>
      <c r="B190" s="2" t="s">
        <v>211</v>
      </c>
      <c r="C190" s="2" t="s">
        <v>211</v>
      </c>
      <c r="D190" s="1" t="s">
        <v>561</v>
      </c>
      <c r="E190" s="3">
        <v>5885776</v>
      </c>
      <c r="F190" s="3">
        <v>912</v>
      </c>
      <c r="G190" s="3">
        <v>0</v>
      </c>
      <c r="H190" s="3">
        <v>18161</v>
      </c>
      <c r="I190" s="1">
        <v>0</v>
      </c>
      <c r="J190" s="3">
        <v>5884864</v>
      </c>
      <c r="K190" s="3">
        <v>5866703</v>
      </c>
      <c r="L190" s="3">
        <v>5866703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4687465</v>
      </c>
      <c r="T190" s="3">
        <v>4687465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585460</v>
      </c>
      <c r="Z190" s="3">
        <v>585460</v>
      </c>
      <c r="AA190" s="4">
        <v>585460</v>
      </c>
      <c r="AB190" s="4">
        <v>585460</v>
      </c>
      <c r="AC190" s="4">
        <v>585460</v>
      </c>
      <c r="AD190" s="4">
        <v>585459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2939404</v>
      </c>
      <c r="AJ190" s="4">
        <v>3524864</v>
      </c>
      <c r="AK190" s="4">
        <v>4110324</v>
      </c>
      <c r="AL190" s="4">
        <v>4695784</v>
      </c>
      <c r="AM190" s="4">
        <v>5281244</v>
      </c>
      <c r="AN190" s="4">
        <v>5866703</v>
      </c>
      <c r="AO190" s="150">
        <v>390591</v>
      </c>
    </row>
    <row r="191" spans="1:41" x14ac:dyDescent="0.2">
      <c r="A191" s="1">
        <v>2024</v>
      </c>
      <c r="B191" s="2" t="s">
        <v>212</v>
      </c>
      <c r="C191" s="2" t="s">
        <v>212</v>
      </c>
      <c r="D191" s="1" t="s">
        <v>562</v>
      </c>
      <c r="E191" s="3">
        <v>1990935</v>
      </c>
      <c r="F191" s="1">
        <v>547</v>
      </c>
      <c r="G191" s="1">
        <v>0</v>
      </c>
      <c r="H191" s="3">
        <v>10563</v>
      </c>
      <c r="I191" s="1">
        <v>0</v>
      </c>
      <c r="J191" s="3">
        <v>1990388</v>
      </c>
      <c r="K191" s="3">
        <v>1979825</v>
      </c>
      <c r="L191" s="3">
        <v>1979825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1311362</v>
      </c>
      <c r="T191" s="3">
        <v>1311362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197278</v>
      </c>
      <c r="Z191" s="3">
        <v>197278</v>
      </c>
      <c r="AA191" s="4">
        <v>197278</v>
      </c>
      <c r="AB191" s="4">
        <v>197278</v>
      </c>
      <c r="AC191" s="4">
        <v>197278</v>
      </c>
      <c r="AD191" s="4">
        <v>197279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993434</v>
      </c>
      <c r="AJ191" s="4">
        <v>1190712</v>
      </c>
      <c r="AK191" s="4">
        <v>1387990</v>
      </c>
      <c r="AL191" s="4">
        <v>1585268</v>
      </c>
      <c r="AM191" s="4">
        <v>1782546</v>
      </c>
      <c r="AN191" s="4">
        <v>1979825</v>
      </c>
      <c r="AO191" s="150">
        <v>237017</v>
      </c>
    </row>
    <row r="192" spans="1:41" x14ac:dyDescent="0.2">
      <c r="A192" s="1">
        <v>2024</v>
      </c>
      <c r="B192" s="2" t="s">
        <v>213</v>
      </c>
      <c r="C192" s="2" t="s">
        <v>213</v>
      </c>
      <c r="D192" s="1" t="s">
        <v>563</v>
      </c>
      <c r="E192" s="3">
        <v>6708074</v>
      </c>
      <c r="F192" s="3">
        <v>979</v>
      </c>
      <c r="G192" s="3">
        <v>0</v>
      </c>
      <c r="H192" s="3">
        <v>21825</v>
      </c>
      <c r="I192" s="3">
        <v>0</v>
      </c>
      <c r="J192" s="3">
        <v>6707095</v>
      </c>
      <c r="K192" s="3">
        <v>6685270</v>
      </c>
      <c r="L192" s="3">
        <v>6685270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5330823</v>
      </c>
      <c r="T192" s="3">
        <v>5330823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667072</v>
      </c>
      <c r="Z192" s="3">
        <v>667072</v>
      </c>
      <c r="AA192" s="4">
        <v>667072</v>
      </c>
      <c r="AB192" s="4">
        <v>667072</v>
      </c>
      <c r="AC192" s="4">
        <v>667072</v>
      </c>
      <c r="AD192" s="4">
        <v>667070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3349912</v>
      </c>
      <c r="AJ192" s="4">
        <v>4016984</v>
      </c>
      <c r="AK192" s="4">
        <v>4684056</v>
      </c>
      <c r="AL192" s="4">
        <v>5351128</v>
      </c>
      <c r="AM192" s="4">
        <v>6018200</v>
      </c>
      <c r="AN192" s="4">
        <v>6685270</v>
      </c>
      <c r="AO192" s="150">
        <v>475295</v>
      </c>
    </row>
    <row r="193" spans="1:41" x14ac:dyDescent="0.2">
      <c r="A193" s="1">
        <v>2024</v>
      </c>
      <c r="B193" s="2" t="s">
        <v>214</v>
      </c>
      <c r="C193" s="2" t="s">
        <v>214</v>
      </c>
      <c r="D193" s="1" t="s">
        <v>564</v>
      </c>
      <c r="E193" s="3">
        <v>2464595</v>
      </c>
      <c r="F193" s="1">
        <v>299</v>
      </c>
      <c r="G193" s="1">
        <v>0</v>
      </c>
      <c r="H193" s="3">
        <v>7780</v>
      </c>
      <c r="I193" s="3">
        <v>0</v>
      </c>
      <c r="J193" s="3">
        <v>2464296</v>
      </c>
      <c r="K193" s="3">
        <v>2456516</v>
      </c>
      <c r="L193" s="3">
        <v>2456516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1942571</v>
      </c>
      <c r="T193" s="3">
        <v>1942571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245133</v>
      </c>
      <c r="Z193" s="3">
        <v>245133</v>
      </c>
      <c r="AA193" s="4">
        <v>245133</v>
      </c>
      <c r="AB193" s="4">
        <v>245133</v>
      </c>
      <c r="AC193" s="4">
        <v>245133</v>
      </c>
      <c r="AD193" s="4">
        <v>245131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1230853</v>
      </c>
      <c r="AJ193" s="4">
        <v>1475986</v>
      </c>
      <c r="AK193" s="4">
        <v>1721119</v>
      </c>
      <c r="AL193" s="4">
        <v>1966252</v>
      </c>
      <c r="AM193" s="4">
        <v>2211385</v>
      </c>
      <c r="AN193" s="4">
        <v>2456516</v>
      </c>
      <c r="AO193" s="150">
        <v>169014</v>
      </c>
    </row>
    <row r="194" spans="1:41" x14ac:dyDescent="0.2">
      <c r="A194" s="1">
        <v>2024</v>
      </c>
      <c r="B194" s="2" t="s">
        <v>215</v>
      </c>
      <c r="C194" s="2" t="s">
        <v>215</v>
      </c>
      <c r="D194" s="1" t="s">
        <v>565</v>
      </c>
      <c r="E194" s="3">
        <v>1592709</v>
      </c>
      <c r="F194" s="3">
        <v>282</v>
      </c>
      <c r="G194" s="3">
        <v>0</v>
      </c>
      <c r="H194" s="3">
        <v>4765</v>
      </c>
      <c r="I194" s="3">
        <v>43880</v>
      </c>
      <c r="J194" s="3">
        <v>1592427</v>
      </c>
      <c r="K194" s="3">
        <v>1587662</v>
      </c>
      <c r="L194" s="3">
        <v>1543782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1275220</v>
      </c>
      <c r="T194" s="3">
        <v>1231340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158448</v>
      </c>
      <c r="Z194" s="3">
        <v>158448</v>
      </c>
      <c r="AA194" s="4">
        <v>147479</v>
      </c>
      <c r="AB194" s="4">
        <v>147479</v>
      </c>
      <c r="AC194" s="4">
        <v>147479</v>
      </c>
      <c r="AD194" s="4">
        <v>147477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795420</v>
      </c>
      <c r="AJ194" s="4">
        <v>953868</v>
      </c>
      <c r="AK194" s="4">
        <v>1101347</v>
      </c>
      <c r="AL194" s="4">
        <v>1248826</v>
      </c>
      <c r="AM194" s="4">
        <v>1396305</v>
      </c>
      <c r="AN194" s="4">
        <v>1543782</v>
      </c>
      <c r="AO194" s="150">
        <v>111374</v>
      </c>
    </row>
    <row r="195" spans="1:41" x14ac:dyDescent="0.2">
      <c r="A195" s="1">
        <v>2024</v>
      </c>
      <c r="B195" s="2" t="s">
        <v>216</v>
      </c>
      <c r="C195" s="2" t="s">
        <v>216</v>
      </c>
      <c r="D195" s="1" t="s">
        <v>566</v>
      </c>
      <c r="E195" s="3">
        <v>1453978</v>
      </c>
      <c r="F195" s="3">
        <v>232</v>
      </c>
      <c r="G195" s="3">
        <v>0</v>
      </c>
      <c r="H195" s="3">
        <v>4369</v>
      </c>
      <c r="I195" s="3">
        <v>0</v>
      </c>
      <c r="J195" s="3">
        <v>1453746</v>
      </c>
      <c r="K195" s="3">
        <v>1449377</v>
      </c>
      <c r="L195" s="3">
        <v>1449377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1161309</v>
      </c>
      <c r="T195" s="3">
        <v>1161309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144646</v>
      </c>
      <c r="Z195" s="3">
        <v>144646</v>
      </c>
      <c r="AA195" s="4">
        <v>144646</v>
      </c>
      <c r="AB195" s="4">
        <v>144646</v>
      </c>
      <c r="AC195" s="4">
        <v>144646</v>
      </c>
      <c r="AD195" s="4">
        <v>144647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726146</v>
      </c>
      <c r="AJ195" s="4">
        <v>870792</v>
      </c>
      <c r="AK195" s="4">
        <v>1015438</v>
      </c>
      <c r="AL195" s="4">
        <v>1160084</v>
      </c>
      <c r="AM195" s="4">
        <v>1304730</v>
      </c>
      <c r="AN195" s="4">
        <v>1449377</v>
      </c>
      <c r="AO195" s="150">
        <v>89633</v>
      </c>
    </row>
    <row r="196" spans="1:41" x14ac:dyDescent="0.2">
      <c r="A196" s="1">
        <v>2024</v>
      </c>
      <c r="B196" s="2" t="s">
        <v>217</v>
      </c>
      <c r="C196" s="2" t="s">
        <v>217</v>
      </c>
      <c r="D196" s="1" t="s">
        <v>567</v>
      </c>
      <c r="E196" s="3">
        <v>1262519</v>
      </c>
      <c r="F196" s="1">
        <v>83</v>
      </c>
      <c r="G196" s="1">
        <v>0</v>
      </c>
      <c r="H196" s="3">
        <v>4164</v>
      </c>
      <c r="I196" s="3">
        <v>0</v>
      </c>
      <c r="J196" s="3">
        <v>1262436</v>
      </c>
      <c r="K196" s="3">
        <v>1258272</v>
      </c>
      <c r="L196" s="3">
        <v>1258272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1008040</v>
      </c>
      <c r="T196" s="3">
        <v>1008040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125549</v>
      </c>
      <c r="Z196" s="3">
        <v>125549</v>
      </c>
      <c r="AA196" s="4">
        <v>125550</v>
      </c>
      <c r="AB196" s="4">
        <v>125550</v>
      </c>
      <c r="AC196" s="4">
        <v>125550</v>
      </c>
      <c r="AD196" s="4">
        <v>125548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630525</v>
      </c>
      <c r="AJ196" s="4">
        <v>756074</v>
      </c>
      <c r="AK196" s="4">
        <v>881624</v>
      </c>
      <c r="AL196" s="4">
        <v>1007174</v>
      </c>
      <c r="AM196" s="4">
        <v>1132724</v>
      </c>
      <c r="AN196" s="4">
        <v>1258272</v>
      </c>
      <c r="AO196" s="150">
        <v>88874</v>
      </c>
    </row>
    <row r="197" spans="1:41" x14ac:dyDescent="0.2">
      <c r="A197" s="1">
        <v>2024</v>
      </c>
      <c r="B197" s="2" t="s">
        <v>218</v>
      </c>
      <c r="C197" s="2" t="s">
        <v>218</v>
      </c>
      <c r="D197" s="1" t="s">
        <v>568</v>
      </c>
      <c r="E197" s="3">
        <v>3822711</v>
      </c>
      <c r="F197" s="3">
        <v>564</v>
      </c>
      <c r="G197" s="3">
        <v>0</v>
      </c>
      <c r="H197" s="3">
        <v>13473</v>
      </c>
      <c r="I197" s="3">
        <v>0</v>
      </c>
      <c r="J197" s="3">
        <v>3822147</v>
      </c>
      <c r="K197" s="3">
        <v>3808674</v>
      </c>
      <c r="L197" s="3">
        <v>3808674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2914607</v>
      </c>
      <c r="T197" s="3">
        <v>2914607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379969</v>
      </c>
      <c r="Z197" s="3">
        <v>379969</v>
      </c>
      <c r="AA197" s="4">
        <v>379969</v>
      </c>
      <c r="AB197" s="4">
        <v>379969</v>
      </c>
      <c r="AC197" s="4">
        <v>379969</v>
      </c>
      <c r="AD197" s="4">
        <v>379969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1908829</v>
      </c>
      <c r="AJ197" s="4">
        <v>2288798</v>
      </c>
      <c r="AK197" s="4">
        <v>2668767</v>
      </c>
      <c r="AL197" s="4">
        <v>3048736</v>
      </c>
      <c r="AM197" s="4">
        <v>3428705</v>
      </c>
      <c r="AN197" s="4">
        <v>3808674</v>
      </c>
      <c r="AO197" s="150">
        <v>286609</v>
      </c>
    </row>
    <row r="198" spans="1:41" x14ac:dyDescent="0.2">
      <c r="A198" s="1">
        <v>2024</v>
      </c>
      <c r="B198" s="2" t="s">
        <v>219</v>
      </c>
      <c r="C198" s="2" t="s">
        <v>219</v>
      </c>
      <c r="D198" s="1" t="s">
        <v>569</v>
      </c>
      <c r="E198" s="3">
        <v>13255913</v>
      </c>
      <c r="F198" s="3">
        <v>1211</v>
      </c>
      <c r="G198" s="3">
        <v>926</v>
      </c>
      <c r="H198" s="3">
        <v>40350</v>
      </c>
      <c r="I198" s="3">
        <v>0</v>
      </c>
      <c r="J198" s="3">
        <v>13253776</v>
      </c>
      <c r="K198" s="3">
        <v>13213426</v>
      </c>
      <c r="L198" s="3">
        <v>13213426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10829741</v>
      </c>
      <c r="T198" s="3">
        <v>10829741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1318652</v>
      </c>
      <c r="Z198" s="3">
        <v>1318652</v>
      </c>
      <c r="AA198" s="4">
        <v>1318653</v>
      </c>
      <c r="AB198" s="4">
        <v>1318653</v>
      </c>
      <c r="AC198" s="4">
        <v>1318653</v>
      </c>
      <c r="AD198" s="4">
        <v>1318651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6620164</v>
      </c>
      <c r="AJ198" s="4">
        <v>7938816</v>
      </c>
      <c r="AK198" s="4">
        <v>9257469</v>
      </c>
      <c r="AL198" s="4">
        <v>10576122</v>
      </c>
      <c r="AM198" s="4">
        <v>11894775</v>
      </c>
      <c r="AN198" s="4">
        <v>13213426</v>
      </c>
      <c r="AO198" s="150">
        <v>865485</v>
      </c>
    </row>
    <row r="199" spans="1:41" x14ac:dyDescent="0.2">
      <c r="A199" s="1">
        <v>2024</v>
      </c>
      <c r="B199" s="2" t="s">
        <v>220</v>
      </c>
      <c r="C199" s="2" t="s">
        <v>220</v>
      </c>
      <c r="D199" s="1" t="s">
        <v>570</v>
      </c>
      <c r="E199" s="3">
        <v>7937993</v>
      </c>
      <c r="F199" s="3">
        <v>746</v>
      </c>
      <c r="G199" s="3">
        <v>0</v>
      </c>
      <c r="H199" s="3">
        <v>25022</v>
      </c>
      <c r="I199" s="1">
        <v>0</v>
      </c>
      <c r="J199" s="3">
        <v>7937247</v>
      </c>
      <c r="K199" s="3">
        <v>7912225</v>
      </c>
      <c r="L199" s="3">
        <v>7912225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6424611</v>
      </c>
      <c r="T199" s="3">
        <v>6424611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789554</v>
      </c>
      <c r="Z199" s="3">
        <v>789554</v>
      </c>
      <c r="AA199" s="4">
        <v>789554</v>
      </c>
      <c r="AB199" s="4">
        <v>789554</v>
      </c>
      <c r="AC199" s="4">
        <v>789554</v>
      </c>
      <c r="AD199" s="4">
        <v>789555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3964454</v>
      </c>
      <c r="AJ199" s="4">
        <v>4754008</v>
      </c>
      <c r="AK199" s="4">
        <v>5543562</v>
      </c>
      <c r="AL199" s="4">
        <v>6333116</v>
      </c>
      <c r="AM199" s="4">
        <v>7122670</v>
      </c>
      <c r="AN199" s="4">
        <v>7912225</v>
      </c>
      <c r="AO199" s="150">
        <v>532335</v>
      </c>
    </row>
    <row r="200" spans="1:41" x14ac:dyDescent="0.2">
      <c r="A200" s="1">
        <v>2024</v>
      </c>
      <c r="B200" s="2" t="s">
        <v>221</v>
      </c>
      <c r="C200" s="2" t="s">
        <v>221</v>
      </c>
      <c r="D200" s="1" t="s">
        <v>571</v>
      </c>
      <c r="E200" s="3">
        <v>1754991</v>
      </c>
      <c r="F200" s="3">
        <v>381</v>
      </c>
      <c r="G200" s="3">
        <v>0</v>
      </c>
      <c r="H200" s="3">
        <v>4995</v>
      </c>
      <c r="I200" s="3">
        <v>0</v>
      </c>
      <c r="J200" s="3">
        <v>1754610</v>
      </c>
      <c r="K200" s="3">
        <v>1749615</v>
      </c>
      <c r="L200" s="3">
        <v>1749615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1374228</v>
      </c>
      <c r="T200" s="3">
        <v>1374228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174629</v>
      </c>
      <c r="Z200" s="3">
        <v>174629</v>
      </c>
      <c r="AA200" s="4">
        <v>174628</v>
      </c>
      <c r="AB200" s="4">
        <v>174628</v>
      </c>
      <c r="AC200" s="4">
        <v>174628</v>
      </c>
      <c r="AD200" s="4">
        <v>174629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876473</v>
      </c>
      <c r="AJ200" s="4">
        <v>1051102</v>
      </c>
      <c r="AK200" s="4">
        <v>1225730</v>
      </c>
      <c r="AL200" s="4">
        <v>1400358</v>
      </c>
      <c r="AM200" s="4">
        <v>1574986</v>
      </c>
      <c r="AN200" s="4">
        <v>1749615</v>
      </c>
      <c r="AO200" s="150">
        <v>107427</v>
      </c>
    </row>
    <row r="201" spans="1:41" x14ac:dyDescent="0.2">
      <c r="A201" s="1">
        <v>2024</v>
      </c>
      <c r="B201" s="2" t="s">
        <v>222</v>
      </c>
      <c r="C201" s="2" t="s">
        <v>222</v>
      </c>
      <c r="D201" s="1" t="s">
        <v>572</v>
      </c>
      <c r="E201" s="3">
        <v>34549998</v>
      </c>
      <c r="F201" s="3">
        <v>3931</v>
      </c>
      <c r="G201" s="3">
        <v>38175</v>
      </c>
      <c r="H201" s="3">
        <v>103017</v>
      </c>
      <c r="I201" s="3">
        <v>0</v>
      </c>
      <c r="J201" s="3">
        <v>34507892</v>
      </c>
      <c r="K201" s="3">
        <v>34404875</v>
      </c>
      <c r="L201" s="3">
        <v>34404875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28170803</v>
      </c>
      <c r="T201" s="3">
        <v>28170803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3433620</v>
      </c>
      <c r="Z201" s="3">
        <v>3433620</v>
      </c>
      <c r="AA201" s="4">
        <v>3433620</v>
      </c>
      <c r="AB201" s="4">
        <v>3433620</v>
      </c>
      <c r="AC201" s="4">
        <v>3433620</v>
      </c>
      <c r="AD201" s="4">
        <v>3433619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17236776</v>
      </c>
      <c r="AJ201" s="4">
        <v>20670396</v>
      </c>
      <c r="AK201" s="4">
        <v>24104016</v>
      </c>
      <c r="AL201" s="4">
        <v>27537636</v>
      </c>
      <c r="AM201" s="4">
        <v>30971256</v>
      </c>
      <c r="AN201" s="4">
        <v>34404875</v>
      </c>
      <c r="AO201" s="150">
        <v>2225191</v>
      </c>
    </row>
    <row r="202" spans="1:41" x14ac:dyDescent="0.2">
      <c r="A202" s="1">
        <v>2024</v>
      </c>
      <c r="B202" s="2" t="s">
        <v>223</v>
      </c>
      <c r="C202" s="2" t="s">
        <v>223</v>
      </c>
      <c r="D202" s="1" t="s">
        <v>573</v>
      </c>
      <c r="E202" s="3">
        <v>3920005</v>
      </c>
      <c r="F202" s="3">
        <v>630</v>
      </c>
      <c r="G202" s="3">
        <v>0</v>
      </c>
      <c r="H202" s="3">
        <v>13344</v>
      </c>
      <c r="I202" s="1">
        <v>0</v>
      </c>
      <c r="J202" s="3">
        <v>3919375</v>
      </c>
      <c r="K202" s="3">
        <v>3906031</v>
      </c>
      <c r="L202" s="3">
        <v>3906031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3080686</v>
      </c>
      <c r="T202" s="3">
        <v>3080686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389713</v>
      </c>
      <c r="Z202" s="3">
        <v>389713</v>
      </c>
      <c r="AA202" s="4">
        <v>389713</v>
      </c>
      <c r="AB202" s="4">
        <v>389713</v>
      </c>
      <c r="AC202" s="4">
        <v>389713</v>
      </c>
      <c r="AD202" s="4">
        <v>389714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1957465</v>
      </c>
      <c r="AJ202" s="4">
        <v>2347178</v>
      </c>
      <c r="AK202" s="4">
        <v>2736891</v>
      </c>
      <c r="AL202" s="4">
        <v>3126604</v>
      </c>
      <c r="AM202" s="4">
        <v>3516317</v>
      </c>
      <c r="AN202" s="4">
        <v>3906031</v>
      </c>
      <c r="AO202" s="150">
        <v>284028</v>
      </c>
    </row>
    <row r="203" spans="1:41" x14ac:dyDescent="0.2">
      <c r="A203" s="1">
        <v>2024</v>
      </c>
      <c r="B203" s="2" t="s">
        <v>224</v>
      </c>
      <c r="C203" s="2" t="s">
        <v>224</v>
      </c>
      <c r="D203" s="1" t="s">
        <v>574</v>
      </c>
      <c r="E203" s="3">
        <v>9797141</v>
      </c>
      <c r="F203" s="3">
        <v>1244</v>
      </c>
      <c r="G203" s="3">
        <v>0</v>
      </c>
      <c r="H203" s="3">
        <v>31512</v>
      </c>
      <c r="I203" s="3">
        <v>0</v>
      </c>
      <c r="J203" s="3">
        <v>9795897</v>
      </c>
      <c r="K203" s="3">
        <v>9764385</v>
      </c>
      <c r="L203" s="3">
        <v>9764385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7819306</v>
      </c>
      <c r="T203" s="3">
        <v>7819306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974338</v>
      </c>
      <c r="Z203" s="3">
        <v>974338</v>
      </c>
      <c r="AA203" s="4">
        <v>974337</v>
      </c>
      <c r="AB203" s="4">
        <v>974337</v>
      </c>
      <c r="AC203" s="4">
        <v>974337</v>
      </c>
      <c r="AD203" s="4">
        <v>974338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4892698</v>
      </c>
      <c r="AJ203" s="4">
        <v>5867036</v>
      </c>
      <c r="AK203" s="4">
        <v>6841373</v>
      </c>
      <c r="AL203" s="4">
        <v>7815710</v>
      </c>
      <c r="AM203" s="4">
        <v>8790047</v>
      </c>
      <c r="AN203" s="4">
        <v>9764385</v>
      </c>
      <c r="AO203" s="150">
        <v>648341</v>
      </c>
    </row>
    <row r="204" spans="1:41" x14ac:dyDescent="0.2">
      <c r="A204" s="1">
        <v>2024</v>
      </c>
      <c r="B204" s="2" t="s">
        <v>225</v>
      </c>
      <c r="C204" s="2" t="s">
        <v>225</v>
      </c>
      <c r="D204" s="1" t="s">
        <v>575</v>
      </c>
      <c r="E204" s="3">
        <v>2949615</v>
      </c>
      <c r="F204" s="3">
        <v>498</v>
      </c>
      <c r="G204" s="3">
        <v>0</v>
      </c>
      <c r="H204" s="3">
        <v>11167</v>
      </c>
      <c r="I204" s="1">
        <v>0</v>
      </c>
      <c r="J204" s="3">
        <v>2949117</v>
      </c>
      <c r="K204" s="3">
        <v>2937950</v>
      </c>
      <c r="L204" s="3">
        <v>2937950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2233792</v>
      </c>
      <c r="T204" s="3">
        <v>2233792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293050</v>
      </c>
      <c r="Z204" s="3">
        <v>293050</v>
      </c>
      <c r="AA204" s="4">
        <v>293051</v>
      </c>
      <c r="AB204" s="4">
        <v>293051</v>
      </c>
      <c r="AC204" s="4">
        <v>293051</v>
      </c>
      <c r="AD204" s="4">
        <v>293049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1472698</v>
      </c>
      <c r="AJ204" s="4">
        <v>1765748</v>
      </c>
      <c r="AK204" s="4">
        <v>2058799</v>
      </c>
      <c r="AL204" s="4">
        <v>2351850</v>
      </c>
      <c r="AM204" s="4">
        <v>2644901</v>
      </c>
      <c r="AN204" s="4">
        <v>2937950</v>
      </c>
      <c r="AO204" s="150">
        <v>247284</v>
      </c>
    </row>
    <row r="205" spans="1:41" x14ac:dyDescent="0.2">
      <c r="A205" s="1">
        <v>2024</v>
      </c>
      <c r="B205" s="2" t="s">
        <v>226</v>
      </c>
      <c r="C205" s="2" t="s">
        <v>226</v>
      </c>
      <c r="D205" s="1" t="s">
        <v>576</v>
      </c>
      <c r="E205" s="3">
        <v>5533203</v>
      </c>
      <c r="F205" s="3">
        <v>1045</v>
      </c>
      <c r="G205" s="3">
        <v>0</v>
      </c>
      <c r="H205" s="3">
        <v>20942</v>
      </c>
      <c r="I205" s="3">
        <v>0</v>
      </c>
      <c r="J205" s="3">
        <v>5532158</v>
      </c>
      <c r="K205" s="3">
        <v>5511216</v>
      </c>
      <c r="L205" s="3">
        <v>5511216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4189368</v>
      </c>
      <c r="T205" s="3">
        <v>4189368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549725</v>
      </c>
      <c r="Z205" s="3">
        <v>549725</v>
      </c>
      <c r="AA205" s="4">
        <v>549726</v>
      </c>
      <c r="AB205" s="4">
        <v>549726</v>
      </c>
      <c r="AC205" s="4">
        <v>549726</v>
      </c>
      <c r="AD205" s="4">
        <v>549724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2762589</v>
      </c>
      <c r="AJ205" s="4">
        <v>3312314</v>
      </c>
      <c r="AK205" s="4">
        <v>3862040</v>
      </c>
      <c r="AL205" s="4">
        <v>4411766</v>
      </c>
      <c r="AM205" s="4">
        <v>4961492</v>
      </c>
      <c r="AN205" s="4">
        <v>5511216</v>
      </c>
      <c r="AO205" s="150">
        <v>460527</v>
      </c>
    </row>
    <row r="206" spans="1:41" x14ac:dyDescent="0.2">
      <c r="A206" s="1">
        <v>2024</v>
      </c>
      <c r="B206" s="2" t="s">
        <v>227</v>
      </c>
      <c r="C206" s="2" t="s">
        <v>227</v>
      </c>
      <c r="D206" s="1" t="s">
        <v>577</v>
      </c>
      <c r="E206" s="3">
        <v>4315343</v>
      </c>
      <c r="F206" s="3">
        <v>365</v>
      </c>
      <c r="G206" s="3">
        <v>0</v>
      </c>
      <c r="H206" s="3">
        <v>12205</v>
      </c>
      <c r="I206" s="3">
        <v>29199</v>
      </c>
      <c r="J206" s="3">
        <v>4314978</v>
      </c>
      <c r="K206" s="3">
        <v>4302773</v>
      </c>
      <c r="L206" s="3">
        <v>4273574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3570439</v>
      </c>
      <c r="T206" s="3">
        <v>3541240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429464</v>
      </c>
      <c r="Z206" s="3">
        <v>429464</v>
      </c>
      <c r="AA206" s="4">
        <v>422164</v>
      </c>
      <c r="AB206" s="4">
        <v>422164</v>
      </c>
      <c r="AC206" s="4">
        <v>422164</v>
      </c>
      <c r="AD206" s="4">
        <v>422162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2155456</v>
      </c>
      <c r="AJ206" s="4">
        <v>2584920</v>
      </c>
      <c r="AK206" s="4">
        <v>3007084</v>
      </c>
      <c r="AL206" s="4">
        <v>3429248</v>
      </c>
      <c r="AM206" s="4">
        <v>3851412</v>
      </c>
      <c r="AN206" s="4">
        <v>4273574</v>
      </c>
      <c r="AO206" s="150">
        <v>262705</v>
      </c>
    </row>
    <row r="207" spans="1:41" x14ac:dyDescent="0.2">
      <c r="A207" s="1">
        <v>2024</v>
      </c>
      <c r="B207" s="2" t="s">
        <v>228</v>
      </c>
      <c r="C207" s="2" t="s">
        <v>228</v>
      </c>
      <c r="D207" s="1" t="s">
        <v>578</v>
      </c>
      <c r="E207" s="3">
        <v>23294544</v>
      </c>
      <c r="F207" s="3">
        <v>1775</v>
      </c>
      <c r="G207" s="3">
        <v>0</v>
      </c>
      <c r="H207" s="3">
        <v>66600</v>
      </c>
      <c r="I207" s="1">
        <v>0</v>
      </c>
      <c r="J207" s="3">
        <v>23292769</v>
      </c>
      <c r="K207" s="3">
        <v>23226169</v>
      </c>
      <c r="L207" s="3">
        <v>23226169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19366356</v>
      </c>
      <c r="T207" s="3">
        <v>19366356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2318177</v>
      </c>
      <c r="Z207" s="3">
        <v>2318177</v>
      </c>
      <c r="AA207" s="4">
        <v>2318177</v>
      </c>
      <c r="AB207" s="4">
        <v>2318177</v>
      </c>
      <c r="AC207" s="4">
        <v>2318177</v>
      </c>
      <c r="AD207" s="4">
        <v>2318176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11635285</v>
      </c>
      <c r="AJ207" s="4">
        <v>13953462</v>
      </c>
      <c r="AK207" s="4">
        <v>16271639</v>
      </c>
      <c r="AL207" s="4">
        <v>18589816</v>
      </c>
      <c r="AM207" s="4">
        <v>20907993</v>
      </c>
      <c r="AN207" s="4">
        <v>23226169</v>
      </c>
      <c r="AO207" s="150">
        <v>1442022</v>
      </c>
    </row>
    <row r="208" spans="1:41" x14ac:dyDescent="0.2">
      <c r="A208" s="1">
        <v>2024</v>
      </c>
      <c r="B208" s="2" t="s">
        <v>229</v>
      </c>
      <c r="C208" s="2" t="s">
        <v>229</v>
      </c>
      <c r="D208" s="1" t="s">
        <v>579</v>
      </c>
      <c r="E208" s="3">
        <v>5319992</v>
      </c>
      <c r="F208" s="3">
        <v>779</v>
      </c>
      <c r="G208" s="3">
        <v>0</v>
      </c>
      <c r="H208" s="3">
        <v>18134</v>
      </c>
      <c r="I208" s="3">
        <v>0</v>
      </c>
      <c r="J208" s="3">
        <v>5319213</v>
      </c>
      <c r="K208" s="3">
        <v>5301079</v>
      </c>
      <c r="L208" s="3">
        <v>5301079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4153821</v>
      </c>
      <c r="T208" s="3">
        <v>4153821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528899</v>
      </c>
      <c r="Z208" s="3">
        <v>528899</v>
      </c>
      <c r="AA208" s="4">
        <v>528899</v>
      </c>
      <c r="AB208" s="4">
        <v>528899</v>
      </c>
      <c r="AC208" s="4">
        <v>528899</v>
      </c>
      <c r="AD208" s="4">
        <v>528900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2656583</v>
      </c>
      <c r="AJ208" s="4">
        <v>3185482</v>
      </c>
      <c r="AK208" s="4">
        <v>3714381</v>
      </c>
      <c r="AL208" s="4">
        <v>4243280</v>
      </c>
      <c r="AM208" s="4">
        <v>4772179</v>
      </c>
      <c r="AN208" s="4">
        <v>5301079</v>
      </c>
      <c r="AO208" s="150">
        <v>402411</v>
      </c>
    </row>
    <row r="209" spans="1:41" x14ac:dyDescent="0.2">
      <c r="A209" s="1">
        <v>2024</v>
      </c>
      <c r="B209" s="2" t="s">
        <v>230</v>
      </c>
      <c r="C209" s="2" t="s">
        <v>230</v>
      </c>
      <c r="D209" s="1" t="s">
        <v>580</v>
      </c>
      <c r="E209" s="3">
        <v>3504307</v>
      </c>
      <c r="F209" s="3">
        <v>663</v>
      </c>
      <c r="G209" s="3">
        <v>0</v>
      </c>
      <c r="H209" s="3">
        <v>11867</v>
      </c>
      <c r="I209" s="1">
        <v>0</v>
      </c>
      <c r="J209" s="3">
        <v>3503644</v>
      </c>
      <c r="K209" s="3">
        <v>3491777</v>
      </c>
      <c r="L209" s="3">
        <v>3491777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2688168</v>
      </c>
      <c r="T209" s="3">
        <v>2688168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348387</v>
      </c>
      <c r="Z209" s="3">
        <v>348387</v>
      </c>
      <c r="AA209" s="4">
        <v>348387</v>
      </c>
      <c r="AB209" s="4">
        <v>348387</v>
      </c>
      <c r="AC209" s="4">
        <v>348387</v>
      </c>
      <c r="AD209" s="4">
        <v>348386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1749843</v>
      </c>
      <c r="AJ209" s="4">
        <v>2098230</v>
      </c>
      <c r="AK209" s="4">
        <v>2446617</v>
      </c>
      <c r="AL209" s="4">
        <v>2795004</v>
      </c>
      <c r="AM209" s="4">
        <v>3143391</v>
      </c>
      <c r="AN209" s="4">
        <v>3491777</v>
      </c>
      <c r="AO209" s="150">
        <v>246705</v>
      </c>
    </row>
    <row r="210" spans="1:41" x14ac:dyDescent="0.2">
      <c r="A210" s="1">
        <v>2024</v>
      </c>
      <c r="B210" s="2" t="s">
        <v>231</v>
      </c>
      <c r="C210" s="2" t="s">
        <v>231</v>
      </c>
      <c r="D210" s="1" t="s">
        <v>799</v>
      </c>
      <c r="E210" s="3">
        <v>8202708</v>
      </c>
      <c r="F210" s="3">
        <v>1028</v>
      </c>
      <c r="G210" s="3">
        <v>0</v>
      </c>
      <c r="H210" s="3">
        <v>25626</v>
      </c>
      <c r="I210" s="3">
        <v>0</v>
      </c>
      <c r="J210" s="3">
        <v>8201680</v>
      </c>
      <c r="K210" s="3">
        <v>8176054</v>
      </c>
      <c r="L210" s="3">
        <v>8176054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6597205</v>
      </c>
      <c r="T210" s="3">
        <v>6597205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815897</v>
      </c>
      <c r="Z210" s="3">
        <v>815897</v>
      </c>
      <c r="AA210" s="4">
        <v>815897</v>
      </c>
      <c r="AB210" s="4">
        <v>815897</v>
      </c>
      <c r="AC210" s="4">
        <v>815897</v>
      </c>
      <c r="AD210" s="4">
        <v>815897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4096569</v>
      </c>
      <c r="AJ210" s="4">
        <v>4912466</v>
      </c>
      <c r="AK210" s="4">
        <v>5728363</v>
      </c>
      <c r="AL210" s="4">
        <v>6544260</v>
      </c>
      <c r="AM210" s="4">
        <v>7360157</v>
      </c>
      <c r="AN210" s="4">
        <v>8176054</v>
      </c>
      <c r="AO210" s="150">
        <v>564444</v>
      </c>
    </row>
    <row r="211" spans="1:41" x14ac:dyDescent="0.2">
      <c r="A211" s="1">
        <v>2024</v>
      </c>
      <c r="B211" s="2" t="s">
        <v>233</v>
      </c>
      <c r="C211" s="2" t="s">
        <v>233</v>
      </c>
      <c r="D211" s="1" t="s">
        <v>581</v>
      </c>
      <c r="E211" s="3">
        <v>3068151</v>
      </c>
      <c r="F211" s="3">
        <v>431</v>
      </c>
      <c r="G211" s="3">
        <v>0</v>
      </c>
      <c r="H211" s="3">
        <v>11000</v>
      </c>
      <c r="I211" s="1">
        <v>0</v>
      </c>
      <c r="J211" s="3">
        <v>3067720</v>
      </c>
      <c r="K211" s="3">
        <v>3056720</v>
      </c>
      <c r="L211" s="3">
        <v>3056720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2365658</v>
      </c>
      <c r="T211" s="3">
        <v>2365658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304939</v>
      </c>
      <c r="Z211" s="3">
        <v>304939</v>
      </c>
      <c r="AA211" s="4">
        <v>304939</v>
      </c>
      <c r="AB211" s="4">
        <v>304939</v>
      </c>
      <c r="AC211" s="4">
        <v>304939</v>
      </c>
      <c r="AD211" s="4">
        <v>304937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1532027</v>
      </c>
      <c r="AJ211" s="4">
        <v>1836966</v>
      </c>
      <c r="AK211" s="4">
        <v>2141905</v>
      </c>
      <c r="AL211" s="4">
        <v>2446844</v>
      </c>
      <c r="AM211" s="4">
        <v>2751783</v>
      </c>
      <c r="AN211" s="4">
        <v>3056720</v>
      </c>
      <c r="AO211" s="150">
        <v>241796</v>
      </c>
    </row>
    <row r="212" spans="1:41" x14ac:dyDescent="0.2">
      <c r="A212" s="1">
        <v>2024</v>
      </c>
      <c r="B212" s="2" t="s">
        <v>234</v>
      </c>
      <c r="C212" s="2" t="s">
        <v>234</v>
      </c>
      <c r="D212" s="1" t="s">
        <v>582</v>
      </c>
      <c r="E212" s="3">
        <v>3487351</v>
      </c>
      <c r="F212" s="3">
        <v>332</v>
      </c>
      <c r="G212" s="3">
        <v>0</v>
      </c>
      <c r="H212" s="3">
        <v>12540</v>
      </c>
      <c r="I212" s="1">
        <v>0</v>
      </c>
      <c r="J212" s="3">
        <v>3487019</v>
      </c>
      <c r="K212" s="3">
        <v>3474479</v>
      </c>
      <c r="L212" s="3">
        <v>3474479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2757603</v>
      </c>
      <c r="T212" s="3">
        <v>2757603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346612</v>
      </c>
      <c r="Z212" s="3">
        <v>346612</v>
      </c>
      <c r="AA212" s="4">
        <v>346612</v>
      </c>
      <c r="AB212" s="4">
        <v>346612</v>
      </c>
      <c r="AC212" s="4">
        <v>346612</v>
      </c>
      <c r="AD212" s="4">
        <v>346611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1741420</v>
      </c>
      <c r="AJ212" s="4">
        <v>2088032</v>
      </c>
      <c r="AK212" s="4">
        <v>2434644</v>
      </c>
      <c r="AL212" s="4">
        <v>2781256</v>
      </c>
      <c r="AM212" s="4">
        <v>3127868</v>
      </c>
      <c r="AN212" s="4">
        <v>3474479</v>
      </c>
      <c r="AO212" s="150">
        <v>264804</v>
      </c>
    </row>
    <row r="213" spans="1:41" x14ac:dyDescent="0.2">
      <c r="A213" s="1">
        <v>2024</v>
      </c>
      <c r="B213" s="2" t="s">
        <v>235</v>
      </c>
      <c r="C213" s="2" t="s">
        <v>235</v>
      </c>
      <c r="D213" s="1" t="s">
        <v>583</v>
      </c>
      <c r="E213" s="3">
        <v>745374</v>
      </c>
      <c r="F213" s="3">
        <v>398</v>
      </c>
      <c r="G213" s="3">
        <v>0</v>
      </c>
      <c r="H213" s="3">
        <v>5323</v>
      </c>
      <c r="I213" s="1">
        <v>0</v>
      </c>
      <c r="J213" s="3">
        <v>744976</v>
      </c>
      <c r="K213" s="3">
        <v>739653</v>
      </c>
      <c r="L213" s="3">
        <v>739653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353957</v>
      </c>
      <c r="T213" s="3">
        <v>353957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73610</v>
      </c>
      <c r="Z213" s="3">
        <v>73610</v>
      </c>
      <c r="AA213" s="4">
        <v>73610</v>
      </c>
      <c r="AB213" s="4">
        <v>73610</v>
      </c>
      <c r="AC213" s="4">
        <v>73610</v>
      </c>
      <c r="AD213" s="4">
        <v>73611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371602</v>
      </c>
      <c r="AJ213" s="4">
        <v>445212</v>
      </c>
      <c r="AK213" s="4">
        <v>518822</v>
      </c>
      <c r="AL213" s="4">
        <v>592432</v>
      </c>
      <c r="AM213" s="4">
        <v>666042</v>
      </c>
      <c r="AN213" s="4">
        <v>739653</v>
      </c>
      <c r="AO213" s="150">
        <v>128423</v>
      </c>
    </row>
    <row r="214" spans="1:41" x14ac:dyDescent="0.2">
      <c r="A214" s="1">
        <v>2024</v>
      </c>
      <c r="B214" s="2" t="s">
        <v>236</v>
      </c>
      <c r="C214" s="2" t="s">
        <v>236</v>
      </c>
      <c r="D214" s="1" t="s">
        <v>584</v>
      </c>
      <c r="E214" s="3">
        <v>15110275</v>
      </c>
      <c r="F214" s="3">
        <v>1741</v>
      </c>
      <c r="G214" s="3">
        <v>0</v>
      </c>
      <c r="H214" s="3">
        <v>47133</v>
      </c>
      <c r="I214" s="1">
        <v>0</v>
      </c>
      <c r="J214" s="3">
        <v>15108534</v>
      </c>
      <c r="K214" s="3">
        <v>15061401</v>
      </c>
      <c r="L214" s="3">
        <v>15061401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12334400</v>
      </c>
      <c r="T214" s="3">
        <v>12334400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1502998</v>
      </c>
      <c r="Z214" s="3">
        <v>1502998</v>
      </c>
      <c r="AA214" s="4">
        <v>1502998</v>
      </c>
      <c r="AB214" s="4">
        <v>1502998</v>
      </c>
      <c r="AC214" s="4">
        <v>1502998</v>
      </c>
      <c r="AD214" s="4">
        <v>1502999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7546410</v>
      </c>
      <c r="AJ214" s="4">
        <v>9049408</v>
      </c>
      <c r="AK214" s="4">
        <v>10552406</v>
      </c>
      <c r="AL214" s="4">
        <v>12055404</v>
      </c>
      <c r="AM214" s="4">
        <v>13558402</v>
      </c>
      <c r="AN214" s="4">
        <v>15061401</v>
      </c>
      <c r="AO214" s="150">
        <v>1026928</v>
      </c>
    </row>
    <row r="215" spans="1:41" x14ac:dyDescent="0.2">
      <c r="A215" s="1">
        <v>2024</v>
      </c>
      <c r="B215" s="2" t="s">
        <v>237</v>
      </c>
      <c r="C215" s="2" t="s">
        <v>237</v>
      </c>
      <c r="D215" s="1" t="s">
        <v>585</v>
      </c>
      <c r="E215" s="3">
        <v>20542085</v>
      </c>
      <c r="F215" s="3">
        <v>2405</v>
      </c>
      <c r="G215" s="3">
        <v>0</v>
      </c>
      <c r="H215" s="3">
        <v>69753</v>
      </c>
      <c r="I215" s="1">
        <v>0</v>
      </c>
      <c r="J215" s="3">
        <v>20539680</v>
      </c>
      <c r="K215" s="3">
        <v>20469927</v>
      </c>
      <c r="L215" s="3">
        <v>20469927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16334096</v>
      </c>
      <c r="T215" s="3">
        <v>16334096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2042343</v>
      </c>
      <c r="Z215" s="3">
        <v>2042343</v>
      </c>
      <c r="AA215" s="4">
        <v>2042342</v>
      </c>
      <c r="AB215" s="4">
        <v>2042342</v>
      </c>
      <c r="AC215" s="4">
        <v>2042342</v>
      </c>
      <c r="AD215" s="4">
        <v>2042343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10258215</v>
      </c>
      <c r="AJ215" s="4">
        <v>12300558</v>
      </c>
      <c r="AK215" s="4">
        <v>14342900</v>
      </c>
      <c r="AL215" s="4">
        <v>16385242</v>
      </c>
      <c r="AM215" s="4">
        <v>18427584</v>
      </c>
      <c r="AN215" s="4">
        <v>20469927</v>
      </c>
      <c r="AO215" s="150">
        <v>1492585</v>
      </c>
    </row>
    <row r="216" spans="1:41" x14ac:dyDescent="0.2">
      <c r="A216" s="1">
        <v>2024</v>
      </c>
      <c r="B216" s="2" t="s">
        <v>238</v>
      </c>
      <c r="C216" s="2" t="s">
        <v>238</v>
      </c>
      <c r="D216" s="1" t="s">
        <v>586</v>
      </c>
      <c r="E216" s="3">
        <v>2715041</v>
      </c>
      <c r="F216" s="3">
        <v>564</v>
      </c>
      <c r="G216" s="3">
        <v>0</v>
      </c>
      <c r="H216" s="3">
        <v>10201</v>
      </c>
      <c r="I216" s="1">
        <v>0</v>
      </c>
      <c r="J216" s="3">
        <v>2714477</v>
      </c>
      <c r="K216" s="3">
        <v>2704276</v>
      </c>
      <c r="L216" s="3">
        <v>2704276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2014666</v>
      </c>
      <c r="T216" s="3">
        <v>2014666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269747</v>
      </c>
      <c r="Z216" s="3">
        <v>269747</v>
      </c>
      <c r="AA216" s="4">
        <v>269748</v>
      </c>
      <c r="AB216" s="4">
        <v>269748</v>
      </c>
      <c r="AC216" s="4">
        <v>269748</v>
      </c>
      <c r="AD216" s="4">
        <v>269746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1355539</v>
      </c>
      <c r="AJ216" s="4">
        <v>1625286</v>
      </c>
      <c r="AK216" s="4">
        <v>1895034</v>
      </c>
      <c r="AL216" s="4">
        <v>2164782</v>
      </c>
      <c r="AM216" s="4">
        <v>2434530</v>
      </c>
      <c r="AN216" s="4">
        <v>2704276</v>
      </c>
      <c r="AO216" s="150">
        <v>225397</v>
      </c>
    </row>
    <row r="217" spans="1:41" x14ac:dyDescent="0.2">
      <c r="A217" s="1">
        <v>2024</v>
      </c>
      <c r="B217" s="2" t="s">
        <v>240</v>
      </c>
      <c r="C217" s="2" t="s">
        <v>240</v>
      </c>
      <c r="D217" s="1" t="s">
        <v>587</v>
      </c>
      <c r="E217" s="3">
        <v>3370657</v>
      </c>
      <c r="F217" s="3">
        <v>680</v>
      </c>
      <c r="G217" s="3">
        <v>0</v>
      </c>
      <c r="H217" s="3">
        <v>11507</v>
      </c>
      <c r="I217" s="1">
        <v>0</v>
      </c>
      <c r="J217" s="3">
        <v>3369977</v>
      </c>
      <c r="K217" s="3">
        <v>3358470</v>
      </c>
      <c r="L217" s="3">
        <v>3358470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2610709</v>
      </c>
      <c r="T217" s="3">
        <v>2610709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335080</v>
      </c>
      <c r="Z217" s="3">
        <v>335080</v>
      </c>
      <c r="AA217" s="4">
        <v>335080</v>
      </c>
      <c r="AB217" s="4">
        <v>335080</v>
      </c>
      <c r="AC217" s="4">
        <v>335080</v>
      </c>
      <c r="AD217" s="4">
        <v>335078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1683072</v>
      </c>
      <c r="AJ217" s="4">
        <v>2018152</v>
      </c>
      <c r="AK217" s="4">
        <v>2353232</v>
      </c>
      <c r="AL217" s="4">
        <v>2688312</v>
      </c>
      <c r="AM217" s="4">
        <v>3023392</v>
      </c>
      <c r="AN217" s="4">
        <v>3358470</v>
      </c>
      <c r="AO217" s="150">
        <v>258407</v>
      </c>
    </row>
    <row r="218" spans="1:41" x14ac:dyDescent="0.2">
      <c r="A218" s="1">
        <v>2024</v>
      </c>
      <c r="B218" s="2" t="s">
        <v>241</v>
      </c>
      <c r="C218" s="2" t="s">
        <v>241</v>
      </c>
      <c r="D218" s="1" t="s">
        <v>588</v>
      </c>
      <c r="E218" s="3">
        <v>26985290</v>
      </c>
      <c r="F218" s="3">
        <v>1924</v>
      </c>
      <c r="G218" s="3">
        <v>40069</v>
      </c>
      <c r="H218" s="3">
        <v>77132</v>
      </c>
      <c r="I218" s="3">
        <v>0</v>
      </c>
      <c r="J218" s="3">
        <v>26943297</v>
      </c>
      <c r="K218" s="3">
        <v>26866165</v>
      </c>
      <c r="L218" s="3">
        <v>26866165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22421082</v>
      </c>
      <c r="T218" s="3">
        <v>22421082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2681474</v>
      </c>
      <c r="Z218" s="3">
        <v>2681474</v>
      </c>
      <c r="AA218" s="4">
        <v>2681474</v>
      </c>
      <c r="AB218" s="4">
        <v>2681474</v>
      </c>
      <c r="AC218" s="4">
        <v>2681474</v>
      </c>
      <c r="AD218" s="4">
        <v>2681475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13458794</v>
      </c>
      <c r="AJ218" s="4">
        <v>16140268</v>
      </c>
      <c r="AK218" s="4">
        <v>18821742</v>
      </c>
      <c r="AL218" s="4">
        <v>21503216</v>
      </c>
      <c r="AM218" s="4">
        <v>24184690</v>
      </c>
      <c r="AN218" s="4">
        <v>26866165</v>
      </c>
      <c r="AO218" s="150">
        <v>1699926</v>
      </c>
    </row>
    <row r="219" spans="1:41" x14ac:dyDescent="0.2">
      <c r="A219" s="1">
        <v>2024</v>
      </c>
      <c r="B219" s="2" t="s">
        <v>242</v>
      </c>
      <c r="C219" s="2" t="s">
        <v>697</v>
      </c>
      <c r="D219" s="1" t="s">
        <v>589</v>
      </c>
      <c r="E219" s="3">
        <v>4455556</v>
      </c>
      <c r="F219" s="3">
        <v>663</v>
      </c>
      <c r="G219" s="3">
        <v>0</v>
      </c>
      <c r="H219" s="3">
        <v>16128</v>
      </c>
      <c r="I219" s="1">
        <v>0</v>
      </c>
      <c r="J219" s="3">
        <v>4454893</v>
      </c>
      <c r="K219" s="3">
        <v>4438765</v>
      </c>
      <c r="L219" s="3">
        <v>4438765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3452148</v>
      </c>
      <c r="T219" s="3">
        <v>3452148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442802</v>
      </c>
      <c r="Z219" s="3">
        <v>442802</v>
      </c>
      <c r="AA219" s="4">
        <v>442801</v>
      </c>
      <c r="AB219" s="4">
        <v>442801</v>
      </c>
      <c r="AC219" s="4">
        <v>442801</v>
      </c>
      <c r="AD219" s="4">
        <v>442802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2224758</v>
      </c>
      <c r="AJ219" s="4">
        <v>2667560</v>
      </c>
      <c r="AK219" s="4">
        <v>3110361</v>
      </c>
      <c r="AL219" s="4">
        <v>3553162</v>
      </c>
      <c r="AM219" s="4">
        <v>3995963</v>
      </c>
      <c r="AN219" s="4">
        <v>4438765</v>
      </c>
      <c r="AO219" s="150">
        <v>351717</v>
      </c>
    </row>
    <row r="220" spans="1:41" x14ac:dyDescent="0.2">
      <c r="A220" s="1">
        <v>2024</v>
      </c>
      <c r="B220" s="2" t="s">
        <v>243</v>
      </c>
      <c r="C220" s="2" t="s">
        <v>243</v>
      </c>
      <c r="D220" s="1" t="s">
        <v>800</v>
      </c>
      <c r="E220" s="3">
        <v>5454267</v>
      </c>
      <c r="F220" s="3">
        <v>779</v>
      </c>
      <c r="G220" s="3">
        <v>0</v>
      </c>
      <c r="H220" s="3">
        <v>20834</v>
      </c>
      <c r="I220" s="1">
        <v>0</v>
      </c>
      <c r="J220" s="3">
        <v>5453488</v>
      </c>
      <c r="K220" s="3">
        <v>5432654</v>
      </c>
      <c r="L220" s="3">
        <v>5432654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4125895</v>
      </c>
      <c r="T220" s="3">
        <v>4125895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541876</v>
      </c>
      <c r="Z220" s="3">
        <v>541876</v>
      </c>
      <c r="AA220" s="4">
        <v>541877</v>
      </c>
      <c r="AB220" s="4">
        <v>541877</v>
      </c>
      <c r="AC220" s="4">
        <v>541877</v>
      </c>
      <c r="AD220" s="4">
        <v>541875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2723272</v>
      </c>
      <c r="AJ220" s="4">
        <v>3265148</v>
      </c>
      <c r="AK220" s="4">
        <v>3807025</v>
      </c>
      <c r="AL220" s="4">
        <v>4348902</v>
      </c>
      <c r="AM220" s="4">
        <v>4890779</v>
      </c>
      <c r="AN220" s="4">
        <v>5432654</v>
      </c>
      <c r="AO220" s="150">
        <v>446609</v>
      </c>
    </row>
    <row r="221" spans="1:41" x14ac:dyDescent="0.2">
      <c r="A221" s="1">
        <v>2024</v>
      </c>
      <c r="B221" s="2" t="s">
        <v>244</v>
      </c>
      <c r="C221" s="2" t="s">
        <v>244</v>
      </c>
      <c r="D221" s="1" t="s">
        <v>590</v>
      </c>
      <c r="E221" s="3">
        <v>11027516</v>
      </c>
      <c r="F221" s="3">
        <v>614</v>
      </c>
      <c r="G221" s="3">
        <v>0</v>
      </c>
      <c r="H221" s="3">
        <v>29859</v>
      </c>
      <c r="I221" s="1">
        <v>0</v>
      </c>
      <c r="J221" s="3">
        <v>11026902</v>
      </c>
      <c r="K221" s="3">
        <v>10997043</v>
      </c>
      <c r="L221" s="3">
        <v>10997043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9284356</v>
      </c>
      <c r="T221" s="3">
        <v>9284356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1097714</v>
      </c>
      <c r="Z221" s="3">
        <v>1097714</v>
      </c>
      <c r="AA221" s="4">
        <v>1097714</v>
      </c>
      <c r="AB221" s="4">
        <v>1097714</v>
      </c>
      <c r="AC221" s="4">
        <v>1097714</v>
      </c>
      <c r="AD221" s="4">
        <v>1097713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5508474</v>
      </c>
      <c r="AJ221" s="4">
        <v>6606188</v>
      </c>
      <c r="AK221" s="4">
        <v>7703902</v>
      </c>
      <c r="AL221" s="4">
        <v>8801616</v>
      </c>
      <c r="AM221" s="4">
        <v>9899330</v>
      </c>
      <c r="AN221" s="4">
        <v>10997043</v>
      </c>
      <c r="AO221" s="150">
        <v>689933</v>
      </c>
    </row>
    <row r="222" spans="1:41" x14ac:dyDescent="0.2">
      <c r="A222" s="1">
        <v>2024</v>
      </c>
      <c r="B222" s="2" t="s">
        <v>245</v>
      </c>
      <c r="C222" s="2" t="s">
        <v>245</v>
      </c>
      <c r="D222" s="1" t="s">
        <v>591</v>
      </c>
      <c r="E222" s="3">
        <v>3336932</v>
      </c>
      <c r="F222" s="3">
        <v>713</v>
      </c>
      <c r="G222" s="3">
        <v>0</v>
      </c>
      <c r="H222" s="3">
        <v>13281</v>
      </c>
      <c r="I222" s="1">
        <v>0</v>
      </c>
      <c r="J222" s="3">
        <v>3336219</v>
      </c>
      <c r="K222" s="3">
        <v>3322938</v>
      </c>
      <c r="L222" s="3">
        <v>3322938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2455230</v>
      </c>
      <c r="T222" s="3">
        <v>2455230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331408</v>
      </c>
      <c r="Z222" s="3">
        <v>331408</v>
      </c>
      <c r="AA222" s="4">
        <v>331409</v>
      </c>
      <c r="AB222" s="4">
        <v>331409</v>
      </c>
      <c r="AC222" s="4">
        <v>331409</v>
      </c>
      <c r="AD222" s="4">
        <v>331407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1665896</v>
      </c>
      <c r="AJ222" s="4">
        <v>1997304</v>
      </c>
      <c r="AK222" s="4">
        <v>2328713</v>
      </c>
      <c r="AL222" s="4">
        <v>2660122</v>
      </c>
      <c r="AM222" s="4">
        <v>2991531</v>
      </c>
      <c r="AN222" s="4">
        <v>3322938</v>
      </c>
      <c r="AO222" s="150">
        <v>265085</v>
      </c>
    </row>
    <row r="223" spans="1:41" x14ac:dyDescent="0.2">
      <c r="A223" s="1">
        <v>2024</v>
      </c>
      <c r="B223" s="2" t="s">
        <v>246</v>
      </c>
      <c r="C223" s="2" t="s">
        <v>246</v>
      </c>
      <c r="D223" s="1" t="s">
        <v>592</v>
      </c>
      <c r="E223" s="3">
        <v>823055</v>
      </c>
      <c r="F223" s="3">
        <v>1128</v>
      </c>
      <c r="G223" s="3">
        <v>0</v>
      </c>
      <c r="H223" s="3">
        <v>24000</v>
      </c>
      <c r="I223" s="1">
        <v>0</v>
      </c>
      <c r="J223" s="3">
        <v>821927</v>
      </c>
      <c r="K223" s="3">
        <v>797927</v>
      </c>
      <c r="L223" s="3">
        <v>797927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-723027</v>
      </c>
      <c r="T223" s="3">
        <v>-723027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78193</v>
      </c>
      <c r="Z223" s="3">
        <v>78193</v>
      </c>
      <c r="AA223" s="4">
        <v>78192</v>
      </c>
      <c r="AB223" s="4">
        <v>78192</v>
      </c>
      <c r="AC223" s="4">
        <v>78192</v>
      </c>
      <c r="AD223" s="4">
        <v>78193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406965</v>
      </c>
      <c r="AJ223" s="4">
        <v>485158</v>
      </c>
      <c r="AK223" s="4">
        <v>563350</v>
      </c>
      <c r="AL223" s="4">
        <v>641542</v>
      </c>
      <c r="AM223" s="4">
        <v>719734</v>
      </c>
      <c r="AN223" s="4">
        <v>797927</v>
      </c>
      <c r="AO223" s="150">
        <v>540875</v>
      </c>
    </row>
    <row r="224" spans="1:41" x14ac:dyDescent="0.2">
      <c r="A224" s="1">
        <v>2024</v>
      </c>
      <c r="B224" s="2" t="s">
        <v>247</v>
      </c>
      <c r="C224" s="2" t="s">
        <v>247</v>
      </c>
      <c r="D224" s="1" t="s">
        <v>593</v>
      </c>
      <c r="E224" s="3">
        <v>1471490</v>
      </c>
      <c r="F224" s="3">
        <v>166</v>
      </c>
      <c r="G224" s="3">
        <v>0</v>
      </c>
      <c r="H224" s="3">
        <v>4853</v>
      </c>
      <c r="I224" s="1">
        <v>0</v>
      </c>
      <c r="J224" s="3">
        <v>1471324</v>
      </c>
      <c r="K224" s="3">
        <v>1466471</v>
      </c>
      <c r="L224" s="3">
        <v>1466471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1143741</v>
      </c>
      <c r="T224" s="3">
        <v>1143741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146324</v>
      </c>
      <c r="Z224" s="3">
        <v>146324</v>
      </c>
      <c r="AA224" s="4">
        <v>146324</v>
      </c>
      <c r="AB224" s="4">
        <v>146324</v>
      </c>
      <c r="AC224" s="4">
        <v>146324</v>
      </c>
      <c r="AD224" s="4">
        <v>146323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734852</v>
      </c>
      <c r="AJ224" s="4">
        <v>881176</v>
      </c>
      <c r="AK224" s="4">
        <v>1027500</v>
      </c>
      <c r="AL224" s="4">
        <v>1173824</v>
      </c>
      <c r="AM224" s="4">
        <v>1320148</v>
      </c>
      <c r="AN224" s="4">
        <v>1466471</v>
      </c>
      <c r="AO224" s="150">
        <v>97441</v>
      </c>
    </row>
    <row r="225" spans="1:41" x14ac:dyDescent="0.2">
      <c r="A225" s="1">
        <v>2024</v>
      </c>
      <c r="B225" s="2" t="s">
        <v>248</v>
      </c>
      <c r="C225" s="2" t="s">
        <v>248</v>
      </c>
      <c r="D225" s="1" t="s">
        <v>594</v>
      </c>
      <c r="E225" s="3">
        <v>808860</v>
      </c>
      <c r="F225" s="1">
        <v>66</v>
      </c>
      <c r="G225" s="1">
        <v>0</v>
      </c>
      <c r="H225" s="3">
        <v>4011</v>
      </c>
      <c r="I225" s="1">
        <v>0</v>
      </c>
      <c r="J225" s="3">
        <v>808794</v>
      </c>
      <c r="K225" s="3">
        <v>804783</v>
      </c>
      <c r="L225" s="3">
        <v>804783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553577</v>
      </c>
      <c r="T225" s="3">
        <v>553577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80211</v>
      </c>
      <c r="Z225" s="3">
        <v>80211</v>
      </c>
      <c r="AA225" s="4">
        <v>80211</v>
      </c>
      <c r="AB225" s="4">
        <v>80211</v>
      </c>
      <c r="AC225" s="4">
        <v>80211</v>
      </c>
      <c r="AD225" s="4">
        <v>80212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403727</v>
      </c>
      <c r="AJ225" s="4">
        <v>483938</v>
      </c>
      <c r="AK225" s="4">
        <v>564149</v>
      </c>
      <c r="AL225" s="4">
        <v>644360</v>
      </c>
      <c r="AM225" s="4">
        <v>724571</v>
      </c>
      <c r="AN225" s="4">
        <v>804783</v>
      </c>
      <c r="AO225" s="150">
        <v>86260</v>
      </c>
    </row>
    <row r="226" spans="1:41" x14ac:dyDescent="0.2">
      <c r="A226" s="1">
        <v>2024</v>
      </c>
      <c r="B226" s="2" t="s">
        <v>249</v>
      </c>
      <c r="C226" s="2" t="s">
        <v>249</v>
      </c>
      <c r="D226" s="1" t="s">
        <v>595</v>
      </c>
      <c r="E226" s="3">
        <v>5920400</v>
      </c>
      <c r="F226" s="3">
        <v>1045</v>
      </c>
      <c r="G226" s="3">
        <v>0</v>
      </c>
      <c r="H226" s="3">
        <v>20102</v>
      </c>
      <c r="I226" s="3">
        <v>0</v>
      </c>
      <c r="J226" s="3">
        <v>5919355</v>
      </c>
      <c r="K226" s="3">
        <v>5899253</v>
      </c>
      <c r="L226" s="3">
        <v>5899253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4616121</v>
      </c>
      <c r="T226" s="3">
        <v>4616121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588585</v>
      </c>
      <c r="Z226" s="3">
        <v>588585</v>
      </c>
      <c r="AA226" s="4">
        <v>588585</v>
      </c>
      <c r="AB226" s="4">
        <v>588585</v>
      </c>
      <c r="AC226" s="4">
        <v>588585</v>
      </c>
      <c r="AD226" s="4">
        <v>588584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2956329</v>
      </c>
      <c r="AJ226" s="4">
        <v>3544914</v>
      </c>
      <c r="AK226" s="4">
        <v>4133499</v>
      </c>
      <c r="AL226" s="4">
        <v>4722084</v>
      </c>
      <c r="AM226" s="4">
        <v>5310669</v>
      </c>
      <c r="AN226" s="4">
        <v>5899253</v>
      </c>
      <c r="AO226" s="150">
        <v>430630</v>
      </c>
    </row>
    <row r="227" spans="1:41" x14ac:dyDescent="0.2">
      <c r="A227" s="1">
        <v>2024</v>
      </c>
      <c r="B227" s="2" t="s">
        <v>250</v>
      </c>
      <c r="C227" s="2" t="s">
        <v>250</v>
      </c>
      <c r="D227" s="1" t="s">
        <v>596</v>
      </c>
      <c r="E227" s="3">
        <v>17009223</v>
      </c>
      <c r="F227" s="3">
        <v>1974</v>
      </c>
      <c r="G227" s="3">
        <v>0</v>
      </c>
      <c r="H227" s="3">
        <v>50770</v>
      </c>
      <c r="I227" s="1">
        <v>0</v>
      </c>
      <c r="J227" s="3">
        <v>17007249</v>
      </c>
      <c r="K227" s="3">
        <v>16956479</v>
      </c>
      <c r="L227" s="3">
        <v>16956479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13869218</v>
      </c>
      <c r="T227" s="3">
        <v>13869218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1692263</v>
      </c>
      <c r="Z227" s="3">
        <v>1692263</v>
      </c>
      <c r="AA227" s="4">
        <v>1692263</v>
      </c>
      <c r="AB227" s="4">
        <v>1692263</v>
      </c>
      <c r="AC227" s="4">
        <v>1692263</v>
      </c>
      <c r="AD227" s="4">
        <v>1692264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8495163</v>
      </c>
      <c r="AJ227" s="4">
        <v>10187426</v>
      </c>
      <c r="AK227" s="4">
        <v>11879689</v>
      </c>
      <c r="AL227" s="4">
        <v>13571952</v>
      </c>
      <c r="AM227" s="4">
        <v>15264215</v>
      </c>
      <c r="AN227" s="4">
        <v>16956479</v>
      </c>
      <c r="AO227" s="150">
        <v>1100547</v>
      </c>
    </row>
    <row r="228" spans="1:41" x14ac:dyDescent="0.2">
      <c r="A228" s="1">
        <v>2024</v>
      </c>
      <c r="B228" s="2" t="s">
        <v>251</v>
      </c>
      <c r="C228" s="2" t="s">
        <v>251</v>
      </c>
      <c r="D228" s="1" t="s">
        <v>597</v>
      </c>
      <c r="E228" s="3">
        <v>44894055</v>
      </c>
      <c r="F228" s="3">
        <v>4080</v>
      </c>
      <c r="G228" s="3">
        <v>0</v>
      </c>
      <c r="H228" s="3">
        <v>114102</v>
      </c>
      <c r="I228" s="1">
        <v>0</v>
      </c>
      <c r="J228" s="3">
        <v>44889975</v>
      </c>
      <c r="K228" s="3">
        <v>44775873</v>
      </c>
      <c r="L228" s="3">
        <v>44775873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37938386</v>
      </c>
      <c r="T228" s="3">
        <v>37938386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4469980</v>
      </c>
      <c r="Z228" s="3">
        <v>4469980</v>
      </c>
      <c r="AA228" s="4">
        <v>4469980</v>
      </c>
      <c r="AB228" s="4">
        <v>4469980</v>
      </c>
      <c r="AC228" s="4">
        <v>4469980</v>
      </c>
      <c r="AD228" s="4">
        <v>4469981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22425972</v>
      </c>
      <c r="AJ228" s="4">
        <v>26895952</v>
      </c>
      <c r="AK228" s="4">
        <v>31365932</v>
      </c>
      <c r="AL228" s="4">
        <v>35835912</v>
      </c>
      <c r="AM228" s="4">
        <v>40305892</v>
      </c>
      <c r="AN228" s="4">
        <v>44775873</v>
      </c>
      <c r="AO228" s="150">
        <v>2496669</v>
      </c>
    </row>
    <row r="229" spans="1:41" x14ac:dyDescent="0.2">
      <c r="A229" s="1">
        <v>2024</v>
      </c>
      <c r="B229" s="2" t="s">
        <v>252</v>
      </c>
      <c r="C229" s="2" t="s">
        <v>252</v>
      </c>
      <c r="D229" s="1" t="s">
        <v>598</v>
      </c>
      <c r="E229" s="3">
        <v>3568313</v>
      </c>
      <c r="F229" s="3">
        <v>564</v>
      </c>
      <c r="G229" s="3">
        <v>4630</v>
      </c>
      <c r="H229" s="3">
        <v>14477</v>
      </c>
      <c r="I229" s="3">
        <v>0</v>
      </c>
      <c r="J229" s="3">
        <v>3563119</v>
      </c>
      <c r="K229" s="3">
        <v>3548642</v>
      </c>
      <c r="L229" s="3">
        <v>3548642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2658226</v>
      </c>
      <c r="T229" s="3">
        <v>2658226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353899</v>
      </c>
      <c r="Z229" s="3">
        <v>353899</v>
      </c>
      <c r="AA229" s="4">
        <v>353899</v>
      </c>
      <c r="AB229" s="4">
        <v>353899</v>
      </c>
      <c r="AC229" s="4">
        <v>353899</v>
      </c>
      <c r="AD229" s="4">
        <v>353899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1779147</v>
      </c>
      <c r="AJ229" s="4">
        <v>2133046</v>
      </c>
      <c r="AK229" s="4">
        <v>2486945</v>
      </c>
      <c r="AL229" s="4">
        <v>2840844</v>
      </c>
      <c r="AM229" s="4">
        <v>3194743</v>
      </c>
      <c r="AN229" s="4">
        <v>3548642</v>
      </c>
      <c r="AO229" s="150">
        <v>310629</v>
      </c>
    </row>
    <row r="230" spans="1:41" x14ac:dyDescent="0.2">
      <c r="A230" s="1">
        <v>2024</v>
      </c>
      <c r="B230" s="2" t="s">
        <v>253</v>
      </c>
      <c r="C230" s="2" t="s">
        <v>253</v>
      </c>
      <c r="D230" s="1" t="s">
        <v>599</v>
      </c>
      <c r="E230" s="3">
        <v>1010065</v>
      </c>
      <c r="F230" s="3">
        <v>182</v>
      </c>
      <c r="G230" s="3">
        <v>0</v>
      </c>
      <c r="H230" s="3">
        <v>4204</v>
      </c>
      <c r="I230" s="1">
        <v>0</v>
      </c>
      <c r="J230" s="3">
        <v>1009883</v>
      </c>
      <c r="K230" s="3">
        <v>1005679</v>
      </c>
      <c r="L230" s="3">
        <v>1005679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742782</v>
      </c>
      <c r="T230" s="3">
        <v>742782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100288</v>
      </c>
      <c r="Z230" s="3">
        <v>100288</v>
      </c>
      <c r="AA230" s="4">
        <v>100288</v>
      </c>
      <c r="AB230" s="4">
        <v>100288</v>
      </c>
      <c r="AC230" s="4">
        <v>100288</v>
      </c>
      <c r="AD230" s="4">
        <v>100287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504240</v>
      </c>
      <c r="AJ230" s="4">
        <v>604528</v>
      </c>
      <c r="AK230" s="4">
        <v>704816</v>
      </c>
      <c r="AL230" s="4">
        <v>805104</v>
      </c>
      <c r="AM230" s="4">
        <v>905392</v>
      </c>
      <c r="AN230" s="4">
        <v>1005679</v>
      </c>
      <c r="AO230" s="150">
        <v>92315</v>
      </c>
    </row>
    <row r="231" spans="1:41" x14ac:dyDescent="0.2">
      <c r="A231" s="1">
        <v>2024</v>
      </c>
      <c r="B231" s="2" t="s">
        <v>254</v>
      </c>
      <c r="C231" s="2" t="s">
        <v>698</v>
      </c>
      <c r="D231" s="1" t="s">
        <v>600</v>
      </c>
      <c r="E231" s="3">
        <v>1772032</v>
      </c>
      <c r="F231" s="3">
        <v>630</v>
      </c>
      <c r="G231" s="3">
        <v>0</v>
      </c>
      <c r="H231" s="3">
        <v>12644</v>
      </c>
      <c r="I231" s="3">
        <v>0</v>
      </c>
      <c r="J231" s="3">
        <v>1771402</v>
      </c>
      <c r="K231" s="3">
        <v>1758758</v>
      </c>
      <c r="L231" s="3">
        <v>1758758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947075</v>
      </c>
      <c r="T231" s="3">
        <v>947075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175033</v>
      </c>
      <c r="Z231" s="3">
        <v>175033</v>
      </c>
      <c r="AA231" s="4">
        <v>175033</v>
      </c>
      <c r="AB231" s="4">
        <v>175033</v>
      </c>
      <c r="AC231" s="4">
        <v>175033</v>
      </c>
      <c r="AD231" s="4">
        <v>175033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883593</v>
      </c>
      <c r="AJ231" s="4">
        <v>1058626</v>
      </c>
      <c r="AK231" s="4">
        <v>1233659</v>
      </c>
      <c r="AL231" s="4">
        <v>1408692</v>
      </c>
      <c r="AM231" s="4">
        <v>1583725</v>
      </c>
      <c r="AN231" s="4">
        <v>1758758</v>
      </c>
      <c r="AO231" s="150">
        <v>292178</v>
      </c>
    </row>
    <row r="232" spans="1:41" x14ac:dyDescent="0.2">
      <c r="A232" s="1">
        <v>2024</v>
      </c>
      <c r="B232" s="2" t="s">
        <v>255</v>
      </c>
      <c r="C232" s="2" t="s">
        <v>255</v>
      </c>
      <c r="D232" s="1" t="s">
        <v>601</v>
      </c>
      <c r="E232" s="3">
        <v>3282067</v>
      </c>
      <c r="F232" s="3">
        <v>647</v>
      </c>
      <c r="G232" s="3">
        <v>0</v>
      </c>
      <c r="H232" s="3">
        <v>12365</v>
      </c>
      <c r="I232" s="1">
        <v>0</v>
      </c>
      <c r="J232" s="3">
        <v>3281420</v>
      </c>
      <c r="K232" s="3">
        <v>3269055</v>
      </c>
      <c r="L232" s="3">
        <v>3269055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2467078</v>
      </c>
      <c r="T232" s="3">
        <v>2467078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326081</v>
      </c>
      <c r="Z232" s="3">
        <v>326081</v>
      </c>
      <c r="AA232" s="4">
        <v>326081</v>
      </c>
      <c r="AB232" s="4">
        <v>326081</v>
      </c>
      <c r="AC232" s="4">
        <v>326081</v>
      </c>
      <c r="AD232" s="4">
        <v>326082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1638649</v>
      </c>
      <c r="AJ232" s="4">
        <v>1964730</v>
      </c>
      <c r="AK232" s="4">
        <v>2290811</v>
      </c>
      <c r="AL232" s="4">
        <v>2616892</v>
      </c>
      <c r="AM232" s="4">
        <v>2942973</v>
      </c>
      <c r="AN232" s="4">
        <v>3269055</v>
      </c>
      <c r="AO232" s="150">
        <v>261152</v>
      </c>
    </row>
    <row r="233" spans="1:41" x14ac:dyDescent="0.2">
      <c r="A233" s="1">
        <v>2024</v>
      </c>
      <c r="B233" s="2" t="s">
        <v>256</v>
      </c>
      <c r="C233" s="2" t="s">
        <v>256</v>
      </c>
      <c r="D233" s="1" t="s">
        <v>602</v>
      </c>
      <c r="E233" s="3">
        <v>13724495</v>
      </c>
      <c r="F233" s="3">
        <v>1924</v>
      </c>
      <c r="G233" s="3">
        <v>0</v>
      </c>
      <c r="H233" s="3">
        <v>49083</v>
      </c>
      <c r="I233" s="1">
        <v>0</v>
      </c>
      <c r="J233" s="3">
        <v>13722571</v>
      </c>
      <c r="K233" s="3">
        <v>13673488</v>
      </c>
      <c r="L233" s="3">
        <v>13673488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10757707</v>
      </c>
      <c r="T233" s="3">
        <v>10757707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1364077</v>
      </c>
      <c r="Z233" s="3">
        <v>1364077</v>
      </c>
      <c r="AA233" s="4">
        <v>1364077</v>
      </c>
      <c r="AB233" s="4">
        <v>1364077</v>
      </c>
      <c r="AC233" s="4">
        <v>1364077</v>
      </c>
      <c r="AD233" s="4">
        <v>1364075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6853105</v>
      </c>
      <c r="AJ233" s="4">
        <v>8217182</v>
      </c>
      <c r="AK233" s="4">
        <v>9581259</v>
      </c>
      <c r="AL233" s="4">
        <v>10945336</v>
      </c>
      <c r="AM233" s="4">
        <v>12309413</v>
      </c>
      <c r="AN233" s="4">
        <v>13673488</v>
      </c>
      <c r="AO233" s="150">
        <v>1088180</v>
      </c>
    </row>
    <row r="234" spans="1:41" x14ac:dyDescent="0.2">
      <c r="A234" s="1">
        <v>2024</v>
      </c>
      <c r="B234" s="2" t="s">
        <v>257</v>
      </c>
      <c r="C234" s="2" t="s">
        <v>257</v>
      </c>
      <c r="D234" s="1" t="s">
        <v>603</v>
      </c>
      <c r="E234" s="3">
        <v>15906748</v>
      </c>
      <c r="F234" s="3">
        <v>1509</v>
      </c>
      <c r="G234" s="3">
        <v>3578</v>
      </c>
      <c r="H234" s="3">
        <v>41751</v>
      </c>
      <c r="I234" s="1">
        <v>0</v>
      </c>
      <c r="J234" s="3">
        <v>15901661</v>
      </c>
      <c r="K234" s="3">
        <v>15859910</v>
      </c>
      <c r="L234" s="3">
        <v>15859910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13279947</v>
      </c>
      <c r="T234" s="3">
        <v>13279947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1583208</v>
      </c>
      <c r="Z234" s="3">
        <v>1583208</v>
      </c>
      <c r="AA234" s="4">
        <v>1583208</v>
      </c>
      <c r="AB234" s="4">
        <v>1583208</v>
      </c>
      <c r="AC234" s="4">
        <v>1583208</v>
      </c>
      <c r="AD234" s="4">
        <v>1583206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7943872</v>
      </c>
      <c r="AJ234" s="4">
        <v>9527080</v>
      </c>
      <c r="AK234" s="4">
        <v>11110288</v>
      </c>
      <c r="AL234" s="4">
        <v>12693496</v>
      </c>
      <c r="AM234" s="4">
        <v>14276704</v>
      </c>
      <c r="AN234" s="4">
        <v>15859910</v>
      </c>
      <c r="AO234" s="150">
        <v>905089</v>
      </c>
    </row>
    <row r="235" spans="1:41" x14ac:dyDescent="0.2">
      <c r="A235" s="1">
        <v>2024</v>
      </c>
      <c r="B235" s="2" t="s">
        <v>258</v>
      </c>
      <c r="C235" s="2" t="s">
        <v>258</v>
      </c>
      <c r="D235" s="1" t="s">
        <v>604</v>
      </c>
      <c r="E235" s="3">
        <v>37122638</v>
      </c>
      <c r="F235" s="3">
        <v>3665</v>
      </c>
      <c r="G235" s="3">
        <v>0</v>
      </c>
      <c r="H235" s="3">
        <v>125130</v>
      </c>
      <c r="I235" s="1">
        <v>0</v>
      </c>
      <c r="J235" s="3">
        <v>37118973</v>
      </c>
      <c r="K235" s="3">
        <v>36993843</v>
      </c>
      <c r="L235" s="3">
        <v>36993843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29912675</v>
      </c>
      <c r="T235" s="3">
        <v>29912675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3691043</v>
      </c>
      <c r="Z235" s="3">
        <v>3691043</v>
      </c>
      <c r="AA235" s="4">
        <v>3691042</v>
      </c>
      <c r="AB235" s="4">
        <v>3691042</v>
      </c>
      <c r="AC235" s="4">
        <v>3691042</v>
      </c>
      <c r="AD235" s="4">
        <v>3691043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18538631</v>
      </c>
      <c r="AJ235" s="4">
        <v>22229674</v>
      </c>
      <c r="AK235" s="4">
        <v>25920716</v>
      </c>
      <c r="AL235" s="4">
        <v>29611758</v>
      </c>
      <c r="AM235" s="4">
        <v>33302800</v>
      </c>
      <c r="AN235" s="4">
        <v>36993843</v>
      </c>
      <c r="AO235" s="150">
        <v>2773723</v>
      </c>
    </row>
    <row r="236" spans="1:41" x14ac:dyDescent="0.2">
      <c r="A236" s="1">
        <v>2024</v>
      </c>
      <c r="B236" s="2" t="s">
        <v>259</v>
      </c>
      <c r="C236" s="2" t="s">
        <v>259</v>
      </c>
      <c r="D236" s="1" t="s">
        <v>605</v>
      </c>
      <c r="E236" s="3">
        <v>5615910</v>
      </c>
      <c r="F236" s="3">
        <v>481</v>
      </c>
      <c r="G236" s="3">
        <v>0</v>
      </c>
      <c r="H236" s="3">
        <v>16029</v>
      </c>
      <c r="I236" s="1">
        <v>0</v>
      </c>
      <c r="J236" s="3">
        <v>5615429</v>
      </c>
      <c r="K236" s="3">
        <v>5599400</v>
      </c>
      <c r="L236" s="3">
        <v>5599400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4650964</v>
      </c>
      <c r="T236" s="3">
        <v>4650964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558871</v>
      </c>
      <c r="Z236" s="3">
        <v>558871</v>
      </c>
      <c r="AA236" s="4">
        <v>558872</v>
      </c>
      <c r="AB236" s="4">
        <v>558872</v>
      </c>
      <c r="AC236" s="4">
        <v>558872</v>
      </c>
      <c r="AD236" s="4">
        <v>558870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2805043</v>
      </c>
      <c r="AJ236" s="4">
        <v>3363914</v>
      </c>
      <c r="AK236" s="4">
        <v>3922786</v>
      </c>
      <c r="AL236" s="4">
        <v>4481658</v>
      </c>
      <c r="AM236" s="4">
        <v>5040530</v>
      </c>
      <c r="AN236" s="4">
        <v>5599400</v>
      </c>
      <c r="AO236" s="150">
        <v>342782</v>
      </c>
    </row>
    <row r="237" spans="1:41" x14ac:dyDescent="0.2">
      <c r="A237" s="1">
        <v>2024</v>
      </c>
      <c r="B237" s="2" t="s">
        <v>260</v>
      </c>
      <c r="C237" s="2" t="s">
        <v>260</v>
      </c>
      <c r="D237" s="1" t="s">
        <v>606</v>
      </c>
      <c r="E237" s="3">
        <v>2605702</v>
      </c>
      <c r="F237" s="3">
        <v>630</v>
      </c>
      <c r="G237" s="3">
        <v>2988</v>
      </c>
      <c r="H237" s="3">
        <v>15083</v>
      </c>
      <c r="I237" s="3">
        <v>138278</v>
      </c>
      <c r="J237" s="3">
        <v>2602084</v>
      </c>
      <c r="K237" s="3">
        <v>2587001</v>
      </c>
      <c r="L237" s="3">
        <v>2448723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1577667</v>
      </c>
      <c r="T237" s="3">
        <v>1439389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257695</v>
      </c>
      <c r="Z237" s="3">
        <v>257695</v>
      </c>
      <c r="AA237" s="4">
        <v>223125</v>
      </c>
      <c r="AB237" s="4">
        <v>223125</v>
      </c>
      <c r="AC237" s="4">
        <v>223125</v>
      </c>
      <c r="AD237" s="4">
        <v>223126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1298527</v>
      </c>
      <c r="AJ237" s="4">
        <v>1556222</v>
      </c>
      <c r="AK237" s="4">
        <v>1779347</v>
      </c>
      <c r="AL237" s="4">
        <v>2002472</v>
      </c>
      <c r="AM237" s="4">
        <v>2225597</v>
      </c>
      <c r="AN237" s="4">
        <v>2448723</v>
      </c>
      <c r="AO237" s="150">
        <v>327695</v>
      </c>
    </row>
    <row r="238" spans="1:41" x14ac:dyDescent="0.2">
      <c r="A238" s="1">
        <v>2024</v>
      </c>
      <c r="B238" s="2" t="s">
        <v>261</v>
      </c>
      <c r="C238" s="2" t="s">
        <v>261</v>
      </c>
      <c r="D238" s="1" t="s">
        <v>607</v>
      </c>
      <c r="E238" s="3">
        <v>5779517</v>
      </c>
      <c r="F238" s="3">
        <v>448</v>
      </c>
      <c r="G238" s="3">
        <v>0</v>
      </c>
      <c r="H238" s="3">
        <v>15607</v>
      </c>
      <c r="I238" s="1">
        <v>0</v>
      </c>
      <c r="J238" s="3">
        <v>5779069</v>
      </c>
      <c r="K238" s="3">
        <v>5763462</v>
      </c>
      <c r="L238" s="3">
        <v>5763462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4821721</v>
      </c>
      <c r="T238" s="3">
        <v>4821721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575306</v>
      </c>
      <c r="Z238" s="3">
        <v>575306</v>
      </c>
      <c r="AA238" s="4">
        <v>575306</v>
      </c>
      <c r="AB238" s="4">
        <v>575306</v>
      </c>
      <c r="AC238" s="4">
        <v>575306</v>
      </c>
      <c r="AD238" s="4">
        <v>575304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2886934</v>
      </c>
      <c r="AJ238" s="4">
        <v>3462240</v>
      </c>
      <c r="AK238" s="4">
        <v>4037546</v>
      </c>
      <c r="AL238" s="4">
        <v>4612852</v>
      </c>
      <c r="AM238" s="4">
        <v>5188158</v>
      </c>
      <c r="AN238" s="4">
        <v>5763462</v>
      </c>
      <c r="AO238" s="150">
        <v>357510</v>
      </c>
    </row>
    <row r="239" spans="1:41" x14ac:dyDescent="0.2">
      <c r="A239" s="1">
        <v>2024</v>
      </c>
      <c r="B239" s="2" t="s">
        <v>262</v>
      </c>
      <c r="C239" s="2" t="s">
        <v>699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23241</v>
      </c>
      <c r="I239" s="1">
        <v>0</v>
      </c>
      <c r="J239" s="3">
        <v>7277770</v>
      </c>
      <c r="K239" s="3">
        <v>7254529</v>
      </c>
      <c r="L239" s="3">
        <v>7254529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5855083</v>
      </c>
      <c r="T239" s="3">
        <v>5855083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723904</v>
      </c>
      <c r="Z239" s="3">
        <v>723904</v>
      </c>
      <c r="AA239" s="4">
        <v>723903</v>
      </c>
      <c r="AB239" s="4">
        <v>723903</v>
      </c>
      <c r="AC239" s="4">
        <v>723903</v>
      </c>
      <c r="AD239" s="4">
        <v>723904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3635012</v>
      </c>
      <c r="AJ239" s="4">
        <v>4358916</v>
      </c>
      <c r="AK239" s="4">
        <v>5082819</v>
      </c>
      <c r="AL239" s="4">
        <v>5806722</v>
      </c>
      <c r="AM239" s="4">
        <v>6530625</v>
      </c>
      <c r="AN239" s="4">
        <v>7254529</v>
      </c>
      <c r="AO239" s="150">
        <v>486364</v>
      </c>
    </row>
    <row r="240" spans="1:41" x14ac:dyDescent="0.2">
      <c r="A240" s="1">
        <v>2024</v>
      </c>
      <c r="B240" s="2" t="s">
        <v>264</v>
      </c>
      <c r="C240" s="2" t="s">
        <v>264</v>
      </c>
      <c r="D240" s="1" t="s">
        <v>609</v>
      </c>
      <c r="E240" s="3">
        <v>7556116</v>
      </c>
      <c r="F240" s="3">
        <v>1144</v>
      </c>
      <c r="G240" s="3">
        <v>0</v>
      </c>
      <c r="H240" s="3">
        <v>23304</v>
      </c>
      <c r="I240" s="3">
        <v>316708</v>
      </c>
      <c r="J240" s="3">
        <v>7554972</v>
      </c>
      <c r="K240" s="3">
        <v>7531668</v>
      </c>
      <c r="L240" s="3">
        <v>7214960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6018652</v>
      </c>
      <c r="T240" s="3">
        <v>5701944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751613</v>
      </c>
      <c r="Z240" s="3">
        <v>751613</v>
      </c>
      <c r="AA240" s="4">
        <v>672437</v>
      </c>
      <c r="AB240" s="4">
        <v>672437</v>
      </c>
      <c r="AC240" s="4">
        <v>672437</v>
      </c>
      <c r="AD240" s="4">
        <v>672435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3773601</v>
      </c>
      <c r="AJ240" s="4">
        <v>4525214</v>
      </c>
      <c r="AK240" s="4">
        <v>5197651</v>
      </c>
      <c r="AL240" s="4">
        <v>5870088</v>
      </c>
      <c r="AM240" s="4">
        <v>6542525</v>
      </c>
      <c r="AN240" s="4">
        <v>7214960</v>
      </c>
      <c r="AO240" s="150">
        <v>494198</v>
      </c>
    </row>
    <row r="241" spans="1:41" x14ac:dyDescent="0.2">
      <c r="A241" s="1">
        <v>2024</v>
      </c>
      <c r="B241" s="2" t="s">
        <v>265</v>
      </c>
      <c r="C241" s="2" t="s">
        <v>265</v>
      </c>
      <c r="D241" s="1" t="s">
        <v>610</v>
      </c>
      <c r="E241" s="3">
        <v>1490313</v>
      </c>
      <c r="F241" s="3">
        <v>232</v>
      </c>
      <c r="G241" s="3">
        <v>0</v>
      </c>
      <c r="H241" s="3">
        <v>7521</v>
      </c>
      <c r="I241" s="1">
        <v>0</v>
      </c>
      <c r="J241" s="3">
        <v>1490081</v>
      </c>
      <c r="K241" s="3">
        <v>1482560</v>
      </c>
      <c r="L241" s="3">
        <v>1482560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1029759</v>
      </c>
      <c r="T241" s="3">
        <v>1029759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147755</v>
      </c>
      <c r="Z241" s="3">
        <v>147755</v>
      </c>
      <c r="AA241" s="4">
        <v>147755</v>
      </c>
      <c r="AB241" s="4">
        <v>147755</v>
      </c>
      <c r="AC241" s="4">
        <v>147755</v>
      </c>
      <c r="AD241" s="4">
        <v>147753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743787</v>
      </c>
      <c r="AJ241" s="4">
        <v>891542</v>
      </c>
      <c r="AK241" s="4">
        <v>1039297</v>
      </c>
      <c r="AL241" s="4">
        <v>1187052</v>
      </c>
      <c r="AM241" s="4">
        <v>1334807</v>
      </c>
      <c r="AN241" s="4">
        <v>1482560</v>
      </c>
      <c r="AO241" s="150">
        <v>185031</v>
      </c>
    </row>
    <row r="242" spans="1:41" x14ac:dyDescent="0.2">
      <c r="A242" s="1">
        <v>2024</v>
      </c>
      <c r="B242" s="2" t="s">
        <v>266</v>
      </c>
      <c r="C242" s="2" t="s">
        <v>266</v>
      </c>
      <c r="D242" s="1" t="s">
        <v>611</v>
      </c>
      <c r="E242" s="3">
        <v>1542412</v>
      </c>
      <c r="F242" s="3">
        <v>498</v>
      </c>
      <c r="G242" s="3">
        <v>0</v>
      </c>
      <c r="H242" s="3">
        <v>7465</v>
      </c>
      <c r="I242" s="3">
        <v>0</v>
      </c>
      <c r="J242" s="3">
        <v>1541914</v>
      </c>
      <c r="K242" s="3">
        <v>1534449</v>
      </c>
      <c r="L242" s="3">
        <v>1534449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969273</v>
      </c>
      <c r="T242" s="3">
        <v>969273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152948</v>
      </c>
      <c r="Z242" s="3">
        <v>152948</v>
      </c>
      <c r="AA242" s="4">
        <v>152947</v>
      </c>
      <c r="AB242" s="4">
        <v>152947</v>
      </c>
      <c r="AC242" s="4">
        <v>152947</v>
      </c>
      <c r="AD242" s="4">
        <v>152948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769712</v>
      </c>
      <c r="AJ242" s="4">
        <v>922660</v>
      </c>
      <c r="AK242" s="4">
        <v>1075607</v>
      </c>
      <c r="AL242" s="4">
        <v>1228554</v>
      </c>
      <c r="AM242" s="4">
        <v>1381501</v>
      </c>
      <c r="AN242" s="4">
        <v>1534449</v>
      </c>
      <c r="AO242" s="150">
        <v>158852</v>
      </c>
    </row>
    <row r="243" spans="1:41" x14ac:dyDescent="0.2">
      <c r="A243" s="1">
        <v>2024</v>
      </c>
      <c r="B243" s="2" t="s">
        <v>267</v>
      </c>
      <c r="C243" s="2" t="s">
        <v>267</v>
      </c>
      <c r="D243" s="1" t="s">
        <v>612</v>
      </c>
      <c r="E243" s="3">
        <v>5982084</v>
      </c>
      <c r="F243" s="3">
        <v>1161</v>
      </c>
      <c r="G243" s="3">
        <v>0</v>
      </c>
      <c r="H243" s="3">
        <v>19168</v>
      </c>
      <c r="I243" s="1">
        <v>0</v>
      </c>
      <c r="J243" s="3">
        <v>5980923</v>
      </c>
      <c r="K243" s="3">
        <v>5961755</v>
      </c>
      <c r="L243" s="3">
        <v>5961755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4674251</v>
      </c>
      <c r="T243" s="3">
        <v>4674251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594898</v>
      </c>
      <c r="Z243" s="3">
        <v>594898</v>
      </c>
      <c r="AA243" s="4">
        <v>594898</v>
      </c>
      <c r="AB243" s="4">
        <v>594898</v>
      </c>
      <c r="AC243" s="4">
        <v>594898</v>
      </c>
      <c r="AD243" s="4">
        <v>594897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2987266</v>
      </c>
      <c r="AJ243" s="4">
        <v>3582164</v>
      </c>
      <c r="AK243" s="4">
        <v>4177062</v>
      </c>
      <c r="AL243" s="4">
        <v>4771960</v>
      </c>
      <c r="AM243" s="4">
        <v>5366858</v>
      </c>
      <c r="AN243" s="4">
        <v>5961755</v>
      </c>
      <c r="AO243" s="150">
        <v>486945</v>
      </c>
    </row>
    <row r="244" spans="1:41" x14ac:dyDescent="0.2">
      <c r="A244" s="1">
        <v>2024</v>
      </c>
      <c r="B244" s="2" t="s">
        <v>268</v>
      </c>
      <c r="C244" s="2" t="s">
        <v>268</v>
      </c>
      <c r="D244" s="1" t="s">
        <v>613</v>
      </c>
      <c r="E244" s="3">
        <v>6816258</v>
      </c>
      <c r="F244" s="1">
        <v>862</v>
      </c>
      <c r="G244" s="1">
        <v>0</v>
      </c>
      <c r="H244" s="3">
        <v>22613</v>
      </c>
      <c r="I244" s="1">
        <v>0</v>
      </c>
      <c r="J244" s="3">
        <v>6815396</v>
      </c>
      <c r="K244" s="3">
        <v>6792783</v>
      </c>
      <c r="L244" s="3">
        <v>6792783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5427652</v>
      </c>
      <c r="T244" s="3">
        <v>5427652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677771</v>
      </c>
      <c r="Z244" s="3">
        <v>677771</v>
      </c>
      <c r="AA244" s="4">
        <v>677770</v>
      </c>
      <c r="AB244" s="4">
        <v>677770</v>
      </c>
      <c r="AC244" s="4">
        <v>677770</v>
      </c>
      <c r="AD244" s="4">
        <v>677771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3403931</v>
      </c>
      <c r="AJ244" s="4">
        <v>4081702</v>
      </c>
      <c r="AK244" s="4">
        <v>4759472</v>
      </c>
      <c r="AL244" s="4">
        <v>5437242</v>
      </c>
      <c r="AM244" s="4">
        <v>6115012</v>
      </c>
      <c r="AN244" s="4">
        <v>6792783</v>
      </c>
      <c r="AO244" s="150">
        <v>459028</v>
      </c>
    </row>
    <row r="245" spans="1:41" x14ac:dyDescent="0.2">
      <c r="A245" s="1">
        <v>2024</v>
      </c>
      <c r="B245" s="2" t="s">
        <v>269</v>
      </c>
      <c r="C245" s="2" t="s">
        <v>269</v>
      </c>
      <c r="D245" s="1" t="s">
        <v>614</v>
      </c>
      <c r="E245" s="3">
        <v>2693138</v>
      </c>
      <c r="F245" s="3">
        <v>365</v>
      </c>
      <c r="G245" s="3">
        <v>0</v>
      </c>
      <c r="H245" s="3">
        <v>9593</v>
      </c>
      <c r="I245" s="1">
        <v>0</v>
      </c>
      <c r="J245" s="3">
        <v>2692773</v>
      </c>
      <c r="K245" s="3">
        <v>2683180</v>
      </c>
      <c r="L245" s="3">
        <v>2683180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2088692</v>
      </c>
      <c r="T245" s="3">
        <v>2088692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267679</v>
      </c>
      <c r="Z245" s="3">
        <v>267679</v>
      </c>
      <c r="AA245" s="4">
        <v>267679</v>
      </c>
      <c r="AB245" s="4">
        <v>267679</v>
      </c>
      <c r="AC245" s="4">
        <v>267679</v>
      </c>
      <c r="AD245" s="4">
        <v>267677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1344787</v>
      </c>
      <c r="AJ245" s="4">
        <v>1612466</v>
      </c>
      <c r="AK245" s="4">
        <v>1880145</v>
      </c>
      <c r="AL245" s="4">
        <v>2147824</v>
      </c>
      <c r="AM245" s="4">
        <v>2415503</v>
      </c>
      <c r="AN245" s="4">
        <v>2683180</v>
      </c>
      <c r="AO245" s="150">
        <v>207243</v>
      </c>
    </row>
    <row r="246" spans="1:41" x14ac:dyDescent="0.2">
      <c r="A246" s="1">
        <v>2024</v>
      </c>
      <c r="B246" s="2" t="s">
        <v>270</v>
      </c>
      <c r="C246" s="2" t="s">
        <v>270</v>
      </c>
      <c r="D246" s="1" t="s">
        <v>615</v>
      </c>
      <c r="E246" s="3">
        <v>1265462</v>
      </c>
      <c r="F246" s="3">
        <v>166</v>
      </c>
      <c r="G246" s="3">
        <v>0</v>
      </c>
      <c r="H246" s="3">
        <v>4346</v>
      </c>
      <c r="I246" s="3">
        <v>0</v>
      </c>
      <c r="J246" s="3">
        <v>1265296</v>
      </c>
      <c r="K246" s="3">
        <v>1260950</v>
      </c>
      <c r="L246" s="3">
        <v>1260950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979151</v>
      </c>
      <c r="T246" s="3">
        <v>979151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125805</v>
      </c>
      <c r="Z246" s="3">
        <v>125805</v>
      </c>
      <c r="AA246" s="4">
        <v>125805</v>
      </c>
      <c r="AB246" s="4">
        <v>125805</v>
      </c>
      <c r="AC246" s="4">
        <v>125805</v>
      </c>
      <c r="AD246" s="4">
        <v>125805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631925</v>
      </c>
      <c r="AJ246" s="4">
        <v>757730</v>
      </c>
      <c r="AK246" s="4">
        <v>883535</v>
      </c>
      <c r="AL246" s="4">
        <v>1009340</v>
      </c>
      <c r="AM246" s="4">
        <v>1135145</v>
      </c>
      <c r="AN246" s="4">
        <v>1260950</v>
      </c>
      <c r="AO246" s="150">
        <v>105080</v>
      </c>
    </row>
    <row r="247" spans="1:41" x14ac:dyDescent="0.2">
      <c r="A247" s="1">
        <v>2024</v>
      </c>
      <c r="B247" s="2" t="s">
        <v>271</v>
      </c>
      <c r="C247" s="2" t="s">
        <v>271</v>
      </c>
      <c r="D247" s="1" t="s">
        <v>616</v>
      </c>
      <c r="E247" s="3">
        <v>3191533</v>
      </c>
      <c r="F247" s="3">
        <v>514</v>
      </c>
      <c r="G247" s="3">
        <v>0</v>
      </c>
      <c r="H247" s="3">
        <v>12851</v>
      </c>
      <c r="I247" s="1">
        <v>0</v>
      </c>
      <c r="J247" s="3">
        <v>3191019</v>
      </c>
      <c r="K247" s="3">
        <v>3178168</v>
      </c>
      <c r="L247" s="3">
        <v>3178168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2398236</v>
      </c>
      <c r="T247" s="3">
        <v>2398236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316960</v>
      </c>
      <c r="Z247" s="3">
        <v>316960</v>
      </c>
      <c r="AA247" s="4">
        <v>316960</v>
      </c>
      <c r="AB247" s="4">
        <v>316960</v>
      </c>
      <c r="AC247" s="4">
        <v>316960</v>
      </c>
      <c r="AD247" s="4">
        <v>316960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1593368</v>
      </c>
      <c r="AJ247" s="4">
        <v>1910328</v>
      </c>
      <c r="AK247" s="4">
        <v>2227288</v>
      </c>
      <c r="AL247" s="4">
        <v>2544248</v>
      </c>
      <c r="AM247" s="4">
        <v>2861208</v>
      </c>
      <c r="AN247" s="4">
        <v>3178168</v>
      </c>
      <c r="AO247" s="150">
        <v>271891</v>
      </c>
    </row>
    <row r="248" spans="1:41" x14ac:dyDescent="0.2">
      <c r="A248" s="1">
        <v>2024</v>
      </c>
      <c r="B248" s="2" t="s">
        <v>272</v>
      </c>
      <c r="C248" s="2" t="s">
        <v>272</v>
      </c>
      <c r="D248" s="1" t="s">
        <v>617</v>
      </c>
      <c r="E248" s="3">
        <v>3160225</v>
      </c>
      <c r="F248" s="3">
        <v>779</v>
      </c>
      <c r="G248" s="3">
        <v>25759</v>
      </c>
      <c r="H248" s="3">
        <v>24027</v>
      </c>
      <c r="I248" s="3">
        <v>0</v>
      </c>
      <c r="J248" s="3">
        <v>3133687</v>
      </c>
      <c r="K248" s="3">
        <v>3109660</v>
      </c>
      <c r="L248" s="3">
        <v>3109660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1618061</v>
      </c>
      <c r="T248" s="3">
        <v>1618061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309364</v>
      </c>
      <c r="Z248" s="3">
        <v>309364</v>
      </c>
      <c r="AA248" s="4">
        <v>309364</v>
      </c>
      <c r="AB248" s="4">
        <v>309364</v>
      </c>
      <c r="AC248" s="4">
        <v>309364</v>
      </c>
      <c r="AD248" s="4">
        <v>309364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1562840</v>
      </c>
      <c r="AJ248" s="4">
        <v>1872204</v>
      </c>
      <c r="AK248" s="4">
        <v>2181568</v>
      </c>
      <c r="AL248" s="4">
        <v>2490932</v>
      </c>
      <c r="AM248" s="4">
        <v>2800296</v>
      </c>
      <c r="AN248" s="4">
        <v>3109660</v>
      </c>
      <c r="AO248" s="150">
        <v>488710</v>
      </c>
    </row>
    <row r="249" spans="1:41" x14ac:dyDescent="0.2">
      <c r="A249" s="1">
        <v>2024</v>
      </c>
      <c r="B249" s="2" t="s">
        <v>273</v>
      </c>
      <c r="C249" s="2" t="s">
        <v>273</v>
      </c>
      <c r="D249" s="1" t="s">
        <v>618</v>
      </c>
      <c r="E249" s="3">
        <v>1946289</v>
      </c>
      <c r="F249" s="1">
        <v>282</v>
      </c>
      <c r="G249" s="1">
        <v>0</v>
      </c>
      <c r="H249" s="3">
        <v>8017</v>
      </c>
      <c r="I249" s="1">
        <v>0</v>
      </c>
      <c r="J249" s="3">
        <v>1946007</v>
      </c>
      <c r="K249" s="3">
        <v>1937990</v>
      </c>
      <c r="L249" s="3">
        <v>1937990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1435838</v>
      </c>
      <c r="T249" s="3">
        <v>1435838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193264</v>
      </c>
      <c r="Z249" s="3">
        <v>193264</v>
      </c>
      <c r="AA249" s="4">
        <v>193265</v>
      </c>
      <c r="AB249" s="4">
        <v>193265</v>
      </c>
      <c r="AC249" s="4">
        <v>193265</v>
      </c>
      <c r="AD249" s="4">
        <v>193263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971668</v>
      </c>
      <c r="AJ249" s="4">
        <v>1164932</v>
      </c>
      <c r="AK249" s="4">
        <v>1358197</v>
      </c>
      <c r="AL249" s="4">
        <v>1551462</v>
      </c>
      <c r="AM249" s="4">
        <v>1744727</v>
      </c>
      <c r="AN249" s="4">
        <v>1937990</v>
      </c>
      <c r="AO249" s="150">
        <v>176814</v>
      </c>
    </row>
    <row r="250" spans="1:41" x14ac:dyDescent="0.2">
      <c r="A250" s="1">
        <v>2024</v>
      </c>
      <c r="B250" s="2" t="s">
        <v>274</v>
      </c>
      <c r="C250" s="2" t="s">
        <v>274</v>
      </c>
      <c r="D250" s="1" t="s">
        <v>619</v>
      </c>
      <c r="E250" s="3">
        <v>964736</v>
      </c>
      <c r="F250" s="3">
        <v>216</v>
      </c>
      <c r="G250" s="3">
        <v>0</v>
      </c>
      <c r="H250" s="3">
        <v>4864</v>
      </c>
      <c r="I250" s="1">
        <v>0</v>
      </c>
      <c r="J250" s="3">
        <v>964520</v>
      </c>
      <c r="K250" s="3">
        <v>959656</v>
      </c>
      <c r="L250" s="3">
        <v>959656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673855</v>
      </c>
      <c r="T250" s="3">
        <v>673855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95641</v>
      </c>
      <c r="Z250" s="3">
        <v>95641</v>
      </c>
      <c r="AA250" s="4">
        <v>95642</v>
      </c>
      <c r="AB250" s="4">
        <v>95642</v>
      </c>
      <c r="AC250" s="4">
        <v>95642</v>
      </c>
      <c r="AD250" s="4">
        <v>95640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481449</v>
      </c>
      <c r="AJ250" s="4">
        <v>577090</v>
      </c>
      <c r="AK250" s="4">
        <v>672732</v>
      </c>
      <c r="AL250" s="4">
        <v>768374</v>
      </c>
      <c r="AM250" s="4">
        <v>864016</v>
      </c>
      <c r="AN250" s="4">
        <v>959656</v>
      </c>
      <c r="AO250" s="150">
        <v>125755</v>
      </c>
    </row>
    <row r="251" spans="1:41" x14ac:dyDescent="0.2">
      <c r="A251" s="1">
        <v>2024</v>
      </c>
      <c r="B251" s="2" t="s">
        <v>275</v>
      </c>
      <c r="C251" s="2" t="s">
        <v>275</v>
      </c>
      <c r="D251" s="1" t="s">
        <v>620</v>
      </c>
      <c r="E251" s="3">
        <v>8482761</v>
      </c>
      <c r="F251" s="3">
        <v>1078</v>
      </c>
      <c r="G251" s="3">
        <v>0</v>
      </c>
      <c r="H251" s="3">
        <v>32057</v>
      </c>
      <c r="I251" s="1">
        <v>0</v>
      </c>
      <c r="J251" s="3">
        <v>8481683</v>
      </c>
      <c r="K251" s="3">
        <v>8449626</v>
      </c>
      <c r="L251" s="3">
        <v>8449626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6509621</v>
      </c>
      <c r="T251" s="3">
        <v>6509621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842826</v>
      </c>
      <c r="Z251" s="3">
        <v>842826</v>
      </c>
      <c r="AA251" s="4">
        <v>842826</v>
      </c>
      <c r="AB251" s="4">
        <v>842826</v>
      </c>
      <c r="AC251" s="4">
        <v>842826</v>
      </c>
      <c r="AD251" s="4">
        <v>842824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4235498</v>
      </c>
      <c r="AJ251" s="4">
        <v>5078324</v>
      </c>
      <c r="AK251" s="4">
        <v>5921150</v>
      </c>
      <c r="AL251" s="4">
        <v>6763976</v>
      </c>
      <c r="AM251" s="4">
        <v>7606802</v>
      </c>
      <c r="AN251" s="4">
        <v>8449626</v>
      </c>
      <c r="AO251" s="150">
        <v>737987</v>
      </c>
    </row>
    <row r="252" spans="1:41" x14ac:dyDescent="0.2">
      <c r="A252" s="1">
        <v>2024</v>
      </c>
      <c r="B252" s="2" t="s">
        <v>276</v>
      </c>
      <c r="C252" s="2" t="s">
        <v>276</v>
      </c>
      <c r="D252" s="1" t="s">
        <v>621</v>
      </c>
      <c r="E252" s="3">
        <v>1501254</v>
      </c>
      <c r="F252" s="1">
        <v>216</v>
      </c>
      <c r="G252" s="1">
        <v>0</v>
      </c>
      <c r="H252" s="3">
        <v>5337</v>
      </c>
      <c r="I252" s="3">
        <v>3765</v>
      </c>
      <c r="J252" s="3">
        <v>1501038</v>
      </c>
      <c r="K252" s="3">
        <v>1495701</v>
      </c>
      <c r="L252" s="3">
        <v>1491936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1114917</v>
      </c>
      <c r="T252" s="3">
        <v>1111152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149214</v>
      </c>
      <c r="Z252" s="3">
        <v>149214</v>
      </c>
      <c r="AA252" s="4">
        <v>148273</v>
      </c>
      <c r="AB252" s="4">
        <v>148273</v>
      </c>
      <c r="AC252" s="4">
        <v>148273</v>
      </c>
      <c r="AD252" s="4">
        <v>148273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749630</v>
      </c>
      <c r="AJ252" s="4">
        <v>898844</v>
      </c>
      <c r="AK252" s="4">
        <v>1047117</v>
      </c>
      <c r="AL252" s="4">
        <v>1195390</v>
      </c>
      <c r="AM252" s="4">
        <v>1343663</v>
      </c>
      <c r="AN252" s="4">
        <v>1491936</v>
      </c>
      <c r="AO252" s="150">
        <v>112437</v>
      </c>
    </row>
    <row r="253" spans="1:41" x14ac:dyDescent="0.2">
      <c r="A253" s="1">
        <v>2024</v>
      </c>
      <c r="B253" s="2" t="s">
        <v>277</v>
      </c>
      <c r="C253" s="2" t="s">
        <v>277</v>
      </c>
      <c r="D253" s="1" t="s">
        <v>622</v>
      </c>
      <c r="E253" s="3">
        <v>4661821</v>
      </c>
      <c r="F253" s="3">
        <v>680</v>
      </c>
      <c r="G253" s="3">
        <v>5430</v>
      </c>
      <c r="H253" s="3">
        <v>17199</v>
      </c>
      <c r="I253" s="1">
        <v>0</v>
      </c>
      <c r="J253" s="3">
        <v>4655711</v>
      </c>
      <c r="K253" s="3">
        <v>4638512</v>
      </c>
      <c r="L253" s="3">
        <v>4638512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3543286</v>
      </c>
      <c r="T253" s="3">
        <v>3543286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462705</v>
      </c>
      <c r="Z253" s="3">
        <v>462705</v>
      </c>
      <c r="AA253" s="4">
        <v>462705</v>
      </c>
      <c r="AB253" s="4">
        <v>462705</v>
      </c>
      <c r="AC253" s="4">
        <v>462705</v>
      </c>
      <c r="AD253" s="4">
        <v>462703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2324989</v>
      </c>
      <c r="AJ253" s="4">
        <v>2787694</v>
      </c>
      <c r="AK253" s="4">
        <v>3250399</v>
      </c>
      <c r="AL253" s="4">
        <v>3713104</v>
      </c>
      <c r="AM253" s="4">
        <v>4175809</v>
      </c>
      <c r="AN253" s="4">
        <v>4638512</v>
      </c>
      <c r="AO253" s="150">
        <v>384818</v>
      </c>
    </row>
    <row r="254" spans="1:41" x14ac:dyDescent="0.2">
      <c r="A254" s="1">
        <v>2024</v>
      </c>
      <c r="B254" s="2" t="s">
        <v>278</v>
      </c>
      <c r="C254" s="2" t="s">
        <v>278</v>
      </c>
      <c r="D254" s="1" t="s">
        <v>623</v>
      </c>
      <c r="E254" s="3">
        <v>7919041</v>
      </c>
      <c r="F254" s="3">
        <v>1377</v>
      </c>
      <c r="G254" s="3">
        <v>0</v>
      </c>
      <c r="H254" s="3">
        <v>24829</v>
      </c>
      <c r="I254" s="1">
        <v>0</v>
      </c>
      <c r="J254" s="3">
        <v>7917664</v>
      </c>
      <c r="K254" s="3">
        <v>7892835</v>
      </c>
      <c r="L254" s="3">
        <v>7892835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6310362</v>
      </c>
      <c r="T254" s="3">
        <v>6310362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787629</v>
      </c>
      <c r="Z254" s="3">
        <v>787629</v>
      </c>
      <c r="AA254" s="4">
        <v>787628</v>
      </c>
      <c r="AB254" s="4">
        <v>787628</v>
      </c>
      <c r="AC254" s="4">
        <v>787628</v>
      </c>
      <c r="AD254" s="4">
        <v>787629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3954693</v>
      </c>
      <c r="AJ254" s="4">
        <v>4742322</v>
      </c>
      <c r="AK254" s="4">
        <v>5529950</v>
      </c>
      <c r="AL254" s="4">
        <v>6317578</v>
      </c>
      <c r="AM254" s="4">
        <v>7105206</v>
      </c>
      <c r="AN254" s="4">
        <v>7892835</v>
      </c>
      <c r="AO254" s="150">
        <v>576084</v>
      </c>
    </row>
    <row r="255" spans="1:41" x14ac:dyDescent="0.2">
      <c r="A255" s="1">
        <v>2024</v>
      </c>
      <c r="B255" s="2" t="s">
        <v>279</v>
      </c>
      <c r="C255" s="2" t="s">
        <v>279</v>
      </c>
      <c r="D255" s="1" t="s">
        <v>624</v>
      </c>
      <c r="E255" s="3">
        <v>7128580</v>
      </c>
      <c r="F255" s="3">
        <v>580</v>
      </c>
      <c r="G255" s="3">
        <v>31946</v>
      </c>
      <c r="H255" s="3">
        <v>23651</v>
      </c>
      <c r="I255" s="1">
        <v>0</v>
      </c>
      <c r="J255" s="3">
        <v>7096054</v>
      </c>
      <c r="K255" s="3">
        <v>7072403</v>
      </c>
      <c r="L255" s="3">
        <v>7072403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5662205</v>
      </c>
      <c r="T255" s="3">
        <v>5662205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705664</v>
      </c>
      <c r="Z255" s="3">
        <v>705664</v>
      </c>
      <c r="AA255" s="4">
        <v>705664</v>
      </c>
      <c r="AB255" s="4">
        <v>705664</v>
      </c>
      <c r="AC255" s="4">
        <v>705664</v>
      </c>
      <c r="AD255" s="4">
        <v>705663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3544084</v>
      </c>
      <c r="AJ255" s="4">
        <v>4249748</v>
      </c>
      <c r="AK255" s="4">
        <v>4955412</v>
      </c>
      <c r="AL255" s="4">
        <v>5661076</v>
      </c>
      <c r="AM255" s="4">
        <v>6366740</v>
      </c>
      <c r="AN255" s="4">
        <v>7072403</v>
      </c>
      <c r="AO255" s="150">
        <v>503028</v>
      </c>
    </row>
    <row r="256" spans="1:41" x14ac:dyDescent="0.2">
      <c r="A256" s="1">
        <v>2024</v>
      </c>
      <c r="B256" s="2" t="s">
        <v>280</v>
      </c>
      <c r="C256" s="2" t="s">
        <v>280</v>
      </c>
      <c r="D256" s="1" t="s">
        <v>625</v>
      </c>
      <c r="E256" s="3">
        <v>4451607</v>
      </c>
      <c r="F256" s="3">
        <v>680</v>
      </c>
      <c r="G256" s="3">
        <v>0</v>
      </c>
      <c r="H256" s="3">
        <v>15515</v>
      </c>
      <c r="I256" s="1">
        <v>0</v>
      </c>
      <c r="J256" s="3">
        <v>4450927</v>
      </c>
      <c r="K256" s="3">
        <v>4435412</v>
      </c>
      <c r="L256" s="3">
        <v>4435412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3450863</v>
      </c>
      <c r="T256" s="3">
        <v>3450863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442507</v>
      </c>
      <c r="Z256" s="3">
        <v>442507</v>
      </c>
      <c r="AA256" s="4">
        <v>442507</v>
      </c>
      <c r="AB256" s="4">
        <v>442507</v>
      </c>
      <c r="AC256" s="4">
        <v>442507</v>
      </c>
      <c r="AD256" s="4">
        <v>442505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2222879</v>
      </c>
      <c r="AJ256" s="4">
        <v>2665386</v>
      </c>
      <c r="AK256" s="4">
        <v>3107893</v>
      </c>
      <c r="AL256" s="4">
        <v>3550400</v>
      </c>
      <c r="AM256" s="4">
        <v>3992907</v>
      </c>
      <c r="AN256" s="4">
        <v>4435412</v>
      </c>
      <c r="AO256" s="150">
        <v>327002</v>
      </c>
    </row>
    <row r="257" spans="1:41" x14ac:dyDescent="0.2">
      <c r="A257" s="1">
        <v>2024</v>
      </c>
      <c r="B257" s="2" t="s">
        <v>281</v>
      </c>
      <c r="C257" s="2" t="s">
        <v>281</v>
      </c>
      <c r="D257" s="1" t="s">
        <v>626</v>
      </c>
      <c r="E257" s="3">
        <v>2746106</v>
      </c>
      <c r="F257" s="3">
        <v>398</v>
      </c>
      <c r="G257" s="3">
        <v>13216</v>
      </c>
      <c r="H257" s="3">
        <v>8692</v>
      </c>
      <c r="I257" s="1">
        <v>0</v>
      </c>
      <c r="J257" s="3">
        <v>2732492</v>
      </c>
      <c r="K257" s="3">
        <v>2723800</v>
      </c>
      <c r="L257" s="3">
        <v>2723800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2148607</v>
      </c>
      <c r="T257" s="3">
        <v>2148607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271801</v>
      </c>
      <c r="Z257" s="3">
        <v>271801</v>
      </c>
      <c r="AA257" s="4">
        <v>271801</v>
      </c>
      <c r="AB257" s="4">
        <v>271801</v>
      </c>
      <c r="AC257" s="4">
        <v>271801</v>
      </c>
      <c r="AD257" s="4">
        <v>271799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1364797</v>
      </c>
      <c r="AJ257" s="4">
        <v>1636598</v>
      </c>
      <c r="AK257" s="4">
        <v>1908399</v>
      </c>
      <c r="AL257" s="4">
        <v>2180200</v>
      </c>
      <c r="AM257" s="4">
        <v>2452001</v>
      </c>
      <c r="AN257" s="4">
        <v>2723800</v>
      </c>
      <c r="AO257" s="150">
        <v>186770</v>
      </c>
    </row>
    <row r="258" spans="1:41" x14ac:dyDescent="0.2">
      <c r="A258" s="1">
        <v>2024</v>
      </c>
      <c r="B258" s="2" t="s">
        <v>282</v>
      </c>
      <c r="C258" s="2" t="s">
        <v>282</v>
      </c>
      <c r="D258" s="1" t="s">
        <v>627</v>
      </c>
      <c r="E258" s="3">
        <v>4004185</v>
      </c>
      <c r="F258" s="3">
        <v>514</v>
      </c>
      <c r="G258" s="3">
        <v>0</v>
      </c>
      <c r="H258" s="3">
        <v>12437</v>
      </c>
      <c r="I258" s="1">
        <v>0</v>
      </c>
      <c r="J258" s="3">
        <v>4003671</v>
      </c>
      <c r="K258" s="3">
        <v>3991234</v>
      </c>
      <c r="L258" s="3">
        <v>3991234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3201483</v>
      </c>
      <c r="T258" s="3">
        <v>3201483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398294</v>
      </c>
      <c r="Z258" s="3">
        <v>398294</v>
      </c>
      <c r="AA258" s="4">
        <v>398295</v>
      </c>
      <c r="AB258" s="4">
        <v>398295</v>
      </c>
      <c r="AC258" s="4">
        <v>398295</v>
      </c>
      <c r="AD258" s="4">
        <v>398293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1999762</v>
      </c>
      <c r="AJ258" s="4">
        <v>2398056</v>
      </c>
      <c r="AK258" s="4">
        <v>2796351</v>
      </c>
      <c r="AL258" s="4">
        <v>3194646</v>
      </c>
      <c r="AM258" s="4">
        <v>3592941</v>
      </c>
      <c r="AN258" s="4">
        <v>3991234</v>
      </c>
      <c r="AO258" s="150">
        <v>254065</v>
      </c>
    </row>
    <row r="259" spans="1:41" x14ac:dyDescent="0.2">
      <c r="A259" s="1">
        <v>2024</v>
      </c>
      <c r="B259" s="2" t="s">
        <v>283</v>
      </c>
      <c r="C259" s="2" t="s">
        <v>283</v>
      </c>
      <c r="D259" s="1" t="s">
        <v>628</v>
      </c>
      <c r="E259" s="3">
        <v>11083010</v>
      </c>
      <c r="F259" s="3">
        <v>2239</v>
      </c>
      <c r="G259" s="3">
        <v>0</v>
      </c>
      <c r="H259" s="3">
        <v>33786</v>
      </c>
      <c r="I259" s="1">
        <v>0</v>
      </c>
      <c r="J259" s="3">
        <v>11080771</v>
      </c>
      <c r="K259" s="3">
        <v>11046985</v>
      </c>
      <c r="L259" s="3">
        <v>11046985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8732076</v>
      </c>
      <c r="T259" s="3">
        <v>8732076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1102446</v>
      </c>
      <c r="Z259" s="3">
        <v>1102446</v>
      </c>
      <c r="AA259" s="4">
        <v>1102446</v>
      </c>
      <c r="AB259" s="4">
        <v>1102446</v>
      </c>
      <c r="AC259" s="4">
        <v>1102446</v>
      </c>
      <c r="AD259" s="4">
        <v>1102447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5534754</v>
      </c>
      <c r="AJ259" s="4">
        <v>6637200</v>
      </c>
      <c r="AK259" s="4">
        <v>7739646</v>
      </c>
      <c r="AL259" s="4">
        <v>8842092</v>
      </c>
      <c r="AM259" s="4">
        <v>9944538</v>
      </c>
      <c r="AN259" s="4">
        <v>11046985</v>
      </c>
      <c r="AO259" s="150">
        <v>870328</v>
      </c>
    </row>
    <row r="260" spans="1:41" x14ac:dyDescent="0.2">
      <c r="A260" s="1">
        <v>2024</v>
      </c>
      <c r="B260" s="2" t="s">
        <v>284</v>
      </c>
      <c r="C260" s="2" t="s">
        <v>284</v>
      </c>
      <c r="D260" s="1" t="s">
        <v>629</v>
      </c>
      <c r="E260" s="3">
        <v>129858257</v>
      </c>
      <c r="F260" s="3">
        <v>10084</v>
      </c>
      <c r="G260" s="3">
        <v>0</v>
      </c>
      <c r="H260" s="3">
        <v>334160</v>
      </c>
      <c r="I260" s="3">
        <v>0</v>
      </c>
      <c r="J260" s="3">
        <v>129848173</v>
      </c>
      <c r="K260" s="3">
        <v>129514013</v>
      </c>
      <c r="L260" s="3">
        <v>129514013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109758334</v>
      </c>
      <c r="T260" s="3">
        <v>109758334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12929124</v>
      </c>
      <c r="Z260" s="3">
        <v>12929124</v>
      </c>
      <c r="AA260" s="4">
        <v>12929124</v>
      </c>
      <c r="AB260" s="4">
        <v>12929124</v>
      </c>
      <c r="AC260" s="4">
        <v>12929124</v>
      </c>
      <c r="AD260" s="4">
        <v>12929125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64868392</v>
      </c>
      <c r="AJ260" s="4">
        <v>77797516</v>
      </c>
      <c r="AK260" s="4">
        <v>90726640</v>
      </c>
      <c r="AL260" s="4">
        <v>103655764</v>
      </c>
      <c r="AM260" s="4">
        <v>116584888</v>
      </c>
      <c r="AN260" s="4">
        <v>129514013</v>
      </c>
      <c r="AO260" s="150">
        <v>7820131</v>
      </c>
    </row>
    <row r="261" spans="1:41" x14ac:dyDescent="0.2">
      <c r="A261" s="1">
        <v>2024</v>
      </c>
      <c r="B261" s="2" t="s">
        <v>285</v>
      </c>
      <c r="C261" s="2" t="s">
        <v>701</v>
      </c>
      <c r="D261" s="1" t="s">
        <v>630</v>
      </c>
      <c r="E261" s="3">
        <v>2730281</v>
      </c>
      <c r="F261" s="3">
        <v>564</v>
      </c>
      <c r="G261" s="3">
        <v>21423</v>
      </c>
      <c r="H261" s="3">
        <v>9937</v>
      </c>
      <c r="I261" s="1">
        <v>0</v>
      </c>
      <c r="J261" s="3">
        <v>2708294</v>
      </c>
      <c r="K261" s="3">
        <v>2698357</v>
      </c>
      <c r="L261" s="3">
        <v>2698357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1989064</v>
      </c>
      <c r="T261" s="3">
        <v>1989064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269174</v>
      </c>
      <c r="Z261" s="3">
        <v>269174</v>
      </c>
      <c r="AA261" s="4">
        <v>269173</v>
      </c>
      <c r="AB261" s="4">
        <v>269173</v>
      </c>
      <c r="AC261" s="4">
        <v>269173</v>
      </c>
      <c r="AD261" s="4">
        <v>269174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1352490</v>
      </c>
      <c r="AJ261" s="4">
        <v>1621664</v>
      </c>
      <c r="AK261" s="4">
        <v>1890837</v>
      </c>
      <c r="AL261" s="4">
        <v>2160010</v>
      </c>
      <c r="AM261" s="4">
        <v>2429183</v>
      </c>
      <c r="AN261" s="4">
        <v>2698357</v>
      </c>
      <c r="AO261" s="150">
        <v>216371</v>
      </c>
    </row>
    <row r="262" spans="1:41" x14ac:dyDescent="0.2">
      <c r="A262" s="1">
        <v>2024</v>
      </c>
      <c r="B262" s="2" t="s">
        <v>286</v>
      </c>
      <c r="C262" s="2" t="s">
        <v>286</v>
      </c>
      <c r="D262" s="1" t="s">
        <v>631</v>
      </c>
      <c r="E262" s="3">
        <v>5256336</v>
      </c>
      <c r="F262" s="3">
        <v>846</v>
      </c>
      <c r="G262" s="3">
        <v>0</v>
      </c>
      <c r="H262" s="3">
        <v>20908</v>
      </c>
      <c r="I262" s="1">
        <v>0</v>
      </c>
      <c r="J262" s="3">
        <v>5255490</v>
      </c>
      <c r="K262" s="3">
        <v>5234582</v>
      </c>
      <c r="L262" s="3">
        <v>5234582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3889405</v>
      </c>
      <c r="T262" s="3">
        <v>3889405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522064</v>
      </c>
      <c r="Z262" s="3">
        <v>522064</v>
      </c>
      <c r="AA262" s="4">
        <v>522065</v>
      </c>
      <c r="AB262" s="4">
        <v>522065</v>
      </c>
      <c r="AC262" s="4">
        <v>522065</v>
      </c>
      <c r="AD262" s="4">
        <v>522063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2624260</v>
      </c>
      <c r="AJ262" s="4">
        <v>3146324</v>
      </c>
      <c r="AK262" s="4">
        <v>3668389</v>
      </c>
      <c r="AL262" s="4">
        <v>4190454</v>
      </c>
      <c r="AM262" s="4">
        <v>4712519</v>
      </c>
      <c r="AN262" s="4">
        <v>5234582</v>
      </c>
      <c r="AO262" s="150">
        <v>453680</v>
      </c>
    </row>
    <row r="263" spans="1:41" x14ac:dyDescent="0.2">
      <c r="A263" s="1">
        <v>2024</v>
      </c>
      <c r="B263" s="2" t="s">
        <v>287</v>
      </c>
      <c r="C263" s="2" t="s">
        <v>287</v>
      </c>
      <c r="D263" s="1" t="s">
        <v>632</v>
      </c>
      <c r="E263" s="3">
        <v>9423516</v>
      </c>
      <c r="F263" s="3">
        <v>1028</v>
      </c>
      <c r="G263" s="3">
        <v>0</v>
      </c>
      <c r="H263" s="3">
        <v>32681</v>
      </c>
      <c r="I263" s="3">
        <v>0</v>
      </c>
      <c r="J263" s="3">
        <v>9422488</v>
      </c>
      <c r="K263" s="3">
        <v>9389807</v>
      </c>
      <c r="L263" s="3">
        <v>9389807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7520696</v>
      </c>
      <c r="T263" s="3">
        <v>7520696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936802</v>
      </c>
      <c r="Z263" s="3">
        <v>936802</v>
      </c>
      <c r="AA263" s="4">
        <v>936802</v>
      </c>
      <c r="AB263" s="4">
        <v>936802</v>
      </c>
      <c r="AC263" s="4">
        <v>936802</v>
      </c>
      <c r="AD263" s="4">
        <v>936801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4705798</v>
      </c>
      <c r="AJ263" s="4">
        <v>5642600</v>
      </c>
      <c r="AK263" s="4">
        <v>6579402</v>
      </c>
      <c r="AL263" s="4">
        <v>7516204</v>
      </c>
      <c r="AM263" s="4">
        <v>8453006</v>
      </c>
      <c r="AN263" s="4">
        <v>9389807</v>
      </c>
      <c r="AO263" s="150">
        <v>701333</v>
      </c>
    </row>
    <row r="264" spans="1:41" x14ac:dyDescent="0.2">
      <c r="A264" s="1">
        <v>2024</v>
      </c>
      <c r="B264" s="2" t="s">
        <v>288</v>
      </c>
      <c r="C264" s="2" t="s">
        <v>288</v>
      </c>
      <c r="D264" s="1" t="s">
        <v>633</v>
      </c>
      <c r="E264" s="3">
        <v>3769064</v>
      </c>
      <c r="F264" s="3">
        <v>348</v>
      </c>
      <c r="G264" s="3">
        <v>0</v>
      </c>
      <c r="H264" s="3">
        <v>11387</v>
      </c>
      <c r="I264" s="1">
        <v>0</v>
      </c>
      <c r="J264" s="3">
        <v>3768716</v>
      </c>
      <c r="K264" s="3">
        <v>3757329</v>
      </c>
      <c r="L264" s="3">
        <v>3757329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3071089</v>
      </c>
      <c r="T264" s="3">
        <v>3071089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374974</v>
      </c>
      <c r="Z264" s="3">
        <v>374974</v>
      </c>
      <c r="AA264" s="4">
        <v>374973</v>
      </c>
      <c r="AB264" s="4">
        <v>374973</v>
      </c>
      <c r="AC264" s="4">
        <v>374973</v>
      </c>
      <c r="AD264" s="4">
        <v>374974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1882462</v>
      </c>
      <c r="AJ264" s="4">
        <v>2257436</v>
      </c>
      <c r="AK264" s="4">
        <v>2632409</v>
      </c>
      <c r="AL264" s="4">
        <v>3007382</v>
      </c>
      <c r="AM264" s="4">
        <v>3382355</v>
      </c>
      <c r="AN264" s="4">
        <v>3757329</v>
      </c>
      <c r="AO264" s="150">
        <v>239540</v>
      </c>
    </row>
    <row r="265" spans="1:41" x14ac:dyDescent="0.2">
      <c r="A265" s="1">
        <v>2024</v>
      </c>
      <c r="B265" s="2" t="s">
        <v>289</v>
      </c>
      <c r="C265" s="2" t="s">
        <v>289</v>
      </c>
      <c r="D265" s="1" t="s">
        <v>634</v>
      </c>
      <c r="E265" s="3">
        <v>3657057</v>
      </c>
      <c r="F265" s="3">
        <v>580</v>
      </c>
      <c r="G265" s="3">
        <v>0</v>
      </c>
      <c r="H265" s="3">
        <v>14112</v>
      </c>
      <c r="I265" s="1">
        <v>0</v>
      </c>
      <c r="J265" s="3">
        <v>3656477</v>
      </c>
      <c r="K265" s="3">
        <v>3642365</v>
      </c>
      <c r="L265" s="3">
        <v>3642365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2722879</v>
      </c>
      <c r="T265" s="3">
        <v>2722879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363296</v>
      </c>
      <c r="Z265" s="3">
        <v>363296</v>
      </c>
      <c r="AA265" s="4">
        <v>363295</v>
      </c>
      <c r="AB265" s="4">
        <v>363295</v>
      </c>
      <c r="AC265" s="4">
        <v>363295</v>
      </c>
      <c r="AD265" s="4">
        <v>363296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1825888</v>
      </c>
      <c r="AJ265" s="4">
        <v>2189184</v>
      </c>
      <c r="AK265" s="4">
        <v>2552479</v>
      </c>
      <c r="AL265" s="4">
        <v>2915774</v>
      </c>
      <c r="AM265" s="4">
        <v>3279069</v>
      </c>
      <c r="AN265" s="4">
        <v>3642365</v>
      </c>
      <c r="AO265" s="150">
        <v>302019</v>
      </c>
    </row>
    <row r="266" spans="1:41" x14ac:dyDescent="0.2">
      <c r="A266" s="1">
        <v>2024</v>
      </c>
      <c r="B266" s="2" t="s">
        <v>290</v>
      </c>
      <c r="C266" s="2" t="s">
        <v>290</v>
      </c>
      <c r="D266" s="1" t="s">
        <v>837</v>
      </c>
      <c r="E266" s="3">
        <v>7011396</v>
      </c>
      <c r="F266" s="3">
        <v>796</v>
      </c>
      <c r="G266" s="3">
        <v>0</v>
      </c>
      <c r="H266" s="3">
        <v>24628</v>
      </c>
      <c r="I266" s="3">
        <v>0</v>
      </c>
      <c r="J266" s="3">
        <v>7010600</v>
      </c>
      <c r="K266" s="3">
        <v>6985972</v>
      </c>
      <c r="L266" s="3">
        <v>6985972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5435572</v>
      </c>
      <c r="T266" s="3">
        <v>5435572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696955</v>
      </c>
      <c r="Z266" s="3">
        <v>696955</v>
      </c>
      <c r="AA266" s="4">
        <v>696956</v>
      </c>
      <c r="AB266" s="4">
        <v>696956</v>
      </c>
      <c r="AC266" s="4">
        <v>696956</v>
      </c>
      <c r="AD266" s="4">
        <v>696954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3501195</v>
      </c>
      <c r="AJ266" s="4">
        <v>4198150</v>
      </c>
      <c r="AK266" s="4">
        <v>4895106</v>
      </c>
      <c r="AL266" s="4">
        <v>5592062</v>
      </c>
      <c r="AM266" s="4">
        <v>6289018</v>
      </c>
      <c r="AN266" s="4">
        <v>6985972</v>
      </c>
      <c r="AO266" s="150">
        <v>526674</v>
      </c>
    </row>
    <row r="267" spans="1:41" x14ac:dyDescent="0.2">
      <c r="A267" s="1">
        <v>2024</v>
      </c>
      <c r="B267" s="2" t="s">
        <v>291</v>
      </c>
      <c r="C267" s="2" t="s">
        <v>291</v>
      </c>
      <c r="D267" s="1" t="s">
        <v>636</v>
      </c>
      <c r="E267" s="3">
        <v>1230433</v>
      </c>
      <c r="F267" s="3">
        <v>33</v>
      </c>
      <c r="G267" s="3">
        <v>0</v>
      </c>
      <c r="H267" s="3">
        <v>4355</v>
      </c>
      <c r="I267" s="1">
        <v>0</v>
      </c>
      <c r="J267" s="3">
        <v>1230400</v>
      </c>
      <c r="K267" s="3">
        <v>1226045</v>
      </c>
      <c r="L267" s="3">
        <v>1226045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969427</v>
      </c>
      <c r="T267" s="3">
        <v>969427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122314</v>
      </c>
      <c r="Z267" s="3">
        <v>122314</v>
      </c>
      <c r="AA267" s="4">
        <v>122314</v>
      </c>
      <c r="AB267" s="4">
        <v>122314</v>
      </c>
      <c r="AC267" s="4">
        <v>122314</v>
      </c>
      <c r="AD267" s="4">
        <v>122315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614474</v>
      </c>
      <c r="AJ267" s="4">
        <v>736788</v>
      </c>
      <c r="AK267" s="4">
        <v>859102</v>
      </c>
      <c r="AL267" s="4">
        <v>981416</v>
      </c>
      <c r="AM267" s="4">
        <v>1103730</v>
      </c>
      <c r="AN267" s="4">
        <v>1226045</v>
      </c>
      <c r="AO267" s="150">
        <v>93753</v>
      </c>
    </row>
    <row r="268" spans="1:41" x14ac:dyDescent="0.2">
      <c r="A268" s="1">
        <v>2024</v>
      </c>
      <c r="B268" s="2" t="s">
        <v>292</v>
      </c>
      <c r="C268" s="2" t="s">
        <v>292</v>
      </c>
      <c r="D268" s="1" t="s">
        <v>637</v>
      </c>
      <c r="E268" s="3">
        <v>11701699</v>
      </c>
      <c r="F268" s="3">
        <v>1144</v>
      </c>
      <c r="G268" s="3">
        <v>0</v>
      </c>
      <c r="H268" s="3">
        <v>32593</v>
      </c>
      <c r="I268" s="3">
        <v>840985</v>
      </c>
      <c r="J268" s="3">
        <v>11700555</v>
      </c>
      <c r="K268" s="3">
        <v>11667962</v>
      </c>
      <c r="L268" s="3">
        <v>10826977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9668428</v>
      </c>
      <c r="T268" s="3">
        <v>8827443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1164623</v>
      </c>
      <c r="Z268" s="3">
        <v>1164623</v>
      </c>
      <c r="AA268" s="4">
        <v>954377</v>
      </c>
      <c r="AB268" s="4">
        <v>954377</v>
      </c>
      <c r="AC268" s="4">
        <v>954377</v>
      </c>
      <c r="AD268" s="4">
        <v>954376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5844847</v>
      </c>
      <c r="AJ268" s="4">
        <v>7009470</v>
      </c>
      <c r="AK268" s="4">
        <v>7963847</v>
      </c>
      <c r="AL268" s="4">
        <v>8918224</v>
      </c>
      <c r="AM268" s="4">
        <v>9872601</v>
      </c>
      <c r="AN268" s="4">
        <v>10826977</v>
      </c>
      <c r="AO268" s="150">
        <v>736920</v>
      </c>
    </row>
    <row r="269" spans="1:41" x14ac:dyDescent="0.2">
      <c r="A269" s="1">
        <v>2024</v>
      </c>
      <c r="B269" s="2" t="s">
        <v>293</v>
      </c>
      <c r="C269" s="2" t="s">
        <v>293</v>
      </c>
      <c r="D269" s="1" t="s">
        <v>638</v>
      </c>
      <c r="E269" s="3">
        <v>3530821</v>
      </c>
      <c r="F269" s="1">
        <v>862</v>
      </c>
      <c r="G269" s="1">
        <v>0</v>
      </c>
      <c r="H269" s="3">
        <v>11635</v>
      </c>
      <c r="I269" s="1">
        <v>0</v>
      </c>
      <c r="J269" s="3">
        <v>3529959</v>
      </c>
      <c r="K269" s="3">
        <v>3518324</v>
      </c>
      <c r="L269" s="3">
        <v>3518324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2709746</v>
      </c>
      <c r="T269" s="3">
        <v>2709746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351057</v>
      </c>
      <c r="Z269" s="3">
        <v>351057</v>
      </c>
      <c r="AA269" s="4">
        <v>351057</v>
      </c>
      <c r="AB269" s="4">
        <v>351057</v>
      </c>
      <c r="AC269" s="4">
        <v>351057</v>
      </c>
      <c r="AD269" s="4">
        <v>351055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1763041</v>
      </c>
      <c r="AJ269" s="4">
        <v>2114098</v>
      </c>
      <c r="AK269" s="4">
        <v>2465155</v>
      </c>
      <c r="AL269" s="4">
        <v>2816212</v>
      </c>
      <c r="AM269" s="4">
        <v>3167269</v>
      </c>
      <c r="AN269" s="4">
        <v>3518324</v>
      </c>
      <c r="AO269" s="150">
        <v>274671</v>
      </c>
    </row>
    <row r="270" spans="1:41" x14ac:dyDescent="0.2">
      <c r="A270" s="1">
        <v>2024</v>
      </c>
      <c r="B270" s="2" t="s">
        <v>294</v>
      </c>
      <c r="C270" s="2" t="s">
        <v>294</v>
      </c>
      <c r="D270" s="1" t="s">
        <v>639</v>
      </c>
      <c r="E270" s="3">
        <v>53863347</v>
      </c>
      <c r="F270" s="3">
        <v>4594</v>
      </c>
      <c r="G270" s="3">
        <v>11364</v>
      </c>
      <c r="H270" s="3">
        <v>162379</v>
      </c>
      <c r="I270" s="3">
        <v>0</v>
      </c>
      <c r="J270" s="3">
        <v>53847389</v>
      </c>
      <c r="K270" s="3">
        <v>53685010</v>
      </c>
      <c r="L270" s="3">
        <v>53685010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44472332</v>
      </c>
      <c r="T270" s="3">
        <v>44472332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5357676</v>
      </c>
      <c r="Z270" s="3">
        <v>5357676</v>
      </c>
      <c r="AA270" s="4">
        <v>5357676</v>
      </c>
      <c r="AB270" s="4">
        <v>5357676</v>
      </c>
      <c r="AC270" s="4">
        <v>5357676</v>
      </c>
      <c r="AD270" s="4">
        <v>5357674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26896632</v>
      </c>
      <c r="AJ270" s="4">
        <v>32254308</v>
      </c>
      <c r="AK270" s="4">
        <v>37611984</v>
      </c>
      <c r="AL270" s="4">
        <v>42969660</v>
      </c>
      <c r="AM270" s="4">
        <v>48327336</v>
      </c>
      <c r="AN270" s="4">
        <v>53685010</v>
      </c>
      <c r="AO270" s="150">
        <v>3681235</v>
      </c>
    </row>
    <row r="271" spans="1:41" x14ac:dyDescent="0.2">
      <c r="A271" s="1">
        <v>2024</v>
      </c>
      <c r="B271" s="2" t="s">
        <v>295</v>
      </c>
      <c r="C271" s="2" t="s">
        <v>295</v>
      </c>
      <c r="D271" s="1" t="s">
        <v>640</v>
      </c>
      <c r="E271" s="3">
        <v>15668814</v>
      </c>
      <c r="F271" s="3">
        <v>2687</v>
      </c>
      <c r="G271" s="3">
        <v>6355</v>
      </c>
      <c r="H271" s="3">
        <v>45606</v>
      </c>
      <c r="I271" s="1">
        <v>0</v>
      </c>
      <c r="J271" s="3">
        <v>15659772</v>
      </c>
      <c r="K271" s="3">
        <v>15614166</v>
      </c>
      <c r="L271" s="3">
        <v>15614166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12588756</v>
      </c>
      <c r="T271" s="3">
        <v>12588756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1558376</v>
      </c>
      <c r="Z271" s="3">
        <v>1558376</v>
      </c>
      <c r="AA271" s="4">
        <v>1558377</v>
      </c>
      <c r="AB271" s="4">
        <v>1558377</v>
      </c>
      <c r="AC271" s="4">
        <v>1558377</v>
      </c>
      <c r="AD271" s="4">
        <v>1558375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7822284</v>
      </c>
      <c r="AJ271" s="4">
        <v>9380660</v>
      </c>
      <c r="AK271" s="4">
        <v>10939037</v>
      </c>
      <c r="AL271" s="4">
        <v>12497414</v>
      </c>
      <c r="AM271" s="4">
        <v>14055791</v>
      </c>
      <c r="AN271" s="4">
        <v>15614166</v>
      </c>
      <c r="AO271" s="150">
        <v>1089087</v>
      </c>
    </row>
    <row r="272" spans="1:41" x14ac:dyDescent="0.2">
      <c r="A272" s="1">
        <v>2024</v>
      </c>
      <c r="B272" s="2" t="s">
        <v>296</v>
      </c>
      <c r="C272" s="2" t="s">
        <v>296</v>
      </c>
      <c r="D272" s="1" t="s">
        <v>641</v>
      </c>
      <c r="E272" s="3">
        <v>3096770</v>
      </c>
      <c r="F272" s="3">
        <v>1244</v>
      </c>
      <c r="G272" s="3">
        <v>0</v>
      </c>
      <c r="H272" s="3">
        <v>26299</v>
      </c>
      <c r="I272" s="1">
        <v>0</v>
      </c>
      <c r="J272" s="3">
        <v>3095526</v>
      </c>
      <c r="K272" s="3">
        <v>3069227</v>
      </c>
      <c r="L272" s="3">
        <v>3069227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1407192</v>
      </c>
      <c r="T272" s="3">
        <v>1407192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305169</v>
      </c>
      <c r="Z272" s="3">
        <v>305169</v>
      </c>
      <c r="AA272" s="4">
        <v>305169</v>
      </c>
      <c r="AB272" s="4">
        <v>305169</v>
      </c>
      <c r="AC272" s="4">
        <v>305169</v>
      </c>
      <c r="AD272" s="4">
        <v>305170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1543381</v>
      </c>
      <c r="AJ272" s="4">
        <v>1848550</v>
      </c>
      <c r="AK272" s="4">
        <v>2153719</v>
      </c>
      <c r="AL272" s="4">
        <v>2458888</v>
      </c>
      <c r="AM272" s="4">
        <v>2764057</v>
      </c>
      <c r="AN272" s="4">
        <v>3069227</v>
      </c>
      <c r="AO272" s="150">
        <v>576729</v>
      </c>
    </row>
    <row r="273" spans="1:41" x14ac:dyDescent="0.2">
      <c r="A273" s="1">
        <v>2024</v>
      </c>
      <c r="B273" s="2" t="s">
        <v>297</v>
      </c>
      <c r="C273" s="2" t="s">
        <v>297</v>
      </c>
      <c r="D273" s="1" t="s">
        <v>642</v>
      </c>
      <c r="E273" s="3">
        <v>2855450</v>
      </c>
      <c r="F273" s="3">
        <v>431</v>
      </c>
      <c r="G273" s="3">
        <v>0</v>
      </c>
      <c r="H273" s="3">
        <v>9158</v>
      </c>
      <c r="I273" s="1">
        <v>0</v>
      </c>
      <c r="J273" s="3">
        <v>2855019</v>
      </c>
      <c r="K273" s="3">
        <v>2845861</v>
      </c>
      <c r="L273" s="3">
        <v>2845861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2257619</v>
      </c>
      <c r="T273" s="3">
        <v>2257619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283976</v>
      </c>
      <c r="Z273" s="3">
        <v>283976</v>
      </c>
      <c r="AA273" s="4">
        <v>283975</v>
      </c>
      <c r="AB273" s="4">
        <v>283975</v>
      </c>
      <c r="AC273" s="4">
        <v>283975</v>
      </c>
      <c r="AD273" s="4">
        <v>283976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1425984</v>
      </c>
      <c r="AJ273" s="4">
        <v>1709960</v>
      </c>
      <c r="AK273" s="4">
        <v>1993935</v>
      </c>
      <c r="AL273" s="4">
        <v>2277910</v>
      </c>
      <c r="AM273" s="4">
        <v>2561885</v>
      </c>
      <c r="AN273" s="4">
        <v>2845861</v>
      </c>
      <c r="AO273" s="150">
        <v>189586</v>
      </c>
    </row>
    <row r="274" spans="1:41" x14ac:dyDescent="0.2">
      <c r="A274" s="1">
        <v>2024</v>
      </c>
      <c r="B274" s="2" t="s">
        <v>298</v>
      </c>
      <c r="C274" s="2" t="s">
        <v>298</v>
      </c>
      <c r="D274" s="1" t="s">
        <v>643</v>
      </c>
      <c r="E274" s="3">
        <v>1511906</v>
      </c>
      <c r="F274" s="3">
        <v>381</v>
      </c>
      <c r="G274" s="3">
        <v>0</v>
      </c>
      <c r="H274" s="3">
        <v>4436</v>
      </c>
      <c r="I274" s="1">
        <v>0</v>
      </c>
      <c r="J274" s="3">
        <v>1511525</v>
      </c>
      <c r="K274" s="3">
        <v>1507089</v>
      </c>
      <c r="L274" s="3">
        <v>1507089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1167021</v>
      </c>
      <c r="T274" s="3">
        <v>1167021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150413</v>
      </c>
      <c r="Z274" s="3">
        <v>150413</v>
      </c>
      <c r="AA274" s="4">
        <v>150413</v>
      </c>
      <c r="AB274" s="4">
        <v>150413</v>
      </c>
      <c r="AC274" s="4">
        <v>150413</v>
      </c>
      <c r="AD274" s="4">
        <v>150412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755025</v>
      </c>
      <c r="AJ274" s="4">
        <v>905438</v>
      </c>
      <c r="AK274" s="4">
        <v>1055851</v>
      </c>
      <c r="AL274" s="4">
        <v>1206264</v>
      </c>
      <c r="AM274" s="4">
        <v>1356677</v>
      </c>
      <c r="AN274" s="4">
        <v>1507089</v>
      </c>
      <c r="AO274" s="150">
        <v>90159</v>
      </c>
    </row>
    <row r="275" spans="1:41" x14ac:dyDescent="0.2">
      <c r="A275" s="1">
        <v>2024</v>
      </c>
      <c r="B275" s="2" t="s">
        <v>299</v>
      </c>
      <c r="C275" s="2" t="s">
        <v>299</v>
      </c>
      <c r="D275" s="1" t="s">
        <v>644</v>
      </c>
      <c r="E275" s="3">
        <v>4081401</v>
      </c>
      <c r="F275" s="3">
        <v>498</v>
      </c>
      <c r="G275" s="3">
        <v>0</v>
      </c>
      <c r="H275" s="3">
        <v>13164</v>
      </c>
      <c r="I275" s="3">
        <v>26814</v>
      </c>
      <c r="J275" s="3">
        <v>4080903</v>
      </c>
      <c r="K275" s="3">
        <v>4067739</v>
      </c>
      <c r="L275" s="3">
        <v>4040925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3221560</v>
      </c>
      <c r="T275" s="3">
        <v>3194746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405897</v>
      </c>
      <c r="Z275" s="3">
        <v>405897</v>
      </c>
      <c r="AA275" s="4">
        <v>399193</v>
      </c>
      <c r="AB275" s="4">
        <v>399193</v>
      </c>
      <c r="AC275" s="4">
        <v>399193</v>
      </c>
      <c r="AD275" s="4">
        <v>399192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2038257</v>
      </c>
      <c r="AJ275" s="4">
        <v>2444154</v>
      </c>
      <c r="AK275" s="4">
        <v>2843347</v>
      </c>
      <c r="AL275" s="4">
        <v>3242540</v>
      </c>
      <c r="AM275" s="4">
        <v>3641733</v>
      </c>
      <c r="AN275" s="4">
        <v>4040925</v>
      </c>
      <c r="AO275" s="150">
        <v>291096</v>
      </c>
    </row>
    <row r="276" spans="1:41" x14ac:dyDescent="0.2">
      <c r="A276" s="1">
        <v>2024</v>
      </c>
      <c r="B276" s="2" t="s">
        <v>300</v>
      </c>
      <c r="C276" s="2" t="s">
        <v>300</v>
      </c>
      <c r="D276" s="1" t="s">
        <v>645</v>
      </c>
      <c r="E276" s="3">
        <v>22777776</v>
      </c>
      <c r="F276" s="3">
        <v>2770</v>
      </c>
      <c r="G276" s="3">
        <v>2441</v>
      </c>
      <c r="H276" s="3">
        <v>57010</v>
      </c>
      <c r="I276" s="1">
        <v>0</v>
      </c>
      <c r="J276" s="3">
        <v>22772565</v>
      </c>
      <c r="K276" s="3">
        <v>22715555</v>
      </c>
      <c r="L276" s="3">
        <v>22715555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19102738</v>
      </c>
      <c r="T276" s="3">
        <v>19102738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2267755</v>
      </c>
      <c r="Z276" s="3">
        <v>2267755</v>
      </c>
      <c r="AA276" s="4">
        <v>2267754</v>
      </c>
      <c r="AB276" s="4">
        <v>2267754</v>
      </c>
      <c r="AC276" s="4">
        <v>2267754</v>
      </c>
      <c r="AD276" s="4">
        <v>2267755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11376783</v>
      </c>
      <c r="AJ276" s="4">
        <v>13644538</v>
      </c>
      <c r="AK276" s="4">
        <v>15912292</v>
      </c>
      <c r="AL276" s="4">
        <v>18180046</v>
      </c>
      <c r="AM276" s="4">
        <v>20447800</v>
      </c>
      <c r="AN276" s="4">
        <v>22715555</v>
      </c>
      <c r="AO276" s="150">
        <v>1351736</v>
      </c>
    </row>
    <row r="277" spans="1:41" x14ac:dyDescent="0.2">
      <c r="A277" s="1">
        <v>2024</v>
      </c>
      <c r="B277" s="2" t="s">
        <v>301</v>
      </c>
      <c r="C277" s="2" t="s">
        <v>301</v>
      </c>
      <c r="D277" s="1" t="s">
        <v>646</v>
      </c>
      <c r="E277" s="3">
        <v>916889</v>
      </c>
      <c r="F277" s="3">
        <v>282</v>
      </c>
      <c r="G277" s="3">
        <v>0</v>
      </c>
      <c r="H277" s="3">
        <v>2990</v>
      </c>
      <c r="I277" s="3">
        <v>0</v>
      </c>
      <c r="J277" s="3">
        <v>916607</v>
      </c>
      <c r="K277" s="3">
        <v>913617</v>
      </c>
      <c r="L277" s="3">
        <v>913617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698097</v>
      </c>
      <c r="T277" s="3">
        <v>698097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91162</v>
      </c>
      <c r="Z277" s="3">
        <v>91162</v>
      </c>
      <c r="AA277" s="4">
        <v>91162</v>
      </c>
      <c r="AB277" s="4">
        <v>91162</v>
      </c>
      <c r="AC277" s="4">
        <v>91162</v>
      </c>
      <c r="AD277" s="4">
        <v>91163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457806</v>
      </c>
      <c r="AJ277" s="4">
        <v>548968</v>
      </c>
      <c r="AK277" s="4">
        <v>640130</v>
      </c>
      <c r="AL277" s="4">
        <v>731292</v>
      </c>
      <c r="AM277" s="4">
        <v>822454</v>
      </c>
      <c r="AN277" s="4">
        <v>913617</v>
      </c>
      <c r="AO277" s="150">
        <v>74890</v>
      </c>
    </row>
    <row r="278" spans="1:41" x14ac:dyDescent="0.2">
      <c r="A278" s="1">
        <v>2024</v>
      </c>
      <c r="B278" s="2" t="s">
        <v>302</v>
      </c>
      <c r="C278" s="2" t="s">
        <v>302</v>
      </c>
      <c r="D278" s="1" t="s">
        <v>647</v>
      </c>
      <c r="E278" s="3">
        <v>5519248</v>
      </c>
      <c r="F278" s="3">
        <v>813</v>
      </c>
      <c r="G278" s="3">
        <v>7576</v>
      </c>
      <c r="H278" s="3">
        <v>21329</v>
      </c>
      <c r="I278" s="1">
        <v>0</v>
      </c>
      <c r="J278" s="3">
        <v>5510859</v>
      </c>
      <c r="K278" s="3">
        <v>5489530</v>
      </c>
      <c r="L278" s="3">
        <v>5489530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4187341</v>
      </c>
      <c r="T278" s="3">
        <v>4187341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547531</v>
      </c>
      <c r="Z278" s="3">
        <v>547531</v>
      </c>
      <c r="AA278" s="4">
        <v>547531</v>
      </c>
      <c r="AB278" s="4">
        <v>547531</v>
      </c>
      <c r="AC278" s="4">
        <v>547531</v>
      </c>
      <c r="AD278" s="4">
        <v>547531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2751875</v>
      </c>
      <c r="AJ278" s="4">
        <v>3299406</v>
      </c>
      <c r="AK278" s="4">
        <v>3846937</v>
      </c>
      <c r="AL278" s="4">
        <v>4394468</v>
      </c>
      <c r="AM278" s="4">
        <v>4941999</v>
      </c>
      <c r="AN278" s="4">
        <v>5489530</v>
      </c>
      <c r="AO278" s="150">
        <v>456094</v>
      </c>
    </row>
    <row r="279" spans="1:41" x14ac:dyDescent="0.2">
      <c r="A279" s="1">
        <v>2024</v>
      </c>
      <c r="B279" s="2" t="s">
        <v>303</v>
      </c>
      <c r="C279" s="2" t="s">
        <v>303</v>
      </c>
      <c r="D279" s="1" t="s">
        <v>648</v>
      </c>
      <c r="E279" s="3">
        <v>5155548</v>
      </c>
      <c r="F279" s="3">
        <v>746</v>
      </c>
      <c r="G279" s="3">
        <v>0</v>
      </c>
      <c r="H279" s="3">
        <v>17330</v>
      </c>
      <c r="I279" s="1">
        <v>0</v>
      </c>
      <c r="J279" s="3">
        <v>5154802</v>
      </c>
      <c r="K279" s="3">
        <v>5137472</v>
      </c>
      <c r="L279" s="3">
        <v>5137472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4054630</v>
      </c>
      <c r="T279" s="3">
        <v>4054630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512592</v>
      </c>
      <c r="Z279" s="3">
        <v>512592</v>
      </c>
      <c r="AA279" s="4">
        <v>512592</v>
      </c>
      <c r="AB279" s="4">
        <v>512592</v>
      </c>
      <c r="AC279" s="4">
        <v>512592</v>
      </c>
      <c r="AD279" s="4">
        <v>512592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2574512</v>
      </c>
      <c r="AJ279" s="4">
        <v>3087104</v>
      </c>
      <c r="AK279" s="4">
        <v>3599696</v>
      </c>
      <c r="AL279" s="4">
        <v>4112288</v>
      </c>
      <c r="AM279" s="4">
        <v>4624880</v>
      </c>
      <c r="AN279" s="4">
        <v>5137472</v>
      </c>
      <c r="AO279" s="150">
        <v>380765</v>
      </c>
    </row>
    <row r="280" spans="1:41" x14ac:dyDescent="0.2">
      <c r="A280" s="1">
        <v>2024</v>
      </c>
      <c r="B280" s="2" t="s">
        <v>304</v>
      </c>
      <c r="C280" s="2" t="s">
        <v>304</v>
      </c>
      <c r="D280" s="1" t="s">
        <v>649</v>
      </c>
      <c r="E280" s="3">
        <v>5862492</v>
      </c>
      <c r="F280" s="1">
        <v>531</v>
      </c>
      <c r="G280" s="1">
        <v>0</v>
      </c>
      <c r="H280" s="3">
        <v>18661</v>
      </c>
      <c r="I280" s="1">
        <v>0</v>
      </c>
      <c r="J280" s="3">
        <v>5861961</v>
      </c>
      <c r="K280" s="3">
        <v>5843300</v>
      </c>
      <c r="L280" s="3">
        <v>5843300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4762119</v>
      </c>
      <c r="T280" s="3">
        <v>4762119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583086</v>
      </c>
      <c r="Z280" s="3">
        <v>583086</v>
      </c>
      <c r="AA280" s="4">
        <v>583086</v>
      </c>
      <c r="AB280" s="4">
        <v>583086</v>
      </c>
      <c r="AC280" s="4">
        <v>583086</v>
      </c>
      <c r="AD280" s="4">
        <v>583086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2927870</v>
      </c>
      <c r="AJ280" s="4">
        <v>3510956</v>
      </c>
      <c r="AK280" s="4">
        <v>4094042</v>
      </c>
      <c r="AL280" s="4">
        <v>4677128</v>
      </c>
      <c r="AM280" s="4">
        <v>5260214</v>
      </c>
      <c r="AN280" s="4">
        <v>5843300</v>
      </c>
      <c r="AO280" s="150">
        <v>412145</v>
      </c>
    </row>
    <row r="281" spans="1:41" x14ac:dyDescent="0.2">
      <c r="A281" s="1">
        <v>2024</v>
      </c>
      <c r="B281" s="2" t="s">
        <v>305</v>
      </c>
      <c r="C281" s="2" t="s">
        <v>305</v>
      </c>
      <c r="D281" s="1" t="s">
        <v>650</v>
      </c>
      <c r="E281" s="3">
        <v>3413548</v>
      </c>
      <c r="F281" s="3">
        <v>0</v>
      </c>
      <c r="G281" s="3">
        <v>0</v>
      </c>
      <c r="H281" s="3">
        <v>12953</v>
      </c>
      <c r="I281" s="3">
        <v>0</v>
      </c>
      <c r="J281" s="3">
        <v>3413548</v>
      </c>
      <c r="K281" s="3">
        <v>3400595</v>
      </c>
      <c r="L281" s="3">
        <v>3400595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2725190</v>
      </c>
      <c r="T281" s="3">
        <v>2725190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339196</v>
      </c>
      <c r="Z281" s="3">
        <v>339196</v>
      </c>
      <c r="AA281" s="4">
        <v>339196</v>
      </c>
      <c r="AB281" s="4">
        <v>339196</v>
      </c>
      <c r="AC281" s="4">
        <v>339196</v>
      </c>
      <c r="AD281" s="4">
        <v>339195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1704616</v>
      </c>
      <c r="AJ281" s="4">
        <v>2043812</v>
      </c>
      <c r="AK281" s="4">
        <v>2383008</v>
      </c>
      <c r="AL281" s="4">
        <v>2722204</v>
      </c>
      <c r="AM281" s="4">
        <v>3061400</v>
      </c>
      <c r="AN281" s="4">
        <v>3400595</v>
      </c>
      <c r="AO281" s="150">
        <v>279992</v>
      </c>
    </row>
    <row r="282" spans="1:41" x14ac:dyDescent="0.2">
      <c r="A282" s="1">
        <v>2024</v>
      </c>
      <c r="B282" s="2" t="s">
        <v>306</v>
      </c>
      <c r="C282" s="2" t="s">
        <v>306</v>
      </c>
      <c r="D282" s="1" t="s">
        <v>651</v>
      </c>
      <c r="E282" s="3">
        <v>4561277</v>
      </c>
      <c r="F282" s="1">
        <v>697</v>
      </c>
      <c r="G282" s="1">
        <v>0</v>
      </c>
      <c r="H282" s="3">
        <v>14774</v>
      </c>
      <c r="I282" s="1">
        <v>0</v>
      </c>
      <c r="J282" s="3">
        <v>4560580</v>
      </c>
      <c r="K282" s="3">
        <v>4545806</v>
      </c>
      <c r="L282" s="3">
        <v>4545806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3615558</v>
      </c>
      <c r="T282" s="3">
        <v>3615558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453596</v>
      </c>
      <c r="Z282" s="3">
        <v>453596</v>
      </c>
      <c r="AA282" s="4">
        <v>453596</v>
      </c>
      <c r="AB282" s="4">
        <v>453596</v>
      </c>
      <c r="AC282" s="4">
        <v>453596</v>
      </c>
      <c r="AD282" s="4">
        <v>453594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2277828</v>
      </c>
      <c r="AJ282" s="4">
        <v>2731424</v>
      </c>
      <c r="AK282" s="4">
        <v>3185020</v>
      </c>
      <c r="AL282" s="4">
        <v>3638616</v>
      </c>
      <c r="AM282" s="4">
        <v>4092212</v>
      </c>
      <c r="AN282" s="4">
        <v>4545806</v>
      </c>
      <c r="AO282" s="150">
        <v>313968</v>
      </c>
    </row>
    <row r="283" spans="1:41" x14ac:dyDescent="0.2">
      <c r="A283" s="1">
        <v>2024</v>
      </c>
      <c r="B283" s="2" t="s">
        <v>307</v>
      </c>
      <c r="C283" s="2" t="s">
        <v>307</v>
      </c>
      <c r="D283" s="1" t="s">
        <v>652</v>
      </c>
      <c r="E283" s="3">
        <v>1784212</v>
      </c>
      <c r="F283" s="3">
        <v>216</v>
      </c>
      <c r="G283" s="3">
        <v>0</v>
      </c>
      <c r="H283" s="3">
        <v>5985</v>
      </c>
      <c r="I283" s="1">
        <v>0</v>
      </c>
      <c r="J283" s="3">
        <v>1783996</v>
      </c>
      <c r="K283" s="3">
        <v>1778011</v>
      </c>
      <c r="L283" s="3">
        <v>1778011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1390396</v>
      </c>
      <c r="T283" s="3">
        <v>1390396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177402</v>
      </c>
      <c r="Z283" s="3">
        <v>177402</v>
      </c>
      <c r="AA283" s="4">
        <v>177402</v>
      </c>
      <c r="AB283" s="4">
        <v>177402</v>
      </c>
      <c r="AC283" s="4">
        <v>177402</v>
      </c>
      <c r="AD283" s="4">
        <v>177401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891002</v>
      </c>
      <c r="AJ283" s="4">
        <v>1068404</v>
      </c>
      <c r="AK283" s="4">
        <v>1245806</v>
      </c>
      <c r="AL283" s="4">
        <v>1423208</v>
      </c>
      <c r="AM283" s="4">
        <v>1600610</v>
      </c>
      <c r="AN283" s="4">
        <v>1778011</v>
      </c>
      <c r="AO283" s="150">
        <v>122597</v>
      </c>
    </row>
    <row r="284" spans="1:41" x14ac:dyDescent="0.2">
      <c r="A284" s="1">
        <v>2024</v>
      </c>
      <c r="B284" s="2" t="s">
        <v>308</v>
      </c>
      <c r="C284" s="2" t="s">
        <v>308</v>
      </c>
      <c r="D284" s="1" t="s">
        <v>653</v>
      </c>
      <c r="E284" s="3">
        <v>2781528</v>
      </c>
      <c r="F284" s="1">
        <v>0</v>
      </c>
      <c r="G284" s="1">
        <v>0</v>
      </c>
      <c r="H284" s="3">
        <v>8573</v>
      </c>
      <c r="I284" s="1">
        <v>0</v>
      </c>
      <c r="J284" s="3">
        <v>2781528</v>
      </c>
      <c r="K284" s="3">
        <v>2772955</v>
      </c>
      <c r="L284" s="3">
        <v>2772955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2306194</v>
      </c>
      <c r="T284" s="3">
        <v>2306194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276724</v>
      </c>
      <c r="Z284" s="3">
        <v>276724</v>
      </c>
      <c r="AA284" s="4">
        <v>276724</v>
      </c>
      <c r="AB284" s="4">
        <v>276724</v>
      </c>
      <c r="AC284" s="4">
        <v>276724</v>
      </c>
      <c r="AD284" s="4">
        <v>276723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1389336</v>
      </c>
      <c r="AJ284" s="4">
        <v>1666060</v>
      </c>
      <c r="AK284" s="4">
        <v>1942784</v>
      </c>
      <c r="AL284" s="4">
        <v>2219508</v>
      </c>
      <c r="AM284" s="4">
        <v>2496232</v>
      </c>
      <c r="AN284" s="4">
        <v>2772955</v>
      </c>
      <c r="AO284" s="150">
        <v>193878</v>
      </c>
    </row>
    <row r="285" spans="1:41" x14ac:dyDescent="0.2">
      <c r="A285" s="1">
        <v>2024</v>
      </c>
      <c r="B285" s="2" t="s">
        <v>309</v>
      </c>
      <c r="C285" s="2" t="s">
        <v>309</v>
      </c>
      <c r="D285" s="1" t="s">
        <v>654</v>
      </c>
      <c r="E285" s="3">
        <v>2222419</v>
      </c>
      <c r="F285" s="1">
        <v>547</v>
      </c>
      <c r="G285" s="1">
        <v>0</v>
      </c>
      <c r="H285" s="3">
        <v>7989</v>
      </c>
      <c r="I285" s="3">
        <v>0</v>
      </c>
      <c r="J285" s="3">
        <v>2221872</v>
      </c>
      <c r="K285" s="3">
        <v>2213883</v>
      </c>
      <c r="L285" s="3">
        <v>2213883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1658700</v>
      </c>
      <c r="T285" s="3">
        <v>1658700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220856</v>
      </c>
      <c r="Z285" s="3">
        <v>220856</v>
      </c>
      <c r="AA285" s="4">
        <v>220856</v>
      </c>
      <c r="AB285" s="4">
        <v>220856</v>
      </c>
      <c r="AC285" s="4">
        <v>220856</v>
      </c>
      <c r="AD285" s="4">
        <v>220855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1109604</v>
      </c>
      <c r="AJ285" s="4">
        <v>1330460</v>
      </c>
      <c r="AK285" s="4">
        <v>1551316</v>
      </c>
      <c r="AL285" s="4">
        <v>1772172</v>
      </c>
      <c r="AM285" s="4">
        <v>1993028</v>
      </c>
      <c r="AN285" s="4">
        <v>2213883</v>
      </c>
      <c r="AO285" s="150">
        <v>177239</v>
      </c>
    </row>
    <row r="286" spans="1:41" x14ac:dyDescent="0.2">
      <c r="A286" s="1">
        <v>2024</v>
      </c>
      <c r="B286" s="2" t="s">
        <v>310</v>
      </c>
      <c r="C286" s="2" t="s">
        <v>310</v>
      </c>
      <c r="D286" s="1" t="s">
        <v>655</v>
      </c>
      <c r="E286" s="3">
        <v>2559024</v>
      </c>
      <c r="F286" s="1">
        <v>232</v>
      </c>
      <c r="G286" s="1">
        <v>0</v>
      </c>
      <c r="H286" s="3">
        <v>7273</v>
      </c>
      <c r="I286" s="1">
        <v>0</v>
      </c>
      <c r="J286" s="3">
        <v>2558792</v>
      </c>
      <c r="K286" s="3">
        <v>2551519</v>
      </c>
      <c r="L286" s="3">
        <v>2551519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2097671</v>
      </c>
      <c r="T286" s="3">
        <v>2097671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254667</v>
      </c>
      <c r="Z286" s="3">
        <v>254667</v>
      </c>
      <c r="AA286" s="4">
        <v>254667</v>
      </c>
      <c r="AB286" s="4">
        <v>254667</v>
      </c>
      <c r="AC286" s="4">
        <v>254667</v>
      </c>
      <c r="AD286" s="4">
        <v>254668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1278183</v>
      </c>
      <c r="AJ286" s="4">
        <v>1532850</v>
      </c>
      <c r="AK286" s="4">
        <v>1787517</v>
      </c>
      <c r="AL286" s="4">
        <v>2042184</v>
      </c>
      <c r="AM286" s="4">
        <v>2296851</v>
      </c>
      <c r="AN286" s="4">
        <v>2551519</v>
      </c>
      <c r="AO286" s="150">
        <v>156743</v>
      </c>
    </row>
    <row r="287" spans="1:41" x14ac:dyDescent="0.2">
      <c r="A287" s="1">
        <v>2024</v>
      </c>
      <c r="B287" s="2" t="s">
        <v>311</v>
      </c>
      <c r="C287" s="2" t="s">
        <v>311</v>
      </c>
      <c r="D287" s="1" t="s">
        <v>656</v>
      </c>
      <c r="E287" s="3">
        <v>809823</v>
      </c>
      <c r="F287" s="1">
        <v>33</v>
      </c>
      <c r="G287" s="1">
        <v>0</v>
      </c>
      <c r="H287" s="3">
        <v>3603</v>
      </c>
      <c r="I287" s="1">
        <v>0</v>
      </c>
      <c r="J287" s="3">
        <v>809790</v>
      </c>
      <c r="K287" s="3">
        <v>806187</v>
      </c>
      <c r="L287" s="3">
        <v>806187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599265</v>
      </c>
      <c r="T287" s="3">
        <v>599265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80379</v>
      </c>
      <c r="Z287" s="3">
        <v>80379</v>
      </c>
      <c r="AA287" s="4">
        <v>80378</v>
      </c>
      <c r="AB287" s="4">
        <v>80378</v>
      </c>
      <c r="AC287" s="4">
        <v>80378</v>
      </c>
      <c r="AD287" s="4">
        <v>80379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404295</v>
      </c>
      <c r="AJ287" s="4">
        <v>484674</v>
      </c>
      <c r="AK287" s="4">
        <v>565052</v>
      </c>
      <c r="AL287" s="4">
        <v>645430</v>
      </c>
      <c r="AM287" s="4">
        <v>725808</v>
      </c>
      <c r="AN287" s="4">
        <v>806187</v>
      </c>
      <c r="AO287" s="150">
        <v>82151</v>
      </c>
    </row>
    <row r="288" spans="1:41" x14ac:dyDescent="0.2">
      <c r="A288" s="1">
        <v>2024</v>
      </c>
      <c r="B288" s="2" t="s">
        <v>312</v>
      </c>
      <c r="C288" s="2" t="s">
        <v>312</v>
      </c>
      <c r="D288" s="1" t="s">
        <v>657</v>
      </c>
      <c r="E288" s="3">
        <v>5146379</v>
      </c>
      <c r="F288" s="1">
        <v>580</v>
      </c>
      <c r="G288" s="1">
        <v>0</v>
      </c>
      <c r="H288" s="3">
        <v>17220</v>
      </c>
      <c r="I288" s="1">
        <v>0</v>
      </c>
      <c r="J288" s="3">
        <v>5145799</v>
      </c>
      <c r="K288" s="3">
        <v>5128579</v>
      </c>
      <c r="L288" s="3">
        <v>5128579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4128996</v>
      </c>
      <c r="T288" s="3">
        <v>4128996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511710</v>
      </c>
      <c r="Z288" s="3">
        <v>511710</v>
      </c>
      <c r="AA288" s="4">
        <v>511710</v>
      </c>
      <c r="AB288" s="4">
        <v>511710</v>
      </c>
      <c r="AC288" s="4">
        <v>511710</v>
      </c>
      <c r="AD288" s="4">
        <v>511709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2570030</v>
      </c>
      <c r="AJ288" s="4">
        <v>3081740</v>
      </c>
      <c r="AK288" s="4">
        <v>3593450</v>
      </c>
      <c r="AL288" s="4">
        <v>4105160</v>
      </c>
      <c r="AM288" s="4">
        <v>4616870</v>
      </c>
      <c r="AN288" s="4">
        <v>5128579</v>
      </c>
      <c r="AO288" s="150">
        <v>376121</v>
      </c>
    </row>
    <row r="289" spans="1:41" x14ac:dyDescent="0.2">
      <c r="A289" s="1">
        <v>2024</v>
      </c>
      <c r="B289" s="2" t="s">
        <v>313</v>
      </c>
      <c r="C289" s="2" t="s">
        <v>313</v>
      </c>
      <c r="D289" s="1" t="s">
        <v>658</v>
      </c>
      <c r="E289" s="3">
        <v>1633564</v>
      </c>
      <c r="F289" s="1">
        <v>879</v>
      </c>
      <c r="G289" s="1">
        <v>0</v>
      </c>
      <c r="H289" s="3">
        <v>8690</v>
      </c>
      <c r="I289" s="1">
        <v>0</v>
      </c>
      <c r="J289" s="3">
        <v>1632685</v>
      </c>
      <c r="K289" s="3">
        <v>1623995</v>
      </c>
      <c r="L289" s="3">
        <v>1623995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1007553</v>
      </c>
      <c r="T289" s="3">
        <v>1007553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161820</v>
      </c>
      <c r="Z289" s="3">
        <v>161820</v>
      </c>
      <c r="AA289" s="4">
        <v>161820</v>
      </c>
      <c r="AB289" s="4">
        <v>161820</v>
      </c>
      <c r="AC289" s="4">
        <v>161820</v>
      </c>
      <c r="AD289" s="4">
        <v>161819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814896</v>
      </c>
      <c r="AJ289" s="4">
        <v>976716</v>
      </c>
      <c r="AK289" s="4">
        <v>1138536</v>
      </c>
      <c r="AL289" s="4">
        <v>1300356</v>
      </c>
      <c r="AM289" s="4">
        <v>1462176</v>
      </c>
      <c r="AN289" s="4">
        <v>1623995</v>
      </c>
      <c r="AO289" s="150">
        <v>177078</v>
      </c>
    </row>
    <row r="290" spans="1:41" x14ac:dyDescent="0.2">
      <c r="A290" s="1">
        <v>2024</v>
      </c>
      <c r="B290" s="2" t="s">
        <v>314</v>
      </c>
      <c r="C290" s="2" t="s">
        <v>314</v>
      </c>
      <c r="D290" s="1" t="s">
        <v>659</v>
      </c>
      <c r="E290" s="3">
        <v>23744162</v>
      </c>
      <c r="F290" s="3">
        <v>3251</v>
      </c>
      <c r="G290" s="3">
        <v>41710</v>
      </c>
      <c r="H290" s="3">
        <v>77643</v>
      </c>
      <c r="I290" s="1">
        <v>0</v>
      </c>
      <c r="J290" s="3">
        <v>23699201</v>
      </c>
      <c r="K290" s="3">
        <v>23621558</v>
      </c>
      <c r="L290" s="3">
        <v>23621558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18788061</v>
      </c>
      <c r="T290" s="3">
        <v>18788061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2356980</v>
      </c>
      <c r="Z290" s="3">
        <v>2356980</v>
      </c>
      <c r="AA290" s="4">
        <v>2356980</v>
      </c>
      <c r="AB290" s="4">
        <v>2356980</v>
      </c>
      <c r="AC290" s="4">
        <v>2356980</v>
      </c>
      <c r="AD290" s="4">
        <v>2356978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11836660</v>
      </c>
      <c r="AJ290" s="4">
        <v>14193640</v>
      </c>
      <c r="AK290" s="4">
        <v>16550620</v>
      </c>
      <c r="AL290" s="4">
        <v>18907600</v>
      </c>
      <c r="AM290" s="4">
        <v>21264580</v>
      </c>
      <c r="AN290" s="4">
        <v>23621558</v>
      </c>
      <c r="AO290" s="150">
        <v>1714409</v>
      </c>
    </row>
    <row r="291" spans="1:41" x14ac:dyDescent="0.2">
      <c r="A291" s="1">
        <v>2024</v>
      </c>
      <c r="B291" s="2" t="s">
        <v>316</v>
      </c>
      <c r="C291" s="2" t="s">
        <v>316</v>
      </c>
      <c r="D291" s="1" t="s">
        <v>804</v>
      </c>
      <c r="E291" s="3">
        <v>6287372</v>
      </c>
      <c r="F291" s="3">
        <v>929</v>
      </c>
      <c r="G291" s="3">
        <v>37880</v>
      </c>
      <c r="H291" s="3">
        <v>21777</v>
      </c>
      <c r="I291" s="3">
        <v>0</v>
      </c>
      <c r="J291" s="3">
        <v>6248563</v>
      </c>
      <c r="K291" s="3">
        <v>6226786</v>
      </c>
      <c r="L291" s="3">
        <v>6226786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4884546</v>
      </c>
      <c r="T291" s="3">
        <v>4884546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621227</v>
      </c>
      <c r="Z291" s="3">
        <v>621227</v>
      </c>
      <c r="AA291" s="4">
        <v>621227</v>
      </c>
      <c r="AB291" s="4">
        <v>621227</v>
      </c>
      <c r="AC291" s="4">
        <v>621227</v>
      </c>
      <c r="AD291" s="4">
        <v>621227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3120651</v>
      </c>
      <c r="AJ291" s="4">
        <v>3741878</v>
      </c>
      <c r="AK291" s="4">
        <v>4363105</v>
      </c>
      <c r="AL291" s="4">
        <v>4984332</v>
      </c>
      <c r="AM291" s="4">
        <v>5605559</v>
      </c>
      <c r="AN291" s="4">
        <v>6226786</v>
      </c>
      <c r="AO291" s="150">
        <v>456069</v>
      </c>
    </row>
    <row r="292" spans="1:41" x14ac:dyDescent="0.2">
      <c r="A292" s="1">
        <v>2024</v>
      </c>
      <c r="B292" s="2" t="s">
        <v>317</v>
      </c>
      <c r="C292" s="2" t="s">
        <v>317</v>
      </c>
      <c r="D292" s="1" t="s">
        <v>660</v>
      </c>
      <c r="E292" s="3">
        <v>5989515</v>
      </c>
      <c r="F292" s="3">
        <v>829</v>
      </c>
      <c r="G292" s="3">
        <v>1894</v>
      </c>
      <c r="H292" s="3">
        <v>20143</v>
      </c>
      <c r="I292" s="1">
        <v>0</v>
      </c>
      <c r="J292" s="3">
        <v>5986792</v>
      </c>
      <c r="K292" s="3">
        <v>5966649</v>
      </c>
      <c r="L292" s="3">
        <v>5966649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4716101</v>
      </c>
      <c r="T292" s="3">
        <v>4716101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595322</v>
      </c>
      <c r="Z292" s="3">
        <v>595322</v>
      </c>
      <c r="AA292" s="4">
        <v>595322</v>
      </c>
      <c r="AB292" s="4">
        <v>595322</v>
      </c>
      <c r="AC292" s="4">
        <v>595322</v>
      </c>
      <c r="AD292" s="4">
        <v>595323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2990038</v>
      </c>
      <c r="AJ292" s="4">
        <v>3585360</v>
      </c>
      <c r="AK292" s="4">
        <v>4180682</v>
      </c>
      <c r="AL292" s="4">
        <v>4776004</v>
      </c>
      <c r="AM292" s="4">
        <v>5371326</v>
      </c>
      <c r="AN292" s="4">
        <v>5966649</v>
      </c>
      <c r="AO292" s="150">
        <v>429010</v>
      </c>
    </row>
    <row r="293" spans="1:41" x14ac:dyDescent="0.2">
      <c r="A293" s="1">
        <v>2024</v>
      </c>
      <c r="B293" s="2" t="s">
        <v>318</v>
      </c>
      <c r="C293" s="2" t="s">
        <v>318</v>
      </c>
      <c r="D293" s="1" t="s">
        <v>661</v>
      </c>
      <c r="E293" s="3">
        <v>2088381</v>
      </c>
      <c r="F293" s="3">
        <v>265</v>
      </c>
      <c r="G293" s="3">
        <v>0</v>
      </c>
      <c r="H293" s="3">
        <v>7005</v>
      </c>
      <c r="I293" s="1">
        <v>0</v>
      </c>
      <c r="J293" s="3">
        <v>2088116</v>
      </c>
      <c r="K293" s="3">
        <v>2081111</v>
      </c>
      <c r="L293" s="3">
        <v>2081111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1649673</v>
      </c>
      <c r="T293" s="3">
        <v>1649673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207644</v>
      </c>
      <c r="Z293" s="3">
        <v>207644</v>
      </c>
      <c r="AA293" s="4">
        <v>207644</v>
      </c>
      <c r="AB293" s="4">
        <v>207644</v>
      </c>
      <c r="AC293" s="4">
        <v>207644</v>
      </c>
      <c r="AD293" s="4">
        <v>207643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1042892</v>
      </c>
      <c r="AJ293" s="4">
        <v>1250536</v>
      </c>
      <c r="AK293" s="4">
        <v>1458180</v>
      </c>
      <c r="AL293" s="4">
        <v>1665824</v>
      </c>
      <c r="AM293" s="4">
        <v>1873468</v>
      </c>
      <c r="AN293" s="4">
        <v>2081111</v>
      </c>
      <c r="AO293" s="150">
        <v>144305</v>
      </c>
    </row>
    <row r="294" spans="1:41" x14ac:dyDescent="0.2">
      <c r="A294" s="1">
        <v>2024</v>
      </c>
      <c r="B294" s="2" t="s">
        <v>319</v>
      </c>
      <c r="C294" s="2" t="s">
        <v>319</v>
      </c>
      <c r="D294" s="1" t="s">
        <v>662</v>
      </c>
      <c r="E294" s="3">
        <v>11755048</v>
      </c>
      <c r="F294" s="3">
        <v>1426</v>
      </c>
      <c r="G294" s="3">
        <v>1641</v>
      </c>
      <c r="H294" s="3">
        <v>36513</v>
      </c>
      <c r="I294" s="1">
        <v>0</v>
      </c>
      <c r="J294" s="3">
        <v>11751981</v>
      </c>
      <c r="K294" s="3">
        <v>11715468</v>
      </c>
      <c r="L294" s="3">
        <v>11715468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9449697</v>
      </c>
      <c r="T294" s="3">
        <v>9449697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1169113</v>
      </c>
      <c r="Z294" s="3">
        <v>1169113</v>
      </c>
      <c r="AA294" s="4">
        <v>1169113</v>
      </c>
      <c r="AB294" s="4">
        <v>1169113</v>
      </c>
      <c r="AC294" s="4">
        <v>1169113</v>
      </c>
      <c r="AD294" s="4">
        <v>1169111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5869905</v>
      </c>
      <c r="AJ294" s="4">
        <v>7039018</v>
      </c>
      <c r="AK294" s="4">
        <v>8208131</v>
      </c>
      <c r="AL294" s="4">
        <v>9377244</v>
      </c>
      <c r="AM294" s="4">
        <v>10546357</v>
      </c>
      <c r="AN294" s="4">
        <v>11715468</v>
      </c>
      <c r="AO294" s="150">
        <v>779231</v>
      </c>
    </row>
    <row r="295" spans="1:41" x14ac:dyDescent="0.2">
      <c r="A295" s="1">
        <v>2024</v>
      </c>
      <c r="B295" s="2" t="s">
        <v>320</v>
      </c>
      <c r="C295" s="2" t="s">
        <v>320</v>
      </c>
      <c r="D295" s="1" t="s">
        <v>663</v>
      </c>
      <c r="E295" s="3">
        <v>3781183</v>
      </c>
      <c r="F295" s="3">
        <v>514</v>
      </c>
      <c r="G295" s="3">
        <v>0</v>
      </c>
      <c r="H295" s="3">
        <v>11020</v>
      </c>
      <c r="I295" s="1">
        <v>0</v>
      </c>
      <c r="J295" s="3">
        <v>3780669</v>
      </c>
      <c r="K295" s="3">
        <v>3769649</v>
      </c>
      <c r="L295" s="3">
        <v>3769649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3038170</v>
      </c>
      <c r="T295" s="3">
        <v>3038170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376230</v>
      </c>
      <c r="Z295" s="3">
        <v>376230</v>
      </c>
      <c r="AA295" s="4">
        <v>376230</v>
      </c>
      <c r="AB295" s="4">
        <v>376230</v>
      </c>
      <c r="AC295" s="4">
        <v>376230</v>
      </c>
      <c r="AD295" s="4">
        <v>376231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1888498</v>
      </c>
      <c r="AJ295" s="4">
        <v>2264728</v>
      </c>
      <c r="AK295" s="4">
        <v>2640958</v>
      </c>
      <c r="AL295" s="4">
        <v>3017188</v>
      </c>
      <c r="AM295" s="4">
        <v>3393418</v>
      </c>
      <c r="AN295" s="4">
        <v>3769649</v>
      </c>
      <c r="AO295" s="150">
        <v>236491</v>
      </c>
    </row>
    <row r="296" spans="1:41" x14ac:dyDescent="0.2">
      <c r="A296" s="1">
        <v>2024</v>
      </c>
      <c r="B296" s="2" t="s">
        <v>321</v>
      </c>
      <c r="C296" s="2" t="s">
        <v>321</v>
      </c>
      <c r="D296" s="1" t="s">
        <v>664</v>
      </c>
      <c r="E296" s="3">
        <v>5137221</v>
      </c>
      <c r="F296" s="3">
        <v>580</v>
      </c>
      <c r="G296" s="3">
        <v>0</v>
      </c>
      <c r="H296" s="3">
        <v>18814</v>
      </c>
      <c r="I296" s="1">
        <v>0</v>
      </c>
      <c r="J296" s="3">
        <v>5136641</v>
      </c>
      <c r="K296" s="3">
        <v>5117827</v>
      </c>
      <c r="L296" s="3">
        <v>5117827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3972358</v>
      </c>
      <c r="T296" s="3">
        <v>3972358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510529</v>
      </c>
      <c r="Z296" s="3">
        <v>510529</v>
      </c>
      <c r="AA296" s="4">
        <v>510528</v>
      </c>
      <c r="AB296" s="4">
        <v>510528</v>
      </c>
      <c r="AC296" s="4">
        <v>510528</v>
      </c>
      <c r="AD296" s="4">
        <v>510529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2565185</v>
      </c>
      <c r="AJ296" s="4">
        <v>3075714</v>
      </c>
      <c r="AK296" s="4">
        <v>3586242</v>
      </c>
      <c r="AL296" s="4">
        <v>4096770</v>
      </c>
      <c r="AM296" s="4">
        <v>4607298</v>
      </c>
      <c r="AN296" s="4">
        <v>5117827</v>
      </c>
      <c r="AO296" s="150">
        <v>414842</v>
      </c>
    </row>
    <row r="297" spans="1:41" x14ac:dyDescent="0.2">
      <c r="A297" s="1">
        <v>2024</v>
      </c>
      <c r="B297" s="2" t="s">
        <v>322</v>
      </c>
      <c r="C297" s="2" t="s">
        <v>322</v>
      </c>
      <c r="D297" s="1" t="s">
        <v>665</v>
      </c>
      <c r="E297" s="3">
        <v>3743617</v>
      </c>
      <c r="F297" s="3">
        <v>431</v>
      </c>
      <c r="G297" s="3">
        <v>0</v>
      </c>
      <c r="H297" s="3">
        <v>12034</v>
      </c>
      <c r="I297" s="1">
        <v>0</v>
      </c>
      <c r="J297" s="3">
        <v>3743186</v>
      </c>
      <c r="K297" s="3">
        <v>3731152</v>
      </c>
      <c r="L297" s="3">
        <v>3731152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2982471</v>
      </c>
      <c r="T297" s="3">
        <v>2982471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372313</v>
      </c>
      <c r="Z297" s="3">
        <v>372313</v>
      </c>
      <c r="AA297" s="4">
        <v>372313</v>
      </c>
      <c r="AB297" s="4">
        <v>372313</v>
      </c>
      <c r="AC297" s="4">
        <v>372313</v>
      </c>
      <c r="AD297" s="4">
        <v>372311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1869589</v>
      </c>
      <c r="AJ297" s="4">
        <v>2241902</v>
      </c>
      <c r="AK297" s="4">
        <v>2614215</v>
      </c>
      <c r="AL297" s="4">
        <v>2986528</v>
      </c>
      <c r="AM297" s="4">
        <v>3358841</v>
      </c>
      <c r="AN297" s="4">
        <v>3731152</v>
      </c>
      <c r="AO297" s="150">
        <v>275810</v>
      </c>
    </row>
    <row r="298" spans="1:41" x14ac:dyDescent="0.2">
      <c r="A298" s="1">
        <v>2024</v>
      </c>
      <c r="B298" s="2" t="s">
        <v>323</v>
      </c>
      <c r="C298" s="2" t="s">
        <v>323</v>
      </c>
      <c r="D298" s="1" t="s">
        <v>666</v>
      </c>
      <c r="E298" s="3">
        <v>4802033</v>
      </c>
      <c r="F298" s="3">
        <v>763</v>
      </c>
      <c r="G298" s="3">
        <v>0</v>
      </c>
      <c r="H298" s="3">
        <v>14810</v>
      </c>
      <c r="I298" s="3">
        <v>0</v>
      </c>
      <c r="J298" s="3">
        <v>4801270</v>
      </c>
      <c r="K298" s="3">
        <v>4786460</v>
      </c>
      <c r="L298" s="3">
        <v>4786460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3805771</v>
      </c>
      <c r="T298" s="3">
        <v>3805771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477659</v>
      </c>
      <c r="Z298" s="3">
        <v>477659</v>
      </c>
      <c r="AA298" s="4">
        <v>477659</v>
      </c>
      <c r="AB298" s="4">
        <v>477659</v>
      </c>
      <c r="AC298" s="4">
        <v>477659</v>
      </c>
      <c r="AD298" s="4">
        <v>477657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2398167</v>
      </c>
      <c r="AJ298" s="4">
        <v>2875826</v>
      </c>
      <c r="AK298" s="4">
        <v>3353485</v>
      </c>
      <c r="AL298" s="4">
        <v>3831144</v>
      </c>
      <c r="AM298" s="4">
        <v>4308803</v>
      </c>
      <c r="AN298" s="4">
        <v>4786460</v>
      </c>
      <c r="AO298" s="150">
        <v>330464</v>
      </c>
    </row>
    <row r="299" spans="1:41" x14ac:dyDescent="0.2">
      <c r="A299" s="1">
        <v>2024</v>
      </c>
      <c r="B299" s="2" t="s">
        <v>324</v>
      </c>
      <c r="C299" s="2" t="s">
        <v>324</v>
      </c>
      <c r="D299" s="1" t="s">
        <v>667</v>
      </c>
      <c r="E299" s="3">
        <v>12475282</v>
      </c>
      <c r="F299" s="3">
        <v>1443</v>
      </c>
      <c r="G299" s="3">
        <v>9638</v>
      </c>
      <c r="H299" s="3">
        <v>36615</v>
      </c>
      <c r="I299" s="1">
        <v>0</v>
      </c>
      <c r="J299" s="3">
        <v>12464201</v>
      </c>
      <c r="K299" s="3">
        <v>12427586</v>
      </c>
      <c r="L299" s="3">
        <v>12427586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10179299</v>
      </c>
      <c r="T299" s="3">
        <v>10179299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1240318</v>
      </c>
      <c r="Z299" s="3">
        <v>1240318</v>
      </c>
      <c r="AA299" s="4">
        <v>1240318</v>
      </c>
      <c r="AB299" s="4">
        <v>1240318</v>
      </c>
      <c r="AC299" s="4">
        <v>1240318</v>
      </c>
      <c r="AD299" s="4">
        <v>1240316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6225998</v>
      </c>
      <c r="AJ299" s="4">
        <v>7466316</v>
      </c>
      <c r="AK299" s="4">
        <v>8706634</v>
      </c>
      <c r="AL299" s="4">
        <v>9946952</v>
      </c>
      <c r="AM299" s="4">
        <v>11187270</v>
      </c>
      <c r="AN299" s="4">
        <v>12427586</v>
      </c>
      <c r="AO299" s="150">
        <v>794920</v>
      </c>
    </row>
    <row r="300" spans="1:41" x14ac:dyDescent="0.2">
      <c r="A300" s="1">
        <v>2024</v>
      </c>
      <c r="B300" s="2" t="s">
        <v>325</v>
      </c>
      <c r="C300" s="2" t="s">
        <v>325</v>
      </c>
      <c r="D300" s="1" t="s">
        <v>668</v>
      </c>
      <c r="E300" s="3">
        <v>92884716</v>
      </c>
      <c r="F300" s="3">
        <v>8359</v>
      </c>
      <c r="G300" s="3">
        <v>13763</v>
      </c>
      <c r="H300" s="3">
        <v>240322</v>
      </c>
      <c r="I300" s="1">
        <v>0</v>
      </c>
      <c r="J300" s="3">
        <v>92862594</v>
      </c>
      <c r="K300" s="3">
        <v>92622272</v>
      </c>
      <c r="L300" s="3">
        <v>92622272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78194087</v>
      </c>
      <c r="T300" s="3">
        <v>78194087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9246206</v>
      </c>
      <c r="Z300" s="3">
        <v>9246206</v>
      </c>
      <c r="AA300" s="4">
        <v>9246206</v>
      </c>
      <c r="AB300" s="4">
        <v>9246206</v>
      </c>
      <c r="AC300" s="4">
        <v>9246206</v>
      </c>
      <c r="AD300" s="4">
        <v>9246206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46391242</v>
      </c>
      <c r="AJ300" s="4">
        <v>55637448</v>
      </c>
      <c r="AK300" s="4">
        <v>64883654</v>
      </c>
      <c r="AL300" s="4">
        <v>74129860</v>
      </c>
      <c r="AM300" s="4">
        <v>83376066</v>
      </c>
      <c r="AN300" s="4">
        <v>92622272</v>
      </c>
      <c r="AO300" s="150">
        <v>5826481</v>
      </c>
    </row>
    <row r="301" spans="1:41" x14ac:dyDescent="0.2">
      <c r="A301" s="1">
        <v>2024</v>
      </c>
      <c r="B301" s="2" t="s">
        <v>326</v>
      </c>
      <c r="C301" s="2" t="s">
        <v>326</v>
      </c>
      <c r="D301" s="1" t="s">
        <v>669</v>
      </c>
      <c r="E301" s="3">
        <v>83027163</v>
      </c>
      <c r="F301" s="3">
        <v>3649</v>
      </c>
      <c r="G301" s="3">
        <v>4967</v>
      </c>
      <c r="H301" s="3">
        <v>296203</v>
      </c>
      <c r="I301" s="3">
        <v>0</v>
      </c>
      <c r="J301" s="3">
        <v>83018547</v>
      </c>
      <c r="K301" s="3">
        <v>82722344</v>
      </c>
      <c r="L301" s="3">
        <v>82722344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67505510</v>
      </c>
      <c r="T301" s="3">
        <v>67505510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8252487</v>
      </c>
      <c r="Z301" s="3">
        <v>8252487</v>
      </c>
      <c r="AA301" s="4">
        <v>8252488</v>
      </c>
      <c r="AB301" s="4">
        <v>8252488</v>
      </c>
      <c r="AC301" s="4">
        <v>8252488</v>
      </c>
      <c r="AD301" s="4">
        <v>8252486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41459907</v>
      </c>
      <c r="AJ301" s="4">
        <v>49712394</v>
      </c>
      <c r="AK301" s="4">
        <v>57964882</v>
      </c>
      <c r="AL301" s="4">
        <v>66217370</v>
      </c>
      <c r="AM301" s="4">
        <v>74469858</v>
      </c>
      <c r="AN301" s="4">
        <v>82722344</v>
      </c>
      <c r="AO301" s="150">
        <v>6915402</v>
      </c>
    </row>
    <row r="302" spans="1:41" x14ac:dyDescent="0.2">
      <c r="A302" s="1">
        <v>2024</v>
      </c>
      <c r="B302" s="2" t="s">
        <v>327</v>
      </c>
      <c r="C302" s="2" t="s">
        <v>327</v>
      </c>
      <c r="D302" s="1" t="s">
        <v>670</v>
      </c>
      <c r="E302" s="3">
        <v>15706358</v>
      </c>
      <c r="F302" s="3">
        <v>1675</v>
      </c>
      <c r="G302" s="3">
        <v>0</v>
      </c>
      <c r="H302" s="3">
        <v>49491</v>
      </c>
      <c r="I302" s="1">
        <v>0</v>
      </c>
      <c r="J302" s="3">
        <v>15704683</v>
      </c>
      <c r="K302" s="3">
        <v>15655192</v>
      </c>
      <c r="L302" s="3">
        <v>15655192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12615778</v>
      </c>
      <c r="T302" s="3">
        <v>12615778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1562220</v>
      </c>
      <c r="Z302" s="3">
        <v>1562220</v>
      </c>
      <c r="AA302" s="4">
        <v>1562220</v>
      </c>
      <c r="AB302" s="4">
        <v>1562220</v>
      </c>
      <c r="AC302" s="4">
        <v>1562220</v>
      </c>
      <c r="AD302" s="4">
        <v>1562220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7844092</v>
      </c>
      <c r="AJ302" s="4">
        <v>9406312</v>
      </c>
      <c r="AK302" s="4">
        <v>10968532</v>
      </c>
      <c r="AL302" s="4">
        <v>12530752</v>
      </c>
      <c r="AM302" s="4">
        <v>14092972</v>
      </c>
      <c r="AN302" s="4">
        <v>15655192</v>
      </c>
      <c r="AO302" s="150">
        <v>1140569</v>
      </c>
    </row>
    <row r="303" spans="1:41" x14ac:dyDescent="0.2">
      <c r="A303" s="1">
        <v>2024</v>
      </c>
      <c r="B303" s="2" t="s">
        <v>328</v>
      </c>
      <c r="C303" s="2" t="s">
        <v>328</v>
      </c>
      <c r="D303" s="1" t="s">
        <v>671</v>
      </c>
      <c r="E303" s="3">
        <v>3662796</v>
      </c>
      <c r="F303" s="3">
        <v>365</v>
      </c>
      <c r="G303" s="3">
        <v>0</v>
      </c>
      <c r="H303" s="3">
        <v>12937</v>
      </c>
      <c r="I303" s="1">
        <v>0</v>
      </c>
      <c r="J303" s="3">
        <v>3662431</v>
      </c>
      <c r="K303" s="3">
        <v>3649494</v>
      </c>
      <c r="L303" s="3">
        <v>3649494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2821392</v>
      </c>
      <c r="T303" s="3">
        <v>2821392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364087</v>
      </c>
      <c r="Z303" s="3">
        <v>364087</v>
      </c>
      <c r="AA303" s="4">
        <v>364087</v>
      </c>
      <c r="AB303" s="4">
        <v>364087</v>
      </c>
      <c r="AC303" s="4">
        <v>364087</v>
      </c>
      <c r="AD303" s="4">
        <v>364087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1829059</v>
      </c>
      <c r="AJ303" s="4">
        <v>2193146</v>
      </c>
      <c r="AK303" s="4">
        <v>2557233</v>
      </c>
      <c r="AL303" s="4">
        <v>2921320</v>
      </c>
      <c r="AM303" s="4">
        <v>3285407</v>
      </c>
      <c r="AN303" s="4">
        <v>3649494</v>
      </c>
      <c r="AO303" s="150">
        <v>270700</v>
      </c>
    </row>
    <row r="304" spans="1:41" x14ac:dyDescent="0.2">
      <c r="A304" s="1">
        <v>2024</v>
      </c>
      <c r="B304" s="2" t="s">
        <v>329</v>
      </c>
      <c r="C304" s="2" t="s">
        <v>329</v>
      </c>
      <c r="D304" s="1" t="s">
        <v>672</v>
      </c>
      <c r="E304" s="3">
        <v>11798627</v>
      </c>
      <c r="F304" s="3">
        <v>1791</v>
      </c>
      <c r="G304" s="3">
        <v>0</v>
      </c>
      <c r="H304" s="3">
        <v>38939</v>
      </c>
      <c r="I304" s="3">
        <v>0</v>
      </c>
      <c r="J304" s="3">
        <v>11796836</v>
      </c>
      <c r="K304" s="3">
        <v>11757897</v>
      </c>
      <c r="L304" s="3">
        <v>11757897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9279257</v>
      </c>
      <c r="T304" s="3">
        <v>9279257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1173194</v>
      </c>
      <c r="Z304" s="3">
        <v>1173194</v>
      </c>
      <c r="AA304" s="4">
        <v>1173193</v>
      </c>
      <c r="AB304" s="4">
        <v>1173193</v>
      </c>
      <c r="AC304" s="4">
        <v>1173193</v>
      </c>
      <c r="AD304" s="4">
        <v>1173194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5891930</v>
      </c>
      <c r="AJ304" s="4">
        <v>7065124</v>
      </c>
      <c r="AK304" s="4">
        <v>8238317</v>
      </c>
      <c r="AL304" s="4">
        <v>9411510</v>
      </c>
      <c r="AM304" s="4">
        <v>10584703</v>
      </c>
      <c r="AN304" s="4">
        <v>11757897</v>
      </c>
      <c r="AO304" s="150">
        <v>855835</v>
      </c>
    </row>
    <row r="305" spans="1:41" x14ac:dyDescent="0.2">
      <c r="A305" s="1">
        <v>2024</v>
      </c>
      <c r="B305" s="2" t="s">
        <v>330</v>
      </c>
      <c r="C305" s="2" t="s">
        <v>330</v>
      </c>
      <c r="D305" s="1" t="s">
        <v>673</v>
      </c>
      <c r="E305" s="3">
        <v>1722435</v>
      </c>
      <c r="F305" s="3">
        <v>265</v>
      </c>
      <c r="G305" s="3">
        <v>0</v>
      </c>
      <c r="H305" s="3">
        <v>7388</v>
      </c>
      <c r="I305" s="3">
        <v>113706</v>
      </c>
      <c r="J305" s="3">
        <v>1722170</v>
      </c>
      <c r="K305" s="3">
        <v>1714782</v>
      </c>
      <c r="L305" s="3">
        <v>1601076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1243474</v>
      </c>
      <c r="T305" s="3">
        <v>1129768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170986</v>
      </c>
      <c r="Z305" s="3">
        <v>170986</v>
      </c>
      <c r="AA305" s="4">
        <v>142559</v>
      </c>
      <c r="AB305" s="4">
        <v>142559</v>
      </c>
      <c r="AC305" s="4">
        <v>142559</v>
      </c>
      <c r="AD305" s="4">
        <v>142559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859854</v>
      </c>
      <c r="AJ305" s="4">
        <v>1030840</v>
      </c>
      <c r="AK305" s="4">
        <v>1173399</v>
      </c>
      <c r="AL305" s="4">
        <v>1315958</v>
      </c>
      <c r="AM305" s="4">
        <v>1458517</v>
      </c>
      <c r="AN305" s="4">
        <v>1601076</v>
      </c>
      <c r="AO305" s="150">
        <v>159108</v>
      </c>
    </row>
    <row r="306" spans="1:41" x14ac:dyDescent="0.2">
      <c r="A306" s="1">
        <v>2024</v>
      </c>
      <c r="B306" s="2" t="s">
        <v>331</v>
      </c>
      <c r="C306" s="2" t="s">
        <v>331</v>
      </c>
      <c r="D306" s="1" t="s">
        <v>674</v>
      </c>
      <c r="E306" s="3">
        <v>4977140</v>
      </c>
      <c r="F306" s="3">
        <v>862</v>
      </c>
      <c r="G306" s="3">
        <v>0</v>
      </c>
      <c r="H306" s="3">
        <v>17697</v>
      </c>
      <c r="I306" s="1">
        <v>0</v>
      </c>
      <c r="J306" s="3">
        <v>4976278</v>
      </c>
      <c r="K306" s="3">
        <v>4958581</v>
      </c>
      <c r="L306" s="3">
        <v>4958581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3849808</v>
      </c>
      <c r="T306" s="3">
        <v>3849808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494678</v>
      </c>
      <c r="Z306" s="3">
        <v>494678</v>
      </c>
      <c r="AA306" s="4">
        <v>494678</v>
      </c>
      <c r="AB306" s="4">
        <v>494678</v>
      </c>
      <c r="AC306" s="4">
        <v>494678</v>
      </c>
      <c r="AD306" s="4">
        <v>494679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2485190</v>
      </c>
      <c r="AJ306" s="4">
        <v>2979868</v>
      </c>
      <c r="AK306" s="4">
        <v>3474546</v>
      </c>
      <c r="AL306" s="4">
        <v>3969224</v>
      </c>
      <c r="AM306" s="4">
        <v>4463902</v>
      </c>
      <c r="AN306" s="4">
        <v>4958581</v>
      </c>
      <c r="AO306" s="150">
        <v>386565</v>
      </c>
    </row>
    <row r="307" spans="1:41" x14ac:dyDescent="0.2">
      <c r="A307" s="1">
        <v>2024</v>
      </c>
      <c r="B307" s="2" t="s">
        <v>332</v>
      </c>
      <c r="C307" s="2" t="s">
        <v>332</v>
      </c>
      <c r="D307" s="1" t="s">
        <v>675</v>
      </c>
      <c r="E307" s="3">
        <v>2805265</v>
      </c>
      <c r="F307" s="3">
        <v>481</v>
      </c>
      <c r="G307" s="3">
        <v>0</v>
      </c>
      <c r="H307" s="3">
        <v>9120</v>
      </c>
      <c r="I307" s="3">
        <v>78614</v>
      </c>
      <c r="J307" s="3">
        <v>2804784</v>
      </c>
      <c r="K307" s="3">
        <v>2795664</v>
      </c>
      <c r="L307" s="3">
        <v>2717050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2113412</v>
      </c>
      <c r="T307" s="3">
        <v>2034798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278959</v>
      </c>
      <c r="Z307" s="3">
        <v>278959</v>
      </c>
      <c r="AA307" s="4">
        <v>259305</v>
      </c>
      <c r="AB307" s="4">
        <v>259305</v>
      </c>
      <c r="AC307" s="4">
        <v>259305</v>
      </c>
      <c r="AD307" s="4">
        <v>259305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1400871</v>
      </c>
      <c r="AJ307" s="4">
        <v>1679830</v>
      </c>
      <c r="AK307" s="4">
        <v>1939135</v>
      </c>
      <c r="AL307" s="4">
        <v>2198440</v>
      </c>
      <c r="AM307" s="4">
        <v>2457745</v>
      </c>
      <c r="AN307" s="4">
        <v>2717050</v>
      </c>
      <c r="AO307" s="150">
        <v>204978</v>
      </c>
    </row>
    <row r="308" spans="1:41" x14ac:dyDescent="0.2">
      <c r="A308" s="1">
        <v>2024</v>
      </c>
      <c r="B308" s="2" t="s">
        <v>333</v>
      </c>
      <c r="C308" s="2" t="s">
        <v>333</v>
      </c>
      <c r="D308" s="1" t="s">
        <v>676</v>
      </c>
      <c r="E308" s="3">
        <v>1627428</v>
      </c>
      <c r="F308" s="3">
        <v>332</v>
      </c>
      <c r="G308" s="3">
        <v>0</v>
      </c>
      <c r="H308" s="3">
        <v>6039</v>
      </c>
      <c r="I308" s="1">
        <v>0</v>
      </c>
      <c r="J308" s="3">
        <v>1627096</v>
      </c>
      <c r="K308" s="3">
        <v>1621057</v>
      </c>
      <c r="L308" s="3">
        <v>1621057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1217740</v>
      </c>
      <c r="T308" s="3">
        <v>1217740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161703</v>
      </c>
      <c r="Z308" s="3">
        <v>161703</v>
      </c>
      <c r="AA308" s="4">
        <v>161703</v>
      </c>
      <c r="AB308" s="4">
        <v>161703</v>
      </c>
      <c r="AC308" s="4">
        <v>161703</v>
      </c>
      <c r="AD308" s="4">
        <v>161702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812543</v>
      </c>
      <c r="AJ308" s="4">
        <v>974246</v>
      </c>
      <c r="AK308" s="4">
        <v>1135949</v>
      </c>
      <c r="AL308" s="4">
        <v>1297652</v>
      </c>
      <c r="AM308" s="4">
        <v>1459355</v>
      </c>
      <c r="AN308" s="4">
        <v>1621057</v>
      </c>
      <c r="AO308" s="150">
        <v>130432</v>
      </c>
    </row>
    <row r="309" spans="1:41" x14ac:dyDescent="0.2">
      <c r="A309" s="1">
        <v>2024</v>
      </c>
      <c r="B309" s="2" t="s">
        <v>334</v>
      </c>
      <c r="C309" s="2" t="s">
        <v>334</v>
      </c>
      <c r="D309" s="1" t="s">
        <v>677</v>
      </c>
      <c r="E309" s="3">
        <v>8936865</v>
      </c>
      <c r="F309" s="3">
        <v>1327</v>
      </c>
      <c r="G309" s="3">
        <v>0</v>
      </c>
      <c r="H309" s="3">
        <v>30704</v>
      </c>
      <c r="I309" s="1">
        <v>0</v>
      </c>
      <c r="J309" s="3">
        <v>8935538</v>
      </c>
      <c r="K309" s="3">
        <v>8904834</v>
      </c>
      <c r="L309" s="3">
        <v>8904834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7007293</v>
      </c>
      <c r="T309" s="3">
        <v>7007293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888436</v>
      </c>
      <c r="Z309" s="3">
        <v>888436</v>
      </c>
      <c r="AA309" s="4">
        <v>888437</v>
      </c>
      <c r="AB309" s="4">
        <v>888437</v>
      </c>
      <c r="AC309" s="4">
        <v>888437</v>
      </c>
      <c r="AD309" s="4">
        <v>888435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4462652</v>
      </c>
      <c r="AJ309" s="4">
        <v>5351088</v>
      </c>
      <c r="AK309" s="4">
        <v>6239525</v>
      </c>
      <c r="AL309" s="4">
        <v>7127962</v>
      </c>
      <c r="AM309" s="4">
        <v>8016399</v>
      </c>
      <c r="AN309" s="4">
        <v>8904834</v>
      </c>
      <c r="AO309" s="150">
        <v>686337</v>
      </c>
    </row>
    <row r="310" spans="1:41" x14ac:dyDescent="0.2">
      <c r="A310" s="1">
        <v>2024</v>
      </c>
      <c r="B310" s="2" t="s">
        <v>335</v>
      </c>
      <c r="C310" s="2" t="s">
        <v>335</v>
      </c>
      <c r="D310" s="1" t="s">
        <v>678</v>
      </c>
      <c r="E310" s="3">
        <v>51079366</v>
      </c>
      <c r="F310" s="3">
        <v>5921</v>
      </c>
      <c r="G310" s="3">
        <v>15152</v>
      </c>
      <c r="H310" s="3">
        <v>195427</v>
      </c>
      <c r="I310" s="3">
        <v>0</v>
      </c>
      <c r="J310" s="3">
        <v>51058293</v>
      </c>
      <c r="K310" s="3">
        <v>50862866</v>
      </c>
      <c r="L310" s="3">
        <v>50862866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39617221</v>
      </c>
      <c r="T310" s="3">
        <v>39617221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5073258</v>
      </c>
      <c r="Z310" s="3">
        <v>5073258</v>
      </c>
      <c r="AA310" s="4">
        <v>5073259</v>
      </c>
      <c r="AB310" s="4">
        <v>5073259</v>
      </c>
      <c r="AC310" s="4">
        <v>5073259</v>
      </c>
      <c r="AD310" s="4">
        <v>5073257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25496574</v>
      </c>
      <c r="AJ310" s="4">
        <v>30569832</v>
      </c>
      <c r="AK310" s="4">
        <v>35643091</v>
      </c>
      <c r="AL310" s="4">
        <v>40716350</v>
      </c>
      <c r="AM310" s="4">
        <v>45789609</v>
      </c>
      <c r="AN310" s="4">
        <v>50862866</v>
      </c>
      <c r="AO310" s="150">
        <v>4260853</v>
      </c>
    </row>
    <row r="311" spans="1:41" x14ac:dyDescent="0.2">
      <c r="A311" s="1">
        <v>2024</v>
      </c>
      <c r="B311" s="2" t="s">
        <v>336</v>
      </c>
      <c r="C311" s="2" t="s">
        <v>336</v>
      </c>
      <c r="D311" s="1" t="s">
        <v>679</v>
      </c>
      <c r="E311" s="3">
        <v>20482747</v>
      </c>
      <c r="F311" s="3">
        <v>4727</v>
      </c>
      <c r="G311" s="3">
        <v>0</v>
      </c>
      <c r="H311" s="3">
        <v>72063</v>
      </c>
      <c r="I311" s="1">
        <v>0</v>
      </c>
      <c r="J311" s="3">
        <v>20478020</v>
      </c>
      <c r="K311" s="3">
        <v>20405957</v>
      </c>
      <c r="L311" s="3">
        <v>20405957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15591327</v>
      </c>
      <c r="T311" s="3">
        <v>15591327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2035792</v>
      </c>
      <c r="Z311" s="3">
        <v>2035792</v>
      </c>
      <c r="AA311" s="4">
        <v>2035791</v>
      </c>
      <c r="AB311" s="4">
        <v>2035791</v>
      </c>
      <c r="AC311" s="4">
        <v>2035791</v>
      </c>
      <c r="AD311" s="4">
        <v>2035792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10227000</v>
      </c>
      <c r="AJ311" s="4">
        <v>12262792</v>
      </c>
      <c r="AK311" s="4">
        <v>14298583</v>
      </c>
      <c r="AL311" s="4">
        <v>16334374</v>
      </c>
      <c r="AM311" s="4">
        <v>18370165</v>
      </c>
      <c r="AN311" s="4">
        <v>20405957</v>
      </c>
      <c r="AO311" s="150">
        <v>1765581</v>
      </c>
    </row>
    <row r="312" spans="1:41" x14ac:dyDescent="0.2">
      <c r="A312" s="1">
        <v>2024</v>
      </c>
      <c r="B312" s="2" t="s">
        <v>337</v>
      </c>
      <c r="C312" s="2" t="s">
        <v>337</v>
      </c>
      <c r="D312" s="1" t="s">
        <v>680</v>
      </c>
      <c r="E312" s="3">
        <v>1995999</v>
      </c>
      <c r="F312" s="3">
        <v>199</v>
      </c>
      <c r="G312" s="3">
        <v>0</v>
      </c>
      <c r="H312" s="3">
        <v>8023</v>
      </c>
      <c r="I312" s="1">
        <v>0</v>
      </c>
      <c r="J312" s="3">
        <v>1995800</v>
      </c>
      <c r="K312" s="3">
        <v>1987777</v>
      </c>
      <c r="L312" s="3">
        <v>1987777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1522548</v>
      </c>
      <c r="T312" s="3">
        <v>1522548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198243</v>
      </c>
      <c r="Z312" s="3">
        <v>198243</v>
      </c>
      <c r="AA312" s="4">
        <v>198243</v>
      </c>
      <c r="AB312" s="4">
        <v>198243</v>
      </c>
      <c r="AC312" s="4">
        <v>198243</v>
      </c>
      <c r="AD312" s="4">
        <v>198242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996563</v>
      </c>
      <c r="AJ312" s="4">
        <v>1194806</v>
      </c>
      <c r="AK312" s="4">
        <v>1393049</v>
      </c>
      <c r="AL312" s="4">
        <v>1591292</v>
      </c>
      <c r="AM312" s="4">
        <v>1789535</v>
      </c>
      <c r="AN312" s="4">
        <v>1987777</v>
      </c>
      <c r="AO312" s="150">
        <v>177190</v>
      </c>
    </row>
    <row r="313" spans="1:41" x14ac:dyDescent="0.2">
      <c r="A313" s="1">
        <v>2024</v>
      </c>
      <c r="B313" s="2" t="s">
        <v>338</v>
      </c>
      <c r="C313" s="2" t="s">
        <v>338</v>
      </c>
      <c r="D313" s="1" t="s">
        <v>681</v>
      </c>
      <c r="E313" s="3">
        <v>9817693</v>
      </c>
      <c r="F313" s="3">
        <v>1045</v>
      </c>
      <c r="G313" s="3">
        <v>0</v>
      </c>
      <c r="H313" s="3">
        <v>27812</v>
      </c>
      <c r="I313" s="1">
        <v>0</v>
      </c>
      <c r="J313" s="3">
        <v>9816648</v>
      </c>
      <c r="K313" s="3">
        <v>9788836</v>
      </c>
      <c r="L313" s="3">
        <v>9788836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8080041</v>
      </c>
      <c r="T313" s="3">
        <v>8080041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977029</v>
      </c>
      <c r="Z313" s="3">
        <v>977029</v>
      </c>
      <c r="AA313" s="4">
        <v>977030</v>
      </c>
      <c r="AB313" s="4">
        <v>977030</v>
      </c>
      <c r="AC313" s="4">
        <v>977030</v>
      </c>
      <c r="AD313" s="4">
        <v>977028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4903689</v>
      </c>
      <c r="AJ313" s="4">
        <v>5880718</v>
      </c>
      <c r="AK313" s="4">
        <v>6857748</v>
      </c>
      <c r="AL313" s="4">
        <v>7834778</v>
      </c>
      <c r="AM313" s="4">
        <v>8811808</v>
      </c>
      <c r="AN313" s="4">
        <v>9788836</v>
      </c>
      <c r="AO313" s="150">
        <v>596885</v>
      </c>
    </row>
    <row r="314" spans="1:41" x14ac:dyDescent="0.2">
      <c r="A314" s="1">
        <v>2024</v>
      </c>
      <c r="B314" s="2" t="s">
        <v>339</v>
      </c>
      <c r="C314" s="2" t="s">
        <v>339</v>
      </c>
      <c r="D314" s="1" t="s">
        <v>682</v>
      </c>
      <c r="E314" s="3">
        <v>5637044</v>
      </c>
      <c r="F314" s="3">
        <v>1310</v>
      </c>
      <c r="G314" s="3">
        <v>0</v>
      </c>
      <c r="H314" s="3">
        <v>21131</v>
      </c>
      <c r="I314" s="3">
        <v>0</v>
      </c>
      <c r="J314" s="3">
        <v>5635734</v>
      </c>
      <c r="K314" s="3">
        <v>5614603</v>
      </c>
      <c r="L314" s="3">
        <v>5614603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4252915</v>
      </c>
      <c r="T314" s="3">
        <v>4252915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560052</v>
      </c>
      <c r="Z314" s="3">
        <v>560052</v>
      </c>
      <c r="AA314" s="4">
        <v>560052</v>
      </c>
      <c r="AB314" s="4">
        <v>560052</v>
      </c>
      <c r="AC314" s="4">
        <v>560052</v>
      </c>
      <c r="AD314" s="4">
        <v>560051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2814344</v>
      </c>
      <c r="AJ314" s="4">
        <v>3374396</v>
      </c>
      <c r="AK314" s="4">
        <v>3934448</v>
      </c>
      <c r="AL314" s="4">
        <v>4494500</v>
      </c>
      <c r="AM314" s="4">
        <v>5054552</v>
      </c>
      <c r="AN314" s="4">
        <v>5614603</v>
      </c>
      <c r="AO314" s="150">
        <v>481392</v>
      </c>
    </row>
    <row r="315" spans="1:41" x14ac:dyDescent="0.2">
      <c r="A315" s="1">
        <v>2024</v>
      </c>
      <c r="B315" s="2" t="s">
        <v>340</v>
      </c>
      <c r="C315" s="2" t="s">
        <v>340</v>
      </c>
      <c r="D315" s="1" t="s">
        <v>683</v>
      </c>
      <c r="E315" s="3">
        <v>5209417</v>
      </c>
      <c r="F315" s="3">
        <v>779</v>
      </c>
      <c r="G315" s="3">
        <v>0</v>
      </c>
      <c r="H315" s="3">
        <v>17715</v>
      </c>
      <c r="I315" s="3">
        <v>0</v>
      </c>
      <c r="J315" s="3">
        <v>5208638</v>
      </c>
      <c r="K315" s="3">
        <v>5190923</v>
      </c>
      <c r="L315" s="3">
        <v>5190923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4089775</v>
      </c>
      <c r="T315" s="3">
        <v>4089775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517911</v>
      </c>
      <c r="Z315" s="3">
        <v>517911</v>
      </c>
      <c r="AA315" s="4">
        <v>517911</v>
      </c>
      <c r="AB315" s="4">
        <v>517911</v>
      </c>
      <c r="AC315" s="4">
        <v>517911</v>
      </c>
      <c r="AD315" s="4">
        <v>517912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2601367</v>
      </c>
      <c r="AJ315" s="4">
        <v>3119278</v>
      </c>
      <c r="AK315" s="4">
        <v>3637189</v>
      </c>
      <c r="AL315" s="4">
        <v>4155100</v>
      </c>
      <c r="AM315" s="4">
        <v>4673011</v>
      </c>
      <c r="AN315" s="4">
        <v>5190923</v>
      </c>
      <c r="AO315" s="150">
        <v>388792</v>
      </c>
    </row>
    <row r="316" spans="1:41" x14ac:dyDescent="0.2">
      <c r="A316" s="1">
        <v>2024</v>
      </c>
      <c r="B316" s="2" t="s">
        <v>341</v>
      </c>
      <c r="C316" s="2" t="s">
        <v>341</v>
      </c>
      <c r="D316" s="1" t="s">
        <v>684</v>
      </c>
      <c r="E316" s="3">
        <v>4022714</v>
      </c>
      <c r="F316" s="3">
        <v>531</v>
      </c>
      <c r="G316" s="3">
        <v>0</v>
      </c>
      <c r="H316" s="3">
        <v>13551</v>
      </c>
      <c r="I316" s="3">
        <v>19055</v>
      </c>
      <c r="J316" s="3">
        <v>4022183</v>
      </c>
      <c r="K316" s="3">
        <v>4008632</v>
      </c>
      <c r="L316" s="3">
        <v>3989577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3171812</v>
      </c>
      <c r="T316" s="3">
        <v>3152757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399960</v>
      </c>
      <c r="Z316" s="3">
        <v>399960</v>
      </c>
      <c r="AA316" s="4">
        <v>395196</v>
      </c>
      <c r="AB316" s="4">
        <v>395196</v>
      </c>
      <c r="AC316" s="4">
        <v>395196</v>
      </c>
      <c r="AD316" s="4">
        <v>395197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2008832</v>
      </c>
      <c r="AJ316" s="4">
        <v>2408792</v>
      </c>
      <c r="AK316" s="4">
        <v>2803988</v>
      </c>
      <c r="AL316" s="4">
        <v>3199184</v>
      </c>
      <c r="AM316" s="4">
        <v>3594380</v>
      </c>
      <c r="AN316" s="4">
        <v>3989577</v>
      </c>
      <c r="AO316" s="150">
        <v>305990</v>
      </c>
    </row>
    <row r="317" spans="1:41" x14ac:dyDescent="0.2">
      <c r="A317" s="1">
        <v>2024</v>
      </c>
      <c r="B317" s="2" t="s">
        <v>342</v>
      </c>
      <c r="C317" s="2" t="s">
        <v>342</v>
      </c>
      <c r="D317" s="1" t="s">
        <v>685</v>
      </c>
      <c r="E317" s="3">
        <v>6437827</v>
      </c>
      <c r="F317" s="3">
        <v>614</v>
      </c>
      <c r="G317" s="3">
        <v>0</v>
      </c>
      <c r="H317" s="3">
        <v>17904</v>
      </c>
      <c r="I317" s="3">
        <v>0</v>
      </c>
      <c r="J317" s="3">
        <v>6437213</v>
      </c>
      <c r="K317" s="3">
        <v>6419309</v>
      </c>
      <c r="L317" s="3">
        <v>6419309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5311794</v>
      </c>
      <c r="T317" s="3">
        <v>5311794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640738</v>
      </c>
      <c r="Z317" s="3">
        <v>640738</v>
      </c>
      <c r="AA317" s="4">
        <v>640737</v>
      </c>
      <c r="AB317" s="4">
        <v>640737</v>
      </c>
      <c r="AC317" s="4">
        <v>640737</v>
      </c>
      <c r="AD317" s="4">
        <v>640738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3215622</v>
      </c>
      <c r="AJ317" s="4">
        <v>3856360</v>
      </c>
      <c r="AK317" s="4">
        <v>4497097</v>
      </c>
      <c r="AL317" s="4">
        <v>5137834</v>
      </c>
      <c r="AM317" s="4">
        <v>5778571</v>
      </c>
      <c r="AN317" s="4">
        <v>6419309</v>
      </c>
      <c r="AO317" s="150">
        <v>417852</v>
      </c>
    </row>
    <row r="318" spans="1:41" x14ac:dyDescent="0.2">
      <c r="A318" s="1">
        <v>2024</v>
      </c>
      <c r="B318" s="2" t="s">
        <v>343</v>
      </c>
      <c r="C318" s="2" t="s">
        <v>343</v>
      </c>
      <c r="D318" s="1" t="s">
        <v>686</v>
      </c>
      <c r="E318" s="3">
        <v>2764238</v>
      </c>
      <c r="F318" s="3">
        <v>547</v>
      </c>
      <c r="G318" s="3">
        <v>0</v>
      </c>
      <c r="H318" s="3">
        <v>11973</v>
      </c>
      <c r="I318" s="3">
        <v>0</v>
      </c>
      <c r="J318" s="3">
        <v>2763691</v>
      </c>
      <c r="K318" s="3">
        <v>2751718</v>
      </c>
      <c r="L318" s="3">
        <v>2751718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1979065</v>
      </c>
      <c r="T318" s="3">
        <v>1979065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274374</v>
      </c>
      <c r="Z318" s="3">
        <v>274374</v>
      </c>
      <c r="AA318" s="4">
        <v>274374</v>
      </c>
      <c r="AB318" s="4">
        <v>274374</v>
      </c>
      <c r="AC318" s="4">
        <v>274374</v>
      </c>
      <c r="AD318" s="4">
        <v>274372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1379850</v>
      </c>
      <c r="AJ318" s="4">
        <v>1654224</v>
      </c>
      <c r="AK318" s="4">
        <v>1928598</v>
      </c>
      <c r="AL318" s="4">
        <v>2202972</v>
      </c>
      <c r="AM318" s="4">
        <v>2477346</v>
      </c>
      <c r="AN318" s="4">
        <v>2751718</v>
      </c>
      <c r="AO318" s="150">
        <v>259258</v>
      </c>
    </row>
    <row r="319" spans="1:41" x14ac:dyDescent="0.2">
      <c r="A319" s="1">
        <v>2024</v>
      </c>
      <c r="B319" s="2" t="s">
        <v>344</v>
      </c>
      <c r="C319" s="2" t="s">
        <v>344</v>
      </c>
      <c r="D319" s="1" t="s">
        <v>687</v>
      </c>
      <c r="E319" s="3">
        <v>1052381</v>
      </c>
      <c r="F319" s="3">
        <v>182</v>
      </c>
      <c r="G319" s="3">
        <v>0</v>
      </c>
      <c r="H319" s="3">
        <v>4152</v>
      </c>
      <c r="I319" s="1">
        <v>0</v>
      </c>
      <c r="J319" s="3">
        <v>1052199</v>
      </c>
      <c r="K319" s="3">
        <v>1048047</v>
      </c>
      <c r="L319" s="3">
        <v>1048047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753011</v>
      </c>
      <c r="T319" s="3">
        <v>753011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104528</v>
      </c>
      <c r="Z319" s="3">
        <v>104528</v>
      </c>
      <c r="AA319" s="4">
        <v>104528</v>
      </c>
      <c r="AB319" s="4">
        <v>104528</v>
      </c>
      <c r="AC319" s="4">
        <v>104528</v>
      </c>
      <c r="AD319" s="4">
        <v>104527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525408</v>
      </c>
      <c r="AJ319" s="4">
        <v>629936</v>
      </c>
      <c r="AK319" s="4">
        <v>734464</v>
      </c>
      <c r="AL319" s="4">
        <v>838992</v>
      </c>
      <c r="AM319" s="4">
        <v>943520</v>
      </c>
      <c r="AN319" s="4">
        <v>1048047</v>
      </c>
      <c r="AO319" s="150">
        <v>91137</v>
      </c>
    </row>
    <row r="320" spans="1:41" x14ac:dyDescent="0.2">
      <c r="A320" s="1">
        <v>2024</v>
      </c>
      <c r="B320" s="2" t="s">
        <v>345</v>
      </c>
      <c r="C320" s="2" t="s">
        <v>345</v>
      </c>
      <c r="D320" s="1" t="s">
        <v>688</v>
      </c>
      <c r="E320" s="3">
        <v>7812352</v>
      </c>
      <c r="F320" s="3">
        <v>1045</v>
      </c>
      <c r="G320" s="3">
        <v>0</v>
      </c>
      <c r="H320" s="3">
        <v>26126</v>
      </c>
      <c r="I320" s="1">
        <v>0</v>
      </c>
      <c r="J320" s="3">
        <v>7811307</v>
      </c>
      <c r="K320" s="3">
        <v>7785181</v>
      </c>
      <c r="L320" s="3">
        <v>7785181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6202623</v>
      </c>
      <c r="T320" s="3">
        <v>6202623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776776</v>
      </c>
      <c r="Z320" s="3">
        <v>776776</v>
      </c>
      <c r="AA320" s="4">
        <v>776776</v>
      </c>
      <c r="AB320" s="4">
        <v>776776</v>
      </c>
      <c r="AC320" s="4">
        <v>776776</v>
      </c>
      <c r="AD320" s="4">
        <v>776777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3901300</v>
      </c>
      <c r="AJ320" s="4">
        <v>4678076</v>
      </c>
      <c r="AK320" s="4">
        <v>5454852</v>
      </c>
      <c r="AL320" s="4">
        <v>6231628</v>
      </c>
      <c r="AM320" s="4">
        <v>7008404</v>
      </c>
      <c r="AN320" s="4">
        <v>7785181</v>
      </c>
      <c r="AO320" s="150">
        <v>561959</v>
      </c>
    </row>
    <row r="321" spans="1:41" x14ac:dyDescent="0.2">
      <c r="A321" s="1">
        <v>2024</v>
      </c>
      <c r="B321" s="2" t="s">
        <v>346</v>
      </c>
      <c r="C321" s="2" t="s">
        <v>346</v>
      </c>
      <c r="D321" s="1" t="s">
        <v>689</v>
      </c>
      <c r="E321" s="3">
        <v>6286735</v>
      </c>
      <c r="F321" s="3">
        <v>929</v>
      </c>
      <c r="G321" s="3">
        <v>0</v>
      </c>
      <c r="H321" s="3">
        <v>19183</v>
      </c>
      <c r="I321" s="3">
        <v>0</v>
      </c>
      <c r="J321" s="3">
        <v>6285806</v>
      </c>
      <c r="K321" s="3">
        <v>6266623</v>
      </c>
      <c r="L321" s="3">
        <v>6266623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5039977</v>
      </c>
      <c r="T321" s="3">
        <v>5039977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625383</v>
      </c>
      <c r="Z321" s="3">
        <v>625383</v>
      </c>
      <c r="AA321" s="4">
        <v>625383</v>
      </c>
      <c r="AB321" s="4">
        <v>625383</v>
      </c>
      <c r="AC321" s="4">
        <v>625383</v>
      </c>
      <c r="AD321" s="4">
        <v>625384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3139707</v>
      </c>
      <c r="AJ321" s="4">
        <v>3765090</v>
      </c>
      <c r="AK321" s="4">
        <v>4390473</v>
      </c>
      <c r="AL321" s="4">
        <v>5015856</v>
      </c>
      <c r="AM321" s="4">
        <v>5641239</v>
      </c>
      <c r="AN321" s="4">
        <v>6266623</v>
      </c>
      <c r="AO321" s="150">
        <v>406117</v>
      </c>
    </row>
    <row r="322" spans="1:41" x14ac:dyDescent="0.2">
      <c r="A322" s="1">
        <v>2024</v>
      </c>
      <c r="B322" s="2" t="s">
        <v>347</v>
      </c>
      <c r="C322" s="2" t="s">
        <v>347</v>
      </c>
      <c r="D322" s="1" t="s">
        <v>690</v>
      </c>
      <c r="E322" s="3">
        <v>2182790</v>
      </c>
      <c r="F322" s="3">
        <v>315</v>
      </c>
      <c r="G322" s="3">
        <v>0</v>
      </c>
      <c r="H322" s="3">
        <v>6895</v>
      </c>
      <c r="I322" s="1">
        <v>0</v>
      </c>
      <c r="J322" s="3">
        <v>2182475</v>
      </c>
      <c r="K322" s="3">
        <v>2175580</v>
      </c>
      <c r="L322" s="3">
        <v>2175580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1732848</v>
      </c>
      <c r="T322" s="3">
        <v>1732848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217098</v>
      </c>
      <c r="Z322" s="3">
        <v>217098</v>
      </c>
      <c r="AA322" s="4">
        <v>217098</v>
      </c>
      <c r="AB322" s="4">
        <v>217098</v>
      </c>
      <c r="AC322" s="4">
        <v>217098</v>
      </c>
      <c r="AD322" s="4">
        <v>217098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1090090</v>
      </c>
      <c r="AJ322" s="4">
        <v>1307188</v>
      </c>
      <c r="AK322" s="4">
        <v>1524286</v>
      </c>
      <c r="AL322" s="4">
        <v>1741384</v>
      </c>
      <c r="AM322" s="4">
        <v>1958482</v>
      </c>
      <c r="AN322" s="4">
        <v>2175580</v>
      </c>
      <c r="AO322" s="150">
        <v>144548</v>
      </c>
    </row>
    <row r="323" spans="1:41" x14ac:dyDescent="0.2">
      <c r="A323" s="1">
        <v>2024</v>
      </c>
      <c r="B323" s="2" t="s">
        <v>348</v>
      </c>
      <c r="C323" s="2" t="s">
        <v>348</v>
      </c>
      <c r="D323" s="1" t="s">
        <v>691</v>
      </c>
      <c r="E323" s="3">
        <v>11817655</v>
      </c>
      <c r="F323" s="3">
        <v>1111</v>
      </c>
      <c r="G323" s="3">
        <v>0</v>
      </c>
      <c r="H323" s="3">
        <v>37545</v>
      </c>
      <c r="I323" s="1">
        <v>0</v>
      </c>
      <c r="J323" s="3">
        <v>11816544</v>
      </c>
      <c r="K323" s="3">
        <v>11778999</v>
      </c>
      <c r="L323" s="3">
        <v>11778999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9595754</v>
      </c>
      <c r="T323" s="3">
        <v>9595754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1175397</v>
      </c>
      <c r="Z323" s="3">
        <v>1175397</v>
      </c>
      <c r="AA323" s="4">
        <v>1175397</v>
      </c>
      <c r="AB323" s="4">
        <v>1175397</v>
      </c>
      <c r="AC323" s="4">
        <v>1175397</v>
      </c>
      <c r="AD323" s="4">
        <v>1175398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5902013</v>
      </c>
      <c r="AJ323" s="4">
        <v>7077410</v>
      </c>
      <c r="AK323" s="4">
        <v>8252807</v>
      </c>
      <c r="AL323" s="4">
        <v>9428204</v>
      </c>
      <c r="AM323" s="4">
        <v>10603601</v>
      </c>
      <c r="AN323" s="4">
        <v>11778999</v>
      </c>
      <c r="AO323" s="150">
        <v>793898</v>
      </c>
    </row>
    <row r="324" spans="1:41" x14ac:dyDescent="0.2">
      <c r="A324" s="1">
        <v>2024</v>
      </c>
      <c r="B324" s="2" t="s">
        <v>349</v>
      </c>
      <c r="C324" s="2" t="s">
        <v>349</v>
      </c>
      <c r="D324" s="1" t="s">
        <v>692</v>
      </c>
      <c r="E324" s="3">
        <v>3253647</v>
      </c>
      <c r="F324" s="1">
        <v>663</v>
      </c>
      <c r="G324" s="1">
        <v>0</v>
      </c>
      <c r="H324" s="3">
        <v>10494</v>
      </c>
      <c r="I324" s="3">
        <v>0</v>
      </c>
      <c r="J324" s="3">
        <v>3252984</v>
      </c>
      <c r="K324" s="3">
        <v>3242490</v>
      </c>
      <c r="L324" s="3">
        <v>3242490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2513968</v>
      </c>
      <c r="T324" s="3">
        <v>2513968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323550</v>
      </c>
      <c r="Z324" s="3">
        <v>323550</v>
      </c>
      <c r="AA324" s="4">
        <v>323550</v>
      </c>
      <c r="AB324" s="4">
        <v>323550</v>
      </c>
      <c r="AC324" s="4">
        <v>323550</v>
      </c>
      <c r="AD324" s="4">
        <v>323548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1624742</v>
      </c>
      <c r="AJ324" s="4">
        <v>1948292</v>
      </c>
      <c r="AK324" s="4">
        <v>2271842</v>
      </c>
      <c r="AL324" s="4">
        <v>2595392</v>
      </c>
      <c r="AM324" s="4">
        <v>2918942</v>
      </c>
      <c r="AN324" s="4">
        <v>3242490</v>
      </c>
      <c r="AO324" s="150">
        <v>222685</v>
      </c>
    </row>
    <row r="325" spans="1:41" x14ac:dyDescent="0.2">
      <c r="A325" s="1">
        <v>2024</v>
      </c>
      <c r="B325" s="2" t="s">
        <v>350</v>
      </c>
      <c r="C325" s="2" t="s">
        <v>350</v>
      </c>
      <c r="D325" s="1" t="s">
        <v>693</v>
      </c>
      <c r="E325" s="3">
        <v>3652493</v>
      </c>
      <c r="F325" s="3">
        <v>448</v>
      </c>
      <c r="G325" s="3">
        <v>0</v>
      </c>
      <c r="H325" s="3">
        <v>11631</v>
      </c>
      <c r="I325" s="1">
        <v>0</v>
      </c>
      <c r="J325" s="3">
        <v>3652045</v>
      </c>
      <c r="K325" s="3">
        <v>3640414</v>
      </c>
      <c r="L325" s="3">
        <v>3640414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2931423</v>
      </c>
      <c r="T325" s="3">
        <v>2931423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363266</v>
      </c>
      <c r="Z325" s="3">
        <v>363266</v>
      </c>
      <c r="AA325" s="4">
        <v>363266</v>
      </c>
      <c r="AB325" s="4">
        <v>363266</v>
      </c>
      <c r="AC325" s="4">
        <v>363266</v>
      </c>
      <c r="AD325" s="4">
        <v>363264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1824086</v>
      </c>
      <c r="AJ325" s="4">
        <v>2187352</v>
      </c>
      <c r="AK325" s="4">
        <v>2550618</v>
      </c>
      <c r="AL325" s="4">
        <v>2913884</v>
      </c>
      <c r="AM325" s="4">
        <v>3277150</v>
      </c>
      <c r="AN325" s="4">
        <v>3640414</v>
      </c>
      <c r="AO325" s="150">
        <v>260095</v>
      </c>
    </row>
    <row r="326" spans="1:41" x14ac:dyDescent="0.2">
      <c r="A326" s="1">
        <v>2024</v>
      </c>
      <c r="B326" s="2" t="s">
        <v>351</v>
      </c>
      <c r="C326" s="2" t="s">
        <v>351</v>
      </c>
      <c r="D326" s="1" t="s">
        <v>694</v>
      </c>
      <c r="E326" s="3">
        <v>7417051</v>
      </c>
      <c r="F326" s="3">
        <v>1061</v>
      </c>
      <c r="G326" s="3">
        <v>6355</v>
      </c>
      <c r="H326" s="3">
        <v>23935</v>
      </c>
      <c r="I326" s="1">
        <v>0</v>
      </c>
      <c r="J326" s="3">
        <v>7409635</v>
      </c>
      <c r="K326" s="3">
        <v>7385700</v>
      </c>
      <c r="L326" s="3">
        <v>7385700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5908318</v>
      </c>
      <c r="T326" s="3">
        <v>5908318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736974</v>
      </c>
      <c r="Z326" s="3">
        <v>736974</v>
      </c>
      <c r="AA326" s="4">
        <v>736974</v>
      </c>
      <c r="AB326" s="4">
        <v>736974</v>
      </c>
      <c r="AC326" s="4">
        <v>736974</v>
      </c>
      <c r="AD326" s="4">
        <v>736974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3700830</v>
      </c>
      <c r="AJ326" s="4">
        <v>4437804</v>
      </c>
      <c r="AK326" s="4">
        <v>5174778</v>
      </c>
      <c r="AL326" s="4">
        <v>5911752</v>
      </c>
      <c r="AM326" s="4">
        <v>6648726</v>
      </c>
      <c r="AN326" s="4">
        <v>7385700</v>
      </c>
      <c r="AO326" s="150">
        <v>523009</v>
      </c>
    </row>
    <row r="327" spans="1:41" x14ac:dyDescent="0.2">
      <c r="B327" s="124" t="s">
        <v>788</v>
      </c>
      <c r="D327" s="1" t="s">
        <v>787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10954583</v>
      </c>
      <c r="I327" s="3">
        <f t="shared" si="0"/>
        <v>3809254</v>
      </c>
      <c r="J327" s="3">
        <f t="shared" si="0"/>
        <v>3473784498</v>
      </c>
      <c r="K327" s="3">
        <f t="shared" si="0"/>
        <v>3462829915</v>
      </c>
      <c r="L327" s="3">
        <f t="shared" si="0"/>
        <v>3459020661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2800558429</v>
      </c>
      <c r="T327" s="3">
        <f t="shared" si="0"/>
        <v>2796749175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345552711</v>
      </c>
      <c r="Z327" s="3">
        <f t="shared" si="0"/>
        <v>345552711</v>
      </c>
      <c r="AA327" s="3">
        <f t="shared" si="0"/>
        <v>344600393</v>
      </c>
      <c r="AB327" s="3">
        <f t="shared" si="0"/>
        <v>344600393</v>
      </c>
      <c r="AC327" s="3">
        <f t="shared" si="0"/>
        <v>344600393</v>
      </c>
      <c r="AD327" s="3">
        <f t="shared" si="0"/>
        <v>344600212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1735066559</v>
      </c>
      <c r="AJ327" s="3">
        <f t="shared" si="0"/>
        <v>2080619270</v>
      </c>
      <c r="AK327" s="3">
        <f t="shared" si="0"/>
        <v>2425219663</v>
      </c>
      <c r="AL327" s="3">
        <f t="shared" si="0"/>
        <v>2769820056</v>
      </c>
      <c r="AM327" s="3">
        <f t="shared" si="0"/>
        <v>3114420449</v>
      </c>
      <c r="AN327" s="3">
        <f t="shared" si="0"/>
        <v>3459020661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702</v>
      </c>
      <c r="B1" s="8">
        <v>2024</v>
      </c>
      <c r="G1" s="9"/>
      <c r="H1" s="9"/>
      <c r="I1" s="1" t="s">
        <v>721</v>
      </c>
      <c r="K1" s="1" t="s">
        <v>766</v>
      </c>
      <c r="L1" s="1" t="s">
        <v>722</v>
      </c>
      <c r="M1" s="1" t="s">
        <v>723</v>
      </c>
      <c r="N1" s="1" t="s">
        <v>724</v>
      </c>
    </row>
    <row r="2" spans="1:14" x14ac:dyDescent="0.2">
      <c r="A2" s="1" t="s">
        <v>708</v>
      </c>
      <c r="B2" s="8" t="s">
        <v>719</v>
      </c>
      <c r="I2" s="1" t="s">
        <v>709</v>
      </c>
      <c r="J2" s="1" t="s">
        <v>722</v>
      </c>
      <c r="L2" s="1">
        <v>1</v>
      </c>
      <c r="M2" s="1">
        <v>0</v>
      </c>
      <c r="N2" s="1">
        <v>0</v>
      </c>
    </row>
    <row r="3" spans="1:14" x14ac:dyDescent="0.2">
      <c r="A3" s="1" t="s">
        <v>710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712</v>
      </c>
      <c r="J3" s="1" t="s">
        <v>722</v>
      </c>
      <c r="L3" s="1">
        <v>2</v>
      </c>
      <c r="M3" s="1">
        <v>0</v>
      </c>
      <c r="N3" s="1">
        <v>0</v>
      </c>
    </row>
    <row r="4" spans="1:14" x14ac:dyDescent="0.2">
      <c r="A4" s="1" t="s">
        <v>711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713</v>
      </c>
      <c r="J4" s="1" t="s">
        <v>722</v>
      </c>
      <c r="L4" s="1">
        <v>3</v>
      </c>
      <c r="M4" s="1">
        <v>0</v>
      </c>
      <c r="N4" s="1">
        <v>0</v>
      </c>
    </row>
    <row r="5" spans="1:14" x14ac:dyDescent="0.2">
      <c r="I5" s="1" t="s">
        <v>714</v>
      </c>
      <c r="J5" s="1" t="s">
        <v>722</v>
      </c>
      <c r="L5" s="1">
        <v>4</v>
      </c>
      <c r="M5" s="1">
        <v>0</v>
      </c>
      <c r="N5" s="1">
        <v>0</v>
      </c>
    </row>
    <row r="6" spans="1:14" x14ac:dyDescent="0.2">
      <c r="I6" s="1" t="s">
        <v>715</v>
      </c>
      <c r="J6" s="1" t="s">
        <v>723</v>
      </c>
      <c r="L6" s="1">
        <v>4</v>
      </c>
      <c r="M6" s="1">
        <v>1</v>
      </c>
      <c r="N6" s="1">
        <v>0</v>
      </c>
    </row>
    <row r="7" spans="1:14" x14ac:dyDescent="0.2">
      <c r="I7" s="1" t="s">
        <v>716</v>
      </c>
      <c r="J7" s="1" t="s">
        <v>723</v>
      </c>
      <c r="L7" s="1">
        <v>4</v>
      </c>
      <c r="M7" s="1">
        <v>2</v>
      </c>
      <c r="N7" s="1">
        <v>0</v>
      </c>
    </row>
    <row r="8" spans="1:14" x14ac:dyDescent="0.2">
      <c r="I8" s="1" t="s">
        <v>717</v>
      </c>
      <c r="J8" s="1" t="s">
        <v>724</v>
      </c>
      <c r="L8" s="1">
        <v>4</v>
      </c>
      <c r="M8" s="1">
        <v>2</v>
      </c>
      <c r="N8" s="1">
        <v>1</v>
      </c>
    </row>
    <row r="9" spans="1:14" x14ac:dyDescent="0.2">
      <c r="I9" s="1" t="s">
        <v>718</v>
      </c>
      <c r="J9" s="1" t="s">
        <v>724</v>
      </c>
      <c r="L9" s="1">
        <v>4</v>
      </c>
      <c r="M9" s="1">
        <v>2</v>
      </c>
      <c r="N9" s="1">
        <v>2</v>
      </c>
    </row>
    <row r="10" spans="1:14" x14ac:dyDescent="0.2">
      <c r="I10" s="1" t="s">
        <v>719</v>
      </c>
      <c r="J10" s="1" t="s">
        <v>724</v>
      </c>
      <c r="L10" s="1">
        <v>4</v>
      </c>
      <c r="M10" s="1">
        <v>2</v>
      </c>
      <c r="N10" s="1">
        <v>3</v>
      </c>
    </row>
    <row r="11" spans="1:14" x14ac:dyDescent="0.2">
      <c r="I11" s="1" t="s">
        <v>720</v>
      </c>
      <c r="J11" s="1" t="s">
        <v>725</v>
      </c>
      <c r="L11" s="1">
        <v>4</v>
      </c>
      <c r="M11" s="1">
        <v>2</v>
      </c>
      <c r="N11" s="1">
        <v>3</v>
      </c>
    </row>
    <row r="14" spans="1:14" x14ac:dyDescent="0.2">
      <c r="A14" s="1" t="s">
        <v>738</v>
      </c>
      <c r="B14" s="1" t="s">
        <v>740</v>
      </c>
      <c r="C14" s="1" t="s">
        <v>807</v>
      </c>
    </row>
    <row r="15" spans="1:14" x14ac:dyDescent="0.2">
      <c r="A15" s="1" t="s">
        <v>739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741</v>
      </c>
      <c r="B16" s="3">
        <f>'Budget Total'!H331-'Budget by Source'!I331</f>
        <v>0</v>
      </c>
    </row>
    <row r="17" spans="1:4" x14ac:dyDescent="0.2">
      <c r="A17" s="1" t="s">
        <v>742</v>
      </c>
      <c r="B17" s="3">
        <f>SUM('Budget by Source'!C331:H331)-'Budget by Source'!I331</f>
        <v>0</v>
      </c>
    </row>
    <row r="18" spans="1:4" x14ac:dyDescent="0.2">
      <c r="A18" s="6" t="s">
        <v>745</v>
      </c>
      <c r="B18" s="3">
        <f>'Payment by Source'!I331-'Payment Total'!E332</f>
        <v>0</v>
      </c>
      <c r="C18" s="1" t="s">
        <v>770</v>
      </c>
    </row>
    <row r="19" spans="1:4" x14ac:dyDescent="0.2">
      <c r="A19" s="7" t="s">
        <v>751</v>
      </c>
      <c r="B19" s="3">
        <f>'Payment Total'!Q332-'Payment Total'!E332</f>
        <v>0</v>
      </c>
      <c r="C19" s="1" t="s">
        <v>770</v>
      </c>
    </row>
    <row r="20" spans="1:4" x14ac:dyDescent="0.2">
      <c r="A20" s="7" t="s">
        <v>806</v>
      </c>
      <c r="B20" s="3">
        <f>C20-'Budget Total'!C331</f>
        <v>0</v>
      </c>
      <c r="C20" s="3">
        <v>3475195885</v>
      </c>
    </row>
    <row r="21" spans="1:4" x14ac:dyDescent="0.2">
      <c r="A21" s="6" t="s">
        <v>761</v>
      </c>
      <c r="B21" s="3">
        <f>SUM('Payment Total'!$N$7:$N$331)</f>
        <v>0</v>
      </c>
    </row>
    <row r="22" spans="1:4" x14ac:dyDescent="0.2">
      <c r="A22" s="6" t="s">
        <v>762</v>
      </c>
      <c r="B22" s="63">
        <f>SUM('Payment Total'!$T$7:$T$331,'Payment Total'!$V$7:$V$331)</f>
        <v>0</v>
      </c>
    </row>
    <row r="23" spans="1:4" x14ac:dyDescent="0.2">
      <c r="A23" s="6" t="s">
        <v>763</v>
      </c>
      <c r="B23" s="63">
        <f>SUM('Payment by Source'!$K$6:$K$330)</f>
        <v>0</v>
      </c>
      <c r="C23" s="1" t="s">
        <v>767</v>
      </c>
    </row>
    <row r="24" spans="1:4" x14ac:dyDescent="0.2">
      <c r="A24" s="6" t="s">
        <v>764</v>
      </c>
      <c r="B24" s="3">
        <f>'Budget Total'!H331-SUM('Payment Total'!G332,'Payment Total'!H332)</f>
        <v>0</v>
      </c>
    </row>
    <row r="25" spans="1:4" x14ac:dyDescent="0.2">
      <c r="A25" s="6" t="s">
        <v>808</v>
      </c>
      <c r="B25" s="3">
        <f>C25-'Budget Total'!D331</f>
        <v>0</v>
      </c>
      <c r="C25" s="3">
        <v>391902</v>
      </c>
    </row>
    <row r="26" spans="1:4" x14ac:dyDescent="0.2">
      <c r="A26" s="6" t="s">
        <v>842</v>
      </c>
      <c r="B26" s="169">
        <f>C26-'Budget Total'!E331</f>
        <v>1.4848333332920447</v>
      </c>
      <c r="C26" s="3">
        <v>1019486.4848333333</v>
      </c>
      <c r="D26" s="170" t="s">
        <v>810</v>
      </c>
    </row>
    <row r="27" spans="1:4" x14ac:dyDescent="0.2">
      <c r="A27" s="6" t="s">
        <v>809</v>
      </c>
      <c r="B27" s="169">
        <f>C27-'Budget Total'!F331</f>
        <v>5.3899999987334013</v>
      </c>
      <c r="C27" s="169">
        <v>10954588.389999999</v>
      </c>
      <c r="D27" s="170" t="s">
        <v>810</v>
      </c>
    </row>
    <row r="28" spans="1:4" x14ac:dyDescent="0.2">
      <c r="A28" s="6" t="s">
        <v>811</v>
      </c>
      <c r="B28" s="169">
        <f>MIN('Payment by Source'!$I$6:$I$330)</f>
        <v>73610</v>
      </c>
      <c r="C28" s="169" t="str">
        <f>INDEX('Payment by Source'!$A$6:$I$330,MATCH(Notes!B28,'Payment by Source'!$I$6:$I$330,0),2)</f>
        <v>North Kossuth</v>
      </c>
      <c r="D28" s="169" t="s">
        <v>812</v>
      </c>
    </row>
    <row r="29" spans="1:4" x14ac:dyDescent="0.2">
      <c r="A29" s="6" t="s">
        <v>813</v>
      </c>
      <c r="B29" s="169">
        <f>C29-'Budget Total'!G331</f>
        <v>0</v>
      </c>
      <c r="C29" s="169">
        <v>3809254</v>
      </c>
      <c r="D29" s="169"/>
    </row>
    <row r="30" spans="1:4" x14ac:dyDescent="0.2">
      <c r="A30" s="6" t="s">
        <v>835</v>
      </c>
      <c r="B30" s="169">
        <f>COUNTIF(SpecialEdDeficit!$E$3:$E$329,"&gt;0")-C30</f>
        <v>0</v>
      </c>
      <c r="C30" s="169">
        <v>282</v>
      </c>
      <c r="D30" s="169" t="s">
        <v>836</v>
      </c>
    </row>
    <row r="31" spans="1:4" x14ac:dyDescent="0.2">
      <c r="A31" s="6"/>
    </row>
    <row r="32" spans="1:4" x14ac:dyDescent="0.2">
      <c r="A32" s="6" t="s">
        <v>753</v>
      </c>
    </row>
    <row r="33" spans="1:2" x14ac:dyDescent="0.2">
      <c r="A33" s="6" t="s">
        <v>796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785</v>
      </c>
      <c r="B36" s="71" t="s">
        <v>786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26" t="str">
        <f>CONCATENATE("FY ",Notes!$B$1," Summary of State Aid Payments to School Districts")</f>
        <v>FY 2024 Summary of State Aid Payments to School Districts</v>
      </c>
      <c r="B1" s="227"/>
      <c r="C1" s="227"/>
      <c r="D1" s="227"/>
      <c r="E1" s="228"/>
      <c r="F1" s="70"/>
    </row>
    <row r="2" spans="1:25" ht="19.5" customHeight="1" x14ac:dyDescent="0.3">
      <c r="A2" s="72"/>
      <c r="B2" s="73" t="s">
        <v>787</v>
      </c>
      <c r="C2" s="229"/>
      <c r="D2" s="229"/>
      <c r="E2" s="230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772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773</v>
      </c>
      <c r="C7" s="91"/>
      <c r="D7" s="91"/>
      <c r="E7" s="92"/>
      <c r="G7" s="133"/>
    </row>
    <row r="8" spans="1:25" ht="15.75" customHeight="1" x14ac:dyDescent="0.25">
      <c r="A8" s="89"/>
      <c r="B8" s="90" t="s">
        <v>774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90" t="s">
        <v>775</v>
      </c>
      <c r="C9" s="91">
        <f>-INDEX('Budget Total'!$A$6:$H$331,MATCH(PaymentSummary!$B$2,Districts,0),5)</f>
        <v>-1019485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776</v>
      </c>
      <c r="C10" s="91">
        <f>-INDEX('Budget Total'!$A$6:$H$331,MATCH(PaymentSummary!$B$2,Districts,0),6)</f>
        <v>-10954583</v>
      </c>
      <c r="D10" s="91"/>
      <c r="E10" s="92"/>
      <c r="F10" s="93"/>
      <c r="G10" s="134"/>
      <c r="H10" s="137"/>
      <c r="I10" s="235" t="str">
        <f>CONCATENATE("FY ",Notes!$B$1," Budget for State Payments to School Districts by Month by Source")</f>
        <v>FY 2024 Budget for State Payments to School Districts by Month by Source</v>
      </c>
      <c r="J10" s="235"/>
      <c r="K10" s="235"/>
      <c r="L10" s="235"/>
      <c r="M10" s="235"/>
      <c r="N10" s="235"/>
      <c r="O10" s="235"/>
      <c r="P10" s="235"/>
      <c r="Q10" s="236"/>
    </row>
    <row r="11" spans="1:25" ht="15.75" customHeight="1" x14ac:dyDescent="0.25">
      <c r="A11" s="89"/>
      <c r="B11" s="90" t="s">
        <v>777</v>
      </c>
      <c r="C11" s="91">
        <f>INDEX(SpecialEdDeficit!$A$3:$E$330,MATCH(PaymentSummary!$B$3,SpecialEdDeficit!$B$3:$B$330,0),5)</f>
        <v>2136401</v>
      </c>
      <c r="D11" s="91">
        <f>SUM(C8:C11)</f>
        <v>-10229569</v>
      </c>
      <c r="E11" s="92"/>
      <c r="F11" s="93"/>
      <c r="G11" s="134"/>
      <c r="H11" s="140"/>
      <c r="I11" s="223"/>
      <c r="J11" s="223"/>
      <c r="K11" s="223"/>
      <c r="L11" s="223"/>
      <c r="M11" s="223"/>
      <c r="N11" s="223"/>
      <c r="O11" s="223"/>
      <c r="P11" s="223"/>
      <c r="Q11" s="237"/>
    </row>
    <row r="12" spans="1:25" ht="15.75" customHeight="1" thickBot="1" x14ac:dyDescent="0.3">
      <c r="A12" s="89"/>
      <c r="B12" s="90" t="s">
        <v>778</v>
      </c>
      <c r="C12" s="91"/>
      <c r="D12" s="95">
        <f>D6+D11</f>
        <v>3464966316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31" t="s">
        <v>708</v>
      </c>
      <c r="J13" s="231" t="str">
        <f>Data!$M$1</f>
        <v>Preschool State Aid (Code 3117)</v>
      </c>
      <c r="K13" s="231" t="str">
        <f>Data!N1</f>
        <v>Teacher Salary (Code 3204)</v>
      </c>
      <c r="L13" s="233" t="str">
        <f>Data!O1</f>
        <v>Early Intervention (Code 3216)</v>
      </c>
      <c r="M13" s="231" t="str">
        <f>Data!P1</f>
        <v>Professional Development (Code 3376)</v>
      </c>
      <c r="N13" s="231" t="str">
        <f>Data!Q1</f>
        <v>Teacher Leadership (Code 3116)</v>
      </c>
      <c r="O13" s="233" t="s">
        <v>756</v>
      </c>
      <c r="P13" s="233" t="s">
        <v>359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779</v>
      </c>
      <c r="E14" s="92"/>
      <c r="G14" s="135"/>
      <c r="H14" s="140"/>
      <c r="I14" s="231"/>
      <c r="J14" s="231"/>
      <c r="K14" s="231"/>
      <c r="L14" s="233"/>
      <c r="M14" s="231"/>
      <c r="N14" s="231"/>
      <c r="O14" s="233"/>
      <c r="P14" s="233"/>
      <c r="Q14" s="143"/>
    </row>
    <row r="15" spans="1:25" ht="15.75" customHeight="1" x14ac:dyDescent="0.25">
      <c r="A15" s="89"/>
      <c r="B15" s="90" t="str">
        <f>CONCATENATE("FY ",Notes!$B$1," Payments (EFT Date):")</f>
        <v>FY 2024 Payments (EFT Date):</v>
      </c>
      <c r="C15" s="98"/>
      <c r="D15" s="100" t="s">
        <v>780</v>
      </c>
      <c r="E15" s="92"/>
      <c r="G15" s="133"/>
      <c r="H15" s="140"/>
      <c r="I15" s="232"/>
      <c r="J15" s="232"/>
      <c r="K15" s="232"/>
      <c r="L15" s="234"/>
      <c r="M15" s="232"/>
      <c r="N15" s="232"/>
      <c r="O15" s="234"/>
      <c r="P15" s="234"/>
      <c r="Q15" s="143"/>
    </row>
    <row r="16" spans="1:25" ht="15.75" customHeight="1" x14ac:dyDescent="0.25">
      <c r="A16" s="89"/>
      <c r="B16" s="199" t="str">
        <f>Notes!A37</f>
        <v>9/19/2023</v>
      </c>
      <c r="C16" s="98"/>
      <c r="D16" s="91">
        <f>INDEX(Data[],MATCH($B$3,Data[Dist],0),MATCH($G16,Data[#Headers],0))</f>
        <v>347378462</v>
      </c>
      <c r="E16" s="92"/>
      <c r="G16" s="133" t="str">
        <f>Data[[#Headers],[September Payment]]</f>
        <v>September Payment</v>
      </c>
      <c r="H16" s="140"/>
      <c r="I16" s="129" t="s">
        <v>709</v>
      </c>
      <c r="J16" s="91">
        <f>ROUND(INDEX(Data[],MATCH($B$3,Data[Dist],0),MATCH(J$13,Data[#Headers],0))/10,0)</f>
        <v>8982312</v>
      </c>
      <c r="K16" s="91">
        <f>ROUND(INDEX(Data[],MATCH($B$3,Data[Dist],0),MATCH(K$13,Data[#Headers],0))/10,0)</f>
        <v>31793022</v>
      </c>
      <c r="L16" s="91">
        <f>ROUND(INDEX(Data[],MATCH($B$3,Data[Dist],0),MATCH(L$13,Data[#Headers],0))/10,0)</f>
        <v>3911595</v>
      </c>
      <c r="M16" s="91">
        <f>ROUND(INDEX(Data[],MATCH($B$3,Data[Dist],0),MATCH(M$13,Data[#Headers],0))/10,0)</f>
        <v>3598701</v>
      </c>
      <c r="N16" s="91">
        <f>ROUND(INDEX(Data[],MATCH($B$3,Data[Dist],0),MATCH(N$13,Data[#Headers],0))/10,0)</f>
        <v>17941520</v>
      </c>
      <c r="O16" s="91">
        <f>P16-SUM(J16:N16)</f>
        <v>281151312</v>
      </c>
      <c r="P16" s="91">
        <f>D16</f>
        <v>347378462</v>
      </c>
      <c r="Q16" s="143"/>
    </row>
    <row r="17" spans="1:17" ht="15.75" customHeight="1" x14ac:dyDescent="0.25">
      <c r="A17" s="89"/>
      <c r="B17" s="199" t="str">
        <f>Notes!A38</f>
        <v>10/18/2023</v>
      </c>
      <c r="C17" s="98"/>
      <c r="D17" s="91">
        <f>INDEX(Data[],MATCH($B$3,Data[Dist],0),MATCH($G17,Data[#Headers],0))</f>
        <v>347378462</v>
      </c>
      <c r="E17" s="92"/>
      <c r="G17" s="133" t="str">
        <f>Data[[#Headers],[October Payment]]</f>
        <v>October Payment</v>
      </c>
      <c r="H17" s="140"/>
      <c r="I17" s="129" t="s">
        <v>712</v>
      </c>
      <c r="J17" s="91">
        <f>ROUND(INDEX(Data[],MATCH($B$3,Data[Dist],0),MATCH(J$13,Data[#Headers],0))/10,0)</f>
        <v>8982312</v>
      </c>
      <c r="K17" s="91">
        <f>ROUND(INDEX(Data[],MATCH($B$3,Data[Dist],0),MATCH(K$13,Data[#Headers],0))/10,0)</f>
        <v>31793022</v>
      </c>
      <c r="L17" s="91">
        <f>ROUND(INDEX(Data[],MATCH($B$3,Data[Dist],0),MATCH(L$13,Data[#Headers],0))/10,0)</f>
        <v>3911595</v>
      </c>
      <c r="M17" s="91">
        <f>ROUND(INDEX(Data[],MATCH($B$3,Data[Dist],0),MATCH(M$13,Data[#Headers],0))/10,0)</f>
        <v>3598701</v>
      </c>
      <c r="N17" s="91">
        <f>ROUND(INDEX(Data[],MATCH($B$3,Data[Dist],0),MATCH(N$13,Data[#Headers],0))/10,0)</f>
        <v>17941520</v>
      </c>
      <c r="O17" s="91">
        <f t="shared" ref="O17:O24" si="0">P17-SUM(J17:N17)</f>
        <v>281151312</v>
      </c>
      <c r="P17" s="91">
        <f t="shared" ref="P17:P25" si="1">D17</f>
        <v>347378462</v>
      </c>
      <c r="Q17" s="143"/>
    </row>
    <row r="18" spans="1:17" ht="15.75" customHeight="1" x14ac:dyDescent="0.25">
      <c r="A18" s="89"/>
      <c r="B18" s="199" t="str">
        <f>Notes!A39</f>
        <v>11/17/2023</v>
      </c>
      <c r="C18" s="98"/>
      <c r="D18" s="91">
        <f>INDEX(Data[],MATCH($B$3,Data[Dist],0),MATCH($G18,Data[#Headers],0))</f>
        <v>347378462</v>
      </c>
      <c r="E18" s="92"/>
      <c r="G18" s="133" t="str">
        <f>Data[[#Headers],[November Payment]]</f>
        <v>November Payment</v>
      </c>
      <c r="H18" s="140"/>
      <c r="I18" s="129" t="s">
        <v>713</v>
      </c>
      <c r="J18" s="91">
        <f>ROUND(INDEX(Data[],MATCH($B$3,Data[Dist],0),MATCH(J$13,Data[#Headers],0))/10,0)</f>
        <v>8982312</v>
      </c>
      <c r="K18" s="91">
        <f>ROUND(INDEX(Data[],MATCH($B$3,Data[Dist],0),MATCH(K$13,Data[#Headers],0))/10,0)</f>
        <v>31793022</v>
      </c>
      <c r="L18" s="91">
        <f>ROUND(INDEX(Data[],MATCH($B$3,Data[Dist],0),MATCH(L$13,Data[#Headers],0))/10,0)</f>
        <v>3911595</v>
      </c>
      <c r="M18" s="91">
        <f>ROUND(INDEX(Data[],MATCH($B$3,Data[Dist],0),MATCH(M$13,Data[#Headers],0))/10,0)</f>
        <v>3598701</v>
      </c>
      <c r="N18" s="91">
        <f>ROUND(INDEX(Data[],MATCH($B$3,Data[Dist],0),MATCH(N$13,Data[#Headers],0))/10,0)</f>
        <v>17941520</v>
      </c>
      <c r="O18" s="91">
        <f t="shared" si="0"/>
        <v>281151312</v>
      </c>
      <c r="P18" s="91">
        <f t="shared" si="1"/>
        <v>347378462</v>
      </c>
      <c r="Q18" s="143"/>
    </row>
    <row r="19" spans="1:17" ht="15.75" customHeight="1" x14ac:dyDescent="0.25">
      <c r="A19" s="89"/>
      <c r="B19" s="199" t="str">
        <f>Notes!A40</f>
        <v>12/19/2023</v>
      </c>
      <c r="C19" s="98"/>
      <c r="D19" s="91">
        <f>INDEX(Data[],MATCH($B$3,Data[Dist],0),MATCH($G19,Data[#Headers],0))</f>
        <v>347378462</v>
      </c>
      <c r="E19" s="92"/>
      <c r="G19" s="133" t="str">
        <f>Data[[#Headers],[December Payment]]</f>
        <v>December Payment</v>
      </c>
      <c r="H19" s="140"/>
      <c r="I19" s="129" t="s">
        <v>714</v>
      </c>
      <c r="J19" s="91">
        <f>ROUND(INDEX(Data[],MATCH($B$3,Data[Dist],0),MATCH(J$13,Data[#Headers],0))/10,0)</f>
        <v>8982312</v>
      </c>
      <c r="K19" s="91">
        <f>ROUND(INDEX(Data[],MATCH($B$3,Data[Dist],0),MATCH(K$13,Data[#Headers],0))/10,0)</f>
        <v>31793022</v>
      </c>
      <c r="L19" s="91">
        <f>ROUND(INDEX(Data[],MATCH($B$3,Data[Dist],0),MATCH(L$13,Data[#Headers],0))/10,0)</f>
        <v>3911595</v>
      </c>
      <c r="M19" s="91">
        <f>ROUND(INDEX(Data[],MATCH($B$3,Data[Dist],0),MATCH(M$13,Data[#Headers],0))/10,0)</f>
        <v>3598701</v>
      </c>
      <c r="N19" s="91">
        <f>ROUND(INDEX(Data[],MATCH($B$3,Data[Dist],0),MATCH(N$13,Data[#Headers],0))/10,0)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Notes!A41</f>
        <v>1/17/2024</v>
      </c>
      <c r="C20" s="98"/>
      <c r="D20" s="91">
        <f>INDEX(Data[],MATCH($B$3,Data[Dist],0),MATCH($G20,Data[#Headers],0))</f>
        <v>345552711</v>
      </c>
      <c r="E20" s="92"/>
      <c r="F20" s="96"/>
      <c r="G20" s="133" t="str">
        <f>Data[[#Headers],[January Payment]]</f>
        <v>January Payment</v>
      </c>
      <c r="H20" s="140"/>
      <c r="I20" s="129" t="s">
        <v>715</v>
      </c>
      <c r="J20" s="91">
        <f>ROUND(INDEX(Data[],MATCH($B$3,Data[Dist],0),MATCH(J$13,Data[#Headers],0))/10,0)</f>
        <v>8982312</v>
      </c>
      <c r="K20" s="91">
        <f>ROUND(INDEX(Data[],MATCH($B$3,Data[Dist],0),MATCH(K$13,Data[#Headers],0))/10,0)</f>
        <v>31793022</v>
      </c>
      <c r="L20" s="91">
        <f>ROUND(INDEX(Data[],MATCH($B$3,Data[Dist],0),MATCH(L$13,Data[#Headers],0))/10,0)</f>
        <v>3911595</v>
      </c>
      <c r="M20" s="91">
        <f>ROUND(INDEX(Data[],MATCH($B$3,Data[Dist],0),MATCH(M$13,Data[#Headers],0))/10,0)</f>
        <v>3598701</v>
      </c>
      <c r="N20" s="91">
        <f>ROUND(INDEX(Data[],MATCH($B$3,Data[Dist],0),MATCH(N$13,Data[#Headers],0))/10,0)</f>
        <v>17941520</v>
      </c>
      <c r="O20" s="91">
        <f t="shared" si="0"/>
        <v>279325561</v>
      </c>
      <c r="P20" s="91">
        <f t="shared" si="1"/>
        <v>345552711</v>
      </c>
      <c r="Q20" s="143"/>
    </row>
    <row r="21" spans="1:17" ht="15.75" customHeight="1" x14ac:dyDescent="0.25">
      <c r="A21" s="89"/>
      <c r="B21" s="199" t="str">
        <f>Notes!A42</f>
        <v>2/20/2024</v>
      </c>
      <c r="C21" s="98"/>
      <c r="D21" s="91">
        <f>INDEX(Data[],MATCH($B$3,Data[Dist],0),MATCH($G21,Data[#Headers],0))</f>
        <v>345552711</v>
      </c>
      <c r="E21" s="101"/>
      <c r="F21" s="96"/>
      <c r="G21" s="133" t="str">
        <f>Data[[#Headers],[February Payment]]</f>
        <v>February Payment</v>
      </c>
      <c r="H21" s="140"/>
      <c r="I21" s="129" t="s">
        <v>716</v>
      </c>
      <c r="J21" s="91">
        <f>ROUND(INDEX(Data[],MATCH($B$3,Data[Dist],0),MATCH(J$13,Data[#Headers],0))/10,0)</f>
        <v>8982312</v>
      </c>
      <c r="K21" s="91">
        <f>ROUND(INDEX(Data[],MATCH($B$3,Data[Dist],0),MATCH(K$13,Data[#Headers],0))/10,0)</f>
        <v>31793022</v>
      </c>
      <c r="L21" s="91">
        <f>ROUND(INDEX(Data[],MATCH($B$3,Data[Dist],0),MATCH(L$13,Data[#Headers],0))/10,0)</f>
        <v>3911595</v>
      </c>
      <c r="M21" s="91">
        <f>ROUND(INDEX(Data[],MATCH($B$3,Data[Dist],0),MATCH(M$13,Data[#Headers],0))/10,0)</f>
        <v>3598701</v>
      </c>
      <c r="N21" s="91">
        <f>ROUND(INDEX(Data[],MATCH($B$3,Data[Dist],0),MATCH(N$13,Data[#Headers],0))/10,0)</f>
        <v>17941520</v>
      </c>
      <c r="O21" s="91">
        <f t="shared" si="0"/>
        <v>279325561</v>
      </c>
      <c r="P21" s="91">
        <f t="shared" si="1"/>
        <v>345552711</v>
      </c>
      <c r="Q21" s="143"/>
    </row>
    <row r="22" spans="1:17" ht="15.75" customHeight="1" x14ac:dyDescent="0.25">
      <c r="A22" s="89"/>
      <c r="B22" s="199" t="str">
        <f>Notes!A43</f>
        <v>3/19/2024</v>
      </c>
      <c r="C22" s="98"/>
      <c r="D22" s="91">
        <f>INDEX(Data[],MATCH($B$3,Data[Dist],0),MATCH($G22,Data[#Headers],0))</f>
        <v>344600393</v>
      </c>
      <c r="E22" s="101"/>
      <c r="F22" s="96"/>
      <c r="G22" s="133" t="str">
        <f>Data[[#Headers],[March Payment]]</f>
        <v>March Payment</v>
      </c>
      <c r="H22" s="140"/>
      <c r="I22" s="129" t="s">
        <v>717</v>
      </c>
      <c r="J22" s="91">
        <f>ROUND(INDEX(Data[],MATCH($B$3,Data[Dist],0),MATCH(J$13,Data[#Headers],0))/10,0)</f>
        <v>8982312</v>
      </c>
      <c r="K22" s="91">
        <f>ROUND(INDEX(Data[],MATCH($B$3,Data[Dist],0),MATCH(K$13,Data[#Headers],0))/10,0)</f>
        <v>31793022</v>
      </c>
      <c r="L22" s="91">
        <f>ROUND(INDEX(Data[],MATCH($B$3,Data[Dist],0),MATCH(L$13,Data[#Headers],0))/10,0)</f>
        <v>3911595</v>
      </c>
      <c r="M22" s="91">
        <f>ROUND(INDEX(Data[],MATCH($B$3,Data[Dist],0),MATCH(M$13,Data[#Headers],0))/10,0)</f>
        <v>3598701</v>
      </c>
      <c r="N22" s="91">
        <f>ROUND(INDEX(Data[],MATCH($B$3,Data[Dist],0),MATCH(N$13,Data[#Headers],0))/10,0)</f>
        <v>17941520</v>
      </c>
      <c r="O22" s="91">
        <f t="shared" si="0"/>
        <v>278373243</v>
      </c>
      <c r="P22" s="91">
        <f t="shared" si="1"/>
        <v>344600393</v>
      </c>
      <c r="Q22" s="143"/>
    </row>
    <row r="23" spans="1:17" ht="15.75" customHeight="1" x14ac:dyDescent="0.25">
      <c r="A23" s="89"/>
      <c r="B23" s="199" t="str">
        <f>Notes!A44</f>
        <v>4/17/2024</v>
      </c>
      <c r="C23" s="98"/>
      <c r="D23" s="91">
        <f>INDEX(Data[],MATCH($B$3,Data[Dist],0),MATCH($G23,Data[#Headers],0))</f>
        <v>344600393</v>
      </c>
      <c r="E23" s="92"/>
      <c r="F23" s="96"/>
      <c r="G23" s="133" t="str">
        <f>Data[[#Headers],[April Payment]]</f>
        <v>April Payment</v>
      </c>
      <c r="H23" s="140"/>
      <c r="I23" s="129" t="s">
        <v>718</v>
      </c>
      <c r="J23" s="91">
        <f>ROUND(INDEX(Data[],MATCH($B$3,Data[Dist],0),MATCH(J$13,Data[#Headers],0))/10,0)</f>
        <v>8982312</v>
      </c>
      <c r="K23" s="91">
        <f>ROUND(INDEX(Data[],MATCH($B$3,Data[Dist],0),MATCH(K$13,Data[#Headers],0))/10,0)</f>
        <v>31793022</v>
      </c>
      <c r="L23" s="91">
        <f>ROUND(INDEX(Data[],MATCH($B$3,Data[Dist],0),MATCH(L$13,Data[#Headers],0))/10,0)</f>
        <v>3911595</v>
      </c>
      <c r="M23" s="91">
        <f>ROUND(INDEX(Data[],MATCH($B$3,Data[Dist],0),MATCH(M$13,Data[#Headers],0))/10,0)</f>
        <v>3598701</v>
      </c>
      <c r="N23" s="91">
        <f>ROUND(INDEX(Data[],MATCH($B$3,Data[Dist],0),MATCH(N$13,Data[#Headers],0))/10,0)</f>
        <v>17941520</v>
      </c>
      <c r="O23" s="91">
        <f t="shared" si="0"/>
        <v>278373243</v>
      </c>
      <c r="P23" s="91">
        <f t="shared" si="1"/>
        <v>344600393</v>
      </c>
      <c r="Q23" s="143"/>
    </row>
    <row r="24" spans="1:17" ht="15.75" customHeight="1" x14ac:dyDescent="0.25">
      <c r="A24" s="89"/>
      <c r="B24" s="199" t="str">
        <f>Notes!A45</f>
        <v>5/17/2024</v>
      </c>
      <c r="C24" s="98"/>
      <c r="D24" s="91">
        <f>INDEX(Data[],MATCH($B$3,Data[Dist],0),MATCH($G24,Data[#Headers],0))</f>
        <v>344600393</v>
      </c>
      <c r="E24" s="92"/>
      <c r="F24" s="96"/>
      <c r="G24" s="133" t="str">
        <f>Data[[#Headers],[May Payment]]</f>
        <v>May Payment</v>
      </c>
      <c r="H24" s="140"/>
      <c r="I24" s="129" t="s">
        <v>719</v>
      </c>
      <c r="J24" s="91">
        <f>ROUND(INDEX(Data[],MATCH($B$3,Data[Dist],0),MATCH(J$13,Data[#Headers],0))/10,0)</f>
        <v>8982312</v>
      </c>
      <c r="K24" s="91">
        <f>ROUND(INDEX(Data[],MATCH($B$3,Data[Dist],0),MATCH(K$13,Data[#Headers],0))/10,0)</f>
        <v>31793022</v>
      </c>
      <c r="L24" s="91">
        <f>ROUND(INDEX(Data[],MATCH($B$3,Data[Dist],0),MATCH(L$13,Data[#Headers],0))/10,0)</f>
        <v>3911595</v>
      </c>
      <c r="M24" s="91">
        <f>ROUND(INDEX(Data[],MATCH($B$3,Data[Dist],0),MATCH(M$13,Data[#Headers],0))/10,0)</f>
        <v>3598701</v>
      </c>
      <c r="N24" s="91">
        <f>ROUND(INDEX(Data[],MATCH($B$3,Data[Dist],0),MATCH(N$13,Data[#Headers],0))/10,0)</f>
        <v>17941520</v>
      </c>
      <c r="O24" s="91">
        <f t="shared" si="0"/>
        <v>278373243</v>
      </c>
      <c r="P24" s="91">
        <f t="shared" si="1"/>
        <v>344600393</v>
      </c>
      <c r="Q24" s="143"/>
    </row>
    <row r="25" spans="1:17" ht="15.75" customHeight="1" x14ac:dyDescent="0.25">
      <c r="A25" s="89"/>
      <c r="B25" s="199" t="str">
        <f>Notes!A46</f>
        <v>6/19/2024</v>
      </c>
      <c r="C25" s="98"/>
      <c r="D25" s="91">
        <f>INDEX(Data[],MATCH($B$3,Data[Dist],0),MATCH($G25,Data[#Headers],0))</f>
        <v>344600212</v>
      </c>
      <c r="E25" s="92"/>
      <c r="F25" s="96"/>
      <c r="G25" s="133" t="str">
        <f>Data[[#Headers],[June Payment]]</f>
        <v>June Payment</v>
      </c>
      <c r="H25" s="140"/>
      <c r="I25" s="129" t="s">
        <v>720</v>
      </c>
      <c r="J25" s="125">
        <f>INDEX('Payment by Source'!$A$6:$I$331,MATCH(PaymentSummary!$B$3,'Payment by Source'!$A$6:$A$331,0),MATCH(R$13,'Payment by Source'!$A$4:$I$4,0))</f>
        <v>8982323</v>
      </c>
      <c r="K25" s="125">
        <f>INDEX('Payment by Source'!$A$6:$I$331,MATCH(PaymentSummary!$B$3,'Payment by Source'!$A$6:$A$331,0),MATCH(S$13,'Payment by Source'!$A$4:$I$4,0))</f>
        <v>31793036</v>
      </c>
      <c r="L25" s="125">
        <f>INDEX('Payment by Source'!$A$6:$I$331,MATCH(PaymentSummary!$B$3,'Payment by Source'!$A$6:$A$331,0),MATCH(T$13,'Payment by Source'!$A$4:$I$4,0))</f>
        <v>3911609</v>
      </c>
      <c r="M25" s="125">
        <f>INDEX('Payment by Source'!$A$6:$I$331,MATCH(PaymentSummary!$B$3,'Payment by Source'!$A$6:$A$331,0),MATCH(U$13,'Payment by Source'!$A$4:$I$4,0))</f>
        <v>3598708</v>
      </c>
      <c r="N25" s="125">
        <f>INDEX('Payment by Source'!$A$6:$I$331,MATCH(PaymentSummary!$B$3,'Payment by Source'!$A$6:$A$331,0),MATCH(V$13,'Payment by Source'!$A$4:$I$4,0))</f>
        <v>17941539</v>
      </c>
      <c r="O25" s="125">
        <f>INDEX('Payment by Source'!$A$6:$I$331,MATCH(PaymentSummary!$B$3,'Payment by Source'!$A$6:$A$331,0),MATCH(W$13,'Payment by Source'!$A$4:$I$4,0))</f>
        <v>278373178</v>
      </c>
      <c r="P25" s="91">
        <f t="shared" si="1"/>
        <v>344600212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06/19/2024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789</v>
      </c>
      <c r="J26" s="95">
        <f>INDEX(Data[],MATCH($B$3,Data[Dist],0),MATCH(J$13,Data[#Headers],0))</f>
        <v>89823116</v>
      </c>
      <c r="K26" s="95">
        <f>INDEX(Data[],MATCH($B$3,Data[Dist],0),MATCH(K$13,Data[#Headers],0))</f>
        <v>317930217</v>
      </c>
      <c r="L26" s="95">
        <f>INDEX(Data[],MATCH($B$3,Data[Dist],0),MATCH(L$13,Data[#Headers],0))</f>
        <v>39115945</v>
      </c>
      <c r="M26" s="95">
        <f>INDEX(Data[],MATCH($B$3,Data[Dist],0),MATCH(M$13,Data[#Headers],0))</f>
        <v>35987009</v>
      </c>
      <c r="N26" s="95">
        <f>INDEX(Data[],MATCH($B$3,Data[Dist],0),MATCH(N$13,Data[#Headers],0))</f>
        <v>179415199</v>
      </c>
      <c r="O26" s="95">
        <f>SUM(O16:O25)</f>
        <v>2796749277</v>
      </c>
      <c r="P26" s="95">
        <f>SUM(P16:P25)</f>
        <v>3459020661</v>
      </c>
      <c r="Q26" s="143"/>
    </row>
    <row r="27" spans="1:17" ht="18" customHeight="1" thickTop="1" thickBot="1" x14ac:dyDescent="0.3">
      <c r="A27" s="89"/>
      <c r="B27" s="103" t="s">
        <v>781</v>
      </c>
      <c r="C27" s="98"/>
      <c r="D27" s="95">
        <f>SUM(D16:D26)</f>
        <v>3461157062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782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38" t="s">
        <v>794</v>
      </c>
      <c r="K33" s="238" t="s">
        <v>795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39"/>
      <c r="K34" s="239"/>
      <c r="L34" s="143"/>
    </row>
    <row r="35" spans="1:17" ht="15.75" customHeight="1" x14ac:dyDescent="0.25">
      <c r="A35" s="72"/>
      <c r="B35" s="90" t="s">
        <v>783</v>
      </c>
      <c r="C35" s="113"/>
      <c r="D35" s="113"/>
      <c r="E35" s="92"/>
      <c r="H35" s="140"/>
      <c r="I35" s="103"/>
      <c r="J35" s="240"/>
      <c r="K35" s="240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12/01/2023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714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02/01/2024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716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784</v>
      </c>
      <c r="C38" s="116"/>
      <c r="D38" s="117">
        <f>C36+C37</f>
        <v>104452984</v>
      </c>
      <c r="E38" s="92"/>
      <c r="H38" s="140"/>
      <c r="I38" s="130" t="s">
        <v>791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2024 AEA Flowthrough Amount</v>
      </c>
      <c r="C42" s="113"/>
      <c r="D42" s="95">
        <f>INDEX(Data[],MATCH(PaymentSummary!$B$3,Data[Dist],0),MATCH($G$42,Data[#Headers],0))</f>
        <v>244857014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K33:K35"/>
    <mergeCell ref="J33:J35"/>
    <mergeCell ref="N13:N15"/>
    <mergeCell ref="O13:O15"/>
    <mergeCell ref="P13:P15"/>
    <mergeCell ref="M13:M15"/>
    <mergeCell ref="A1:E1"/>
    <mergeCell ref="C2:E2"/>
    <mergeCell ref="J13:J15"/>
    <mergeCell ref="K13:K15"/>
    <mergeCell ref="L13:L15"/>
    <mergeCell ref="I13:I15"/>
    <mergeCell ref="I10:Q11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352</v>
      </c>
      <c r="B2" s="201" t="s">
        <v>797</v>
      </c>
      <c r="C2" s="200" t="s">
        <v>353</v>
      </c>
      <c r="D2" s="201" t="s">
        <v>802</v>
      </c>
      <c r="E2" s="201" t="s">
        <v>803</v>
      </c>
    </row>
    <row r="3" spans="1:8" x14ac:dyDescent="0.25">
      <c r="A3" s="202">
        <v>2023</v>
      </c>
      <c r="B3" s="203" t="s">
        <v>20</v>
      </c>
      <c r="C3" s="204" t="s">
        <v>20</v>
      </c>
      <c r="D3" s="203" t="s">
        <v>380</v>
      </c>
      <c r="E3" s="205">
        <v>1614</v>
      </c>
    </row>
    <row r="4" spans="1:8" x14ac:dyDescent="0.25">
      <c r="A4" s="202">
        <v>2023</v>
      </c>
      <c r="B4" s="203" t="s">
        <v>21</v>
      </c>
      <c r="C4" s="204" t="s">
        <v>21</v>
      </c>
      <c r="D4" s="203" t="s">
        <v>381</v>
      </c>
      <c r="E4" s="205">
        <v>13862</v>
      </c>
    </row>
    <row r="5" spans="1:8" x14ac:dyDescent="0.25">
      <c r="A5" s="202">
        <v>2023</v>
      </c>
      <c r="B5" s="203" t="s">
        <v>19</v>
      </c>
      <c r="C5" s="204" t="s">
        <v>19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41</v>
      </c>
      <c r="C6" s="204" t="s">
        <v>41</v>
      </c>
      <c r="D6" s="203" t="s">
        <v>18</v>
      </c>
      <c r="E6" s="205">
        <v>5886</v>
      </c>
    </row>
    <row r="7" spans="1:8" x14ac:dyDescent="0.25">
      <c r="A7" s="202">
        <v>2023</v>
      </c>
      <c r="B7" s="203" t="s">
        <v>22</v>
      </c>
      <c r="C7" s="204" t="s">
        <v>22</v>
      </c>
      <c r="D7" s="203" t="s">
        <v>382</v>
      </c>
      <c r="E7" s="205">
        <v>7703</v>
      </c>
    </row>
    <row r="8" spans="1:8" x14ac:dyDescent="0.25">
      <c r="A8" s="202">
        <v>2023</v>
      </c>
      <c r="B8" s="203" t="s">
        <v>23</v>
      </c>
      <c r="C8" s="204" t="s">
        <v>23</v>
      </c>
      <c r="D8" s="203" t="s">
        <v>383</v>
      </c>
      <c r="E8" s="205">
        <v>0</v>
      </c>
    </row>
    <row r="9" spans="1:8" x14ac:dyDescent="0.25">
      <c r="A9" s="202">
        <v>2023</v>
      </c>
      <c r="B9" s="203" t="s">
        <v>24</v>
      </c>
      <c r="C9" s="204" t="s">
        <v>24</v>
      </c>
      <c r="D9" s="203" t="s">
        <v>384</v>
      </c>
      <c r="E9" s="205">
        <v>6277</v>
      </c>
    </row>
    <row r="10" spans="1:8" x14ac:dyDescent="0.25">
      <c r="A10" s="202">
        <v>2023</v>
      </c>
      <c r="B10" s="203" t="s">
        <v>25</v>
      </c>
      <c r="C10" s="204" t="s">
        <v>25</v>
      </c>
      <c r="D10" s="203" t="s">
        <v>385</v>
      </c>
      <c r="E10" s="205">
        <v>506</v>
      </c>
    </row>
    <row r="11" spans="1:8" x14ac:dyDescent="0.25">
      <c r="A11" s="202">
        <v>2023</v>
      </c>
      <c r="B11" s="203" t="s">
        <v>26</v>
      </c>
      <c r="C11" s="204" t="s">
        <v>26</v>
      </c>
      <c r="D11" s="203" t="s">
        <v>386</v>
      </c>
      <c r="E11" s="205">
        <v>1383</v>
      </c>
    </row>
    <row r="12" spans="1:8" x14ac:dyDescent="0.25">
      <c r="A12" s="202">
        <v>2023</v>
      </c>
      <c r="B12" s="203" t="s">
        <v>27</v>
      </c>
      <c r="C12" s="204" t="s">
        <v>27</v>
      </c>
      <c r="D12" s="203" t="s">
        <v>387</v>
      </c>
      <c r="E12" s="205">
        <v>13453</v>
      </c>
    </row>
    <row r="13" spans="1:8" x14ac:dyDescent="0.25">
      <c r="A13" s="202">
        <v>2023</v>
      </c>
      <c r="B13" s="203" t="s">
        <v>28</v>
      </c>
      <c r="C13" s="204" t="s">
        <v>28</v>
      </c>
      <c r="D13" s="203" t="s">
        <v>388</v>
      </c>
      <c r="E13" s="205">
        <v>7229</v>
      </c>
    </row>
    <row r="14" spans="1:8" x14ac:dyDescent="0.25">
      <c r="A14" s="202">
        <v>2023</v>
      </c>
      <c r="B14" s="203" t="s">
        <v>30</v>
      </c>
      <c r="C14" s="204" t="s">
        <v>30</v>
      </c>
      <c r="D14" s="203" t="s">
        <v>798</v>
      </c>
      <c r="E14" s="205">
        <v>1315</v>
      </c>
    </row>
    <row r="15" spans="1:8" x14ac:dyDescent="0.25">
      <c r="A15" s="202">
        <v>2023</v>
      </c>
      <c r="B15" s="203" t="s">
        <v>31</v>
      </c>
      <c r="C15" s="204" t="s">
        <v>31</v>
      </c>
      <c r="D15" s="203" t="s">
        <v>390</v>
      </c>
      <c r="E15" s="205">
        <v>19251</v>
      </c>
    </row>
    <row r="16" spans="1:8" x14ac:dyDescent="0.25">
      <c r="A16" s="202">
        <v>2023</v>
      </c>
      <c r="B16" s="203" t="s">
        <v>32</v>
      </c>
      <c r="C16" s="204" t="s">
        <v>32</v>
      </c>
      <c r="D16" s="203" t="s">
        <v>391</v>
      </c>
      <c r="E16" s="205">
        <v>1119</v>
      </c>
    </row>
    <row r="17" spans="1:5" x14ac:dyDescent="0.25">
      <c r="A17" s="202">
        <v>2023</v>
      </c>
      <c r="B17" s="203" t="s">
        <v>33</v>
      </c>
      <c r="C17" s="204" t="s">
        <v>33</v>
      </c>
      <c r="D17" s="203" t="s">
        <v>392</v>
      </c>
      <c r="E17" s="205">
        <v>3243</v>
      </c>
    </row>
    <row r="18" spans="1:5" x14ac:dyDescent="0.25">
      <c r="A18" s="202">
        <v>2023</v>
      </c>
      <c r="B18" s="203" t="s">
        <v>34</v>
      </c>
      <c r="C18" s="204" t="s">
        <v>34</v>
      </c>
      <c r="D18" s="203" t="s">
        <v>393</v>
      </c>
      <c r="E18" s="205">
        <v>104331</v>
      </c>
    </row>
    <row r="19" spans="1:5" x14ac:dyDescent="0.25">
      <c r="A19" s="202">
        <v>2023</v>
      </c>
      <c r="B19" s="203" t="s">
        <v>35</v>
      </c>
      <c r="C19" s="204" t="s">
        <v>35</v>
      </c>
      <c r="D19" s="203" t="s">
        <v>394</v>
      </c>
      <c r="E19" s="205">
        <v>82</v>
      </c>
    </row>
    <row r="20" spans="1:5" x14ac:dyDescent="0.25">
      <c r="A20" s="202">
        <v>2023</v>
      </c>
      <c r="B20" s="203" t="s">
        <v>37</v>
      </c>
      <c r="C20" s="204" t="s">
        <v>37</v>
      </c>
      <c r="D20" s="203" t="s">
        <v>396</v>
      </c>
      <c r="E20" s="205">
        <v>0</v>
      </c>
    </row>
    <row r="21" spans="1:5" x14ac:dyDescent="0.25">
      <c r="A21" s="202">
        <v>2023</v>
      </c>
      <c r="B21" s="203" t="s">
        <v>38</v>
      </c>
      <c r="C21" s="204" t="s">
        <v>38</v>
      </c>
      <c r="D21" s="203" t="s">
        <v>397</v>
      </c>
      <c r="E21" s="205">
        <v>8674</v>
      </c>
    </row>
    <row r="22" spans="1:5" x14ac:dyDescent="0.25">
      <c r="A22" s="202">
        <v>2023</v>
      </c>
      <c r="B22" s="203" t="s">
        <v>39</v>
      </c>
      <c r="C22" s="204" t="s">
        <v>39</v>
      </c>
      <c r="D22" s="203" t="s">
        <v>398</v>
      </c>
      <c r="E22" s="205">
        <v>584</v>
      </c>
    </row>
    <row r="23" spans="1:5" x14ac:dyDescent="0.25">
      <c r="A23" s="202">
        <v>2023</v>
      </c>
      <c r="B23" s="203" t="s">
        <v>42</v>
      </c>
      <c r="C23" s="204" t="s">
        <v>42</v>
      </c>
      <c r="D23" s="203" t="s">
        <v>399</v>
      </c>
      <c r="E23" s="205">
        <v>14130</v>
      </c>
    </row>
    <row r="24" spans="1:5" x14ac:dyDescent="0.25">
      <c r="A24" s="202">
        <v>2023</v>
      </c>
      <c r="B24" s="203" t="s">
        <v>44</v>
      </c>
      <c r="C24" s="204" t="s">
        <v>44</v>
      </c>
      <c r="D24" s="203" t="s">
        <v>400</v>
      </c>
      <c r="E24" s="205">
        <v>875</v>
      </c>
    </row>
    <row r="25" spans="1:5" x14ac:dyDescent="0.25">
      <c r="A25" s="202">
        <v>2023</v>
      </c>
      <c r="B25" s="203" t="s">
        <v>45</v>
      </c>
      <c r="C25" s="204" t="s">
        <v>45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46</v>
      </c>
      <c r="C26" s="204" t="s">
        <v>46</v>
      </c>
      <c r="D26" s="203" t="s">
        <v>401</v>
      </c>
      <c r="E26" s="205">
        <v>1876</v>
      </c>
    </row>
    <row r="27" spans="1:5" x14ac:dyDescent="0.25">
      <c r="A27" s="202">
        <v>2023</v>
      </c>
      <c r="B27" s="203" t="s">
        <v>47</v>
      </c>
      <c r="C27" s="204" t="s">
        <v>47</v>
      </c>
      <c r="D27" s="203" t="s">
        <v>402</v>
      </c>
      <c r="E27" s="205">
        <v>4343</v>
      </c>
    </row>
    <row r="28" spans="1:5" x14ac:dyDescent="0.25">
      <c r="A28" s="202">
        <v>2023</v>
      </c>
      <c r="B28" s="203" t="s">
        <v>48</v>
      </c>
      <c r="C28" s="204" t="s">
        <v>48</v>
      </c>
      <c r="D28" s="203" t="s">
        <v>403</v>
      </c>
      <c r="E28" s="205">
        <v>647</v>
      </c>
    </row>
    <row r="29" spans="1:5" x14ac:dyDescent="0.25">
      <c r="A29" s="202">
        <v>2023</v>
      </c>
      <c r="B29" s="203" t="s">
        <v>49</v>
      </c>
      <c r="C29" s="204" t="s">
        <v>49</v>
      </c>
      <c r="D29" s="203" t="s">
        <v>404</v>
      </c>
      <c r="E29" s="205">
        <v>7240</v>
      </c>
    </row>
    <row r="30" spans="1:5" x14ac:dyDescent="0.25">
      <c r="A30" s="202">
        <v>2023</v>
      </c>
      <c r="B30" s="203" t="s">
        <v>50</v>
      </c>
      <c r="C30" s="204" t="s">
        <v>50</v>
      </c>
      <c r="D30" s="203" t="s">
        <v>405</v>
      </c>
      <c r="E30" s="205">
        <v>0</v>
      </c>
    </row>
    <row r="31" spans="1:5" x14ac:dyDescent="0.25">
      <c r="A31" s="202">
        <v>2023</v>
      </c>
      <c r="B31" s="203" t="s">
        <v>51</v>
      </c>
      <c r="C31" s="204" t="s">
        <v>51</v>
      </c>
      <c r="D31" s="203" t="s">
        <v>406</v>
      </c>
      <c r="E31" s="205">
        <v>1554</v>
      </c>
    </row>
    <row r="32" spans="1:5" x14ac:dyDescent="0.25">
      <c r="A32" s="202">
        <v>2023</v>
      </c>
      <c r="B32" s="203" t="s">
        <v>52</v>
      </c>
      <c r="C32" s="204" t="s">
        <v>52</v>
      </c>
      <c r="D32" s="203" t="s">
        <v>407</v>
      </c>
      <c r="E32" s="205">
        <v>8696</v>
      </c>
    </row>
    <row r="33" spans="1:5" x14ac:dyDescent="0.25">
      <c r="A33" s="202">
        <v>2023</v>
      </c>
      <c r="B33" s="203" t="s">
        <v>54</v>
      </c>
      <c r="C33" s="204" t="s">
        <v>54</v>
      </c>
      <c r="D33" s="203" t="s">
        <v>409</v>
      </c>
      <c r="E33" s="205">
        <v>7414</v>
      </c>
    </row>
    <row r="34" spans="1:5" x14ac:dyDescent="0.25">
      <c r="A34" s="202">
        <v>2023</v>
      </c>
      <c r="B34" s="203" t="s">
        <v>55</v>
      </c>
      <c r="C34" s="204" t="s">
        <v>55</v>
      </c>
      <c r="D34" s="203" t="s">
        <v>410</v>
      </c>
      <c r="E34" s="205">
        <v>1113</v>
      </c>
    </row>
    <row r="35" spans="1:5" x14ac:dyDescent="0.25">
      <c r="A35" s="202">
        <v>2023</v>
      </c>
      <c r="B35" s="203" t="s">
        <v>56</v>
      </c>
      <c r="C35" s="204" t="s">
        <v>56</v>
      </c>
      <c r="D35" s="203" t="s">
        <v>411</v>
      </c>
      <c r="E35" s="205">
        <v>2718</v>
      </c>
    </row>
    <row r="36" spans="1:5" x14ac:dyDescent="0.25">
      <c r="A36" s="202">
        <v>2023</v>
      </c>
      <c r="B36" s="203" t="s">
        <v>112</v>
      </c>
      <c r="C36" s="204" t="s">
        <v>112</v>
      </c>
      <c r="D36" s="203" t="s">
        <v>465</v>
      </c>
      <c r="E36" s="205">
        <v>0</v>
      </c>
    </row>
    <row r="37" spans="1:5" x14ac:dyDescent="0.25">
      <c r="A37" s="202">
        <v>2023</v>
      </c>
      <c r="B37" s="203" t="s">
        <v>58</v>
      </c>
      <c r="C37" s="204" t="s">
        <v>58</v>
      </c>
      <c r="D37" s="203" t="s">
        <v>413</v>
      </c>
      <c r="E37" s="205">
        <v>1032</v>
      </c>
    </row>
    <row r="38" spans="1:5" x14ac:dyDescent="0.25">
      <c r="A38" s="202">
        <v>2023</v>
      </c>
      <c r="B38" s="203" t="s">
        <v>60</v>
      </c>
      <c r="C38" s="204" t="s">
        <v>60</v>
      </c>
      <c r="D38" s="203" t="s">
        <v>415</v>
      </c>
      <c r="E38" s="205">
        <v>0</v>
      </c>
    </row>
    <row r="39" spans="1:5" x14ac:dyDescent="0.25">
      <c r="A39" s="202">
        <v>2023</v>
      </c>
      <c r="B39" s="203" t="s">
        <v>62</v>
      </c>
      <c r="C39" s="204" t="s">
        <v>62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63</v>
      </c>
      <c r="C40" s="204" t="s">
        <v>63</v>
      </c>
      <c r="D40" s="203" t="s">
        <v>416</v>
      </c>
      <c r="E40" s="205">
        <v>2579</v>
      </c>
    </row>
    <row r="41" spans="1:5" x14ac:dyDescent="0.25">
      <c r="A41" s="202">
        <v>2023</v>
      </c>
      <c r="B41" s="203" t="s">
        <v>61</v>
      </c>
      <c r="C41" s="204" t="s">
        <v>61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64</v>
      </c>
      <c r="C42" s="204" t="s">
        <v>64</v>
      </c>
      <c r="D42" s="203" t="s">
        <v>417</v>
      </c>
      <c r="E42" s="205">
        <v>6680</v>
      </c>
    </row>
    <row r="43" spans="1:5" x14ac:dyDescent="0.25">
      <c r="A43" s="202">
        <v>2023</v>
      </c>
      <c r="B43" s="203" t="s">
        <v>65</v>
      </c>
      <c r="C43" s="204" t="s">
        <v>65</v>
      </c>
      <c r="D43" s="203" t="s">
        <v>418</v>
      </c>
      <c r="E43" s="205">
        <v>0</v>
      </c>
    </row>
    <row r="44" spans="1:5" x14ac:dyDescent="0.25">
      <c r="A44" s="202">
        <v>2023</v>
      </c>
      <c r="B44" s="203" t="s">
        <v>66</v>
      </c>
      <c r="C44" s="204" t="s">
        <v>66</v>
      </c>
      <c r="D44" s="203" t="s">
        <v>419</v>
      </c>
      <c r="E44" s="205">
        <v>2642</v>
      </c>
    </row>
    <row r="45" spans="1:5" x14ac:dyDescent="0.25">
      <c r="A45" s="202">
        <v>2023</v>
      </c>
      <c r="B45" s="203" t="s">
        <v>67</v>
      </c>
      <c r="C45" s="204" t="s">
        <v>67</v>
      </c>
      <c r="D45" s="203" t="s">
        <v>420</v>
      </c>
      <c r="E45" s="205">
        <v>2773</v>
      </c>
    </row>
    <row r="46" spans="1:5" x14ac:dyDescent="0.25">
      <c r="A46" s="202">
        <v>2023</v>
      </c>
      <c r="B46" s="203" t="s">
        <v>68</v>
      </c>
      <c r="C46" s="204" t="s">
        <v>68</v>
      </c>
      <c r="D46" s="203" t="s">
        <v>421</v>
      </c>
      <c r="E46" s="205">
        <v>5409</v>
      </c>
    </row>
    <row r="47" spans="1:5" x14ac:dyDescent="0.25">
      <c r="A47" s="202">
        <v>2023</v>
      </c>
      <c r="B47" s="203" t="s">
        <v>69</v>
      </c>
      <c r="C47" s="204" t="s">
        <v>69</v>
      </c>
      <c r="D47" s="203" t="s">
        <v>422</v>
      </c>
      <c r="E47" s="205">
        <v>105712</v>
      </c>
    </row>
    <row r="48" spans="1:5" x14ac:dyDescent="0.25">
      <c r="A48" s="202">
        <v>2023</v>
      </c>
      <c r="B48" s="203" t="s">
        <v>70</v>
      </c>
      <c r="C48" s="204" t="s">
        <v>70</v>
      </c>
      <c r="D48" s="203" t="s">
        <v>423</v>
      </c>
      <c r="E48" s="205">
        <v>1990</v>
      </c>
    </row>
    <row r="49" spans="1:5" x14ac:dyDescent="0.25">
      <c r="A49" s="202">
        <v>2023</v>
      </c>
      <c r="B49" s="203" t="s">
        <v>71</v>
      </c>
      <c r="C49" s="204" t="s">
        <v>71</v>
      </c>
      <c r="D49" s="203" t="s">
        <v>424</v>
      </c>
      <c r="E49" s="205">
        <v>1033</v>
      </c>
    </row>
    <row r="50" spans="1:5" x14ac:dyDescent="0.25">
      <c r="A50" s="202">
        <v>2023</v>
      </c>
      <c r="B50" s="203" t="s">
        <v>75</v>
      </c>
      <c r="C50" s="204" t="s">
        <v>75</v>
      </c>
      <c r="D50" s="203" t="s">
        <v>428</v>
      </c>
      <c r="E50" s="205">
        <v>2693</v>
      </c>
    </row>
    <row r="51" spans="1:5" x14ac:dyDescent="0.25">
      <c r="A51" s="202">
        <v>2023</v>
      </c>
      <c r="B51" s="203" t="s">
        <v>73</v>
      </c>
      <c r="C51" s="204" t="s">
        <v>73</v>
      </c>
      <c r="D51" s="203" t="s">
        <v>426</v>
      </c>
      <c r="E51" s="205">
        <v>979</v>
      </c>
    </row>
    <row r="52" spans="1:5" x14ac:dyDescent="0.25">
      <c r="A52" s="202">
        <v>2023</v>
      </c>
      <c r="B52" s="203" t="s">
        <v>74</v>
      </c>
      <c r="C52" s="204" t="s">
        <v>74</v>
      </c>
      <c r="D52" s="203" t="s">
        <v>427</v>
      </c>
      <c r="E52" s="205">
        <v>8811</v>
      </c>
    </row>
    <row r="53" spans="1:5" x14ac:dyDescent="0.25">
      <c r="A53" s="202">
        <v>2023</v>
      </c>
      <c r="B53" s="203" t="s">
        <v>76</v>
      </c>
      <c r="C53" s="204" t="s">
        <v>76</v>
      </c>
      <c r="D53" s="203" t="s">
        <v>429</v>
      </c>
      <c r="E53" s="205">
        <v>1301</v>
      </c>
    </row>
    <row r="54" spans="1:5" x14ac:dyDescent="0.25">
      <c r="A54" s="202">
        <v>2023</v>
      </c>
      <c r="B54" s="203" t="s">
        <v>72</v>
      </c>
      <c r="C54" s="204" t="s">
        <v>72</v>
      </c>
      <c r="D54" s="203" t="s">
        <v>425</v>
      </c>
      <c r="E54" s="205">
        <v>2553</v>
      </c>
    </row>
    <row r="55" spans="1:5" x14ac:dyDescent="0.25">
      <c r="A55" s="202">
        <v>2023</v>
      </c>
      <c r="B55" s="203" t="s">
        <v>77</v>
      </c>
      <c r="C55" s="204" t="s">
        <v>77</v>
      </c>
      <c r="D55" s="203" t="s">
        <v>430</v>
      </c>
      <c r="E55" s="205">
        <v>108</v>
      </c>
    </row>
    <row r="56" spans="1:5" x14ac:dyDescent="0.25">
      <c r="A56" s="202">
        <v>2023</v>
      </c>
      <c r="B56" s="203" t="s">
        <v>229</v>
      </c>
      <c r="C56" s="204" t="s">
        <v>229</v>
      </c>
      <c r="D56" s="203" t="s">
        <v>579</v>
      </c>
      <c r="E56" s="205">
        <v>4026</v>
      </c>
    </row>
    <row r="57" spans="1:5" x14ac:dyDescent="0.25">
      <c r="A57" s="202">
        <v>2023</v>
      </c>
      <c r="B57" s="203" t="s">
        <v>78</v>
      </c>
      <c r="C57" s="204" t="s">
        <v>78</v>
      </c>
      <c r="D57" s="203" t="s">
        <v>431</v>
      </c>
      <c r="E57" s="205">
        <v>2471</v>
      </c>
    </row>
    <row r="58" spans="1:5" x14ac:dyDescent="0.25">
      <c r="A58" s="202">
        <v>2023</v>
      </c>
      <c r="B58" s="203" t="s">
        <v>79</v>
      </c>
      <c r="C58" s="204" t="s">
        <v>79</v>
      </c>
      <c r="D58" s="203" t="s">
        <v>432</v>
      </c>
      <c r="E58" s="205">
        <v>2542</v>
      </c>
    </row>
    <row r="59" spans="1:5" x14ac:dyDescent="0.25">
      <c r="A59" s="202">
        <v>2023</v>
      </c>
      <c r="B59" s="203" t="s">
        <v>80</v>
      </c>
      <c r="C59" s="204" t="s">
        <v>80</v>
      </c>
      <c r="D59" s="203" t="s">
        <v>433</v>
      </c>
      <c r="E59" s="205">
        <v>1628</v>
      </c>
    </row>
    <row r="60" spans="1:5" x14ac:dyDescent="0.25">
      <c r="A60" s="202">
        <v>2023</v>
      </c>
      <c r="B60" s="203" t="s">
        <v>81</v>
      </c>
      <c r="C60" s="204" t="s">
        <v>81</v>
      </c>
      <c r="D60" s="203" t="s">
        <v>434</v>
      </c>
      <c r="E60" s="205">
        <v>0</v>
      </c>
    </row>
    <row r="61" spans="1:5" x14ac:dyDescent="0.25">
      <c r="A61" s="202">
        <v>2023</v>
      </c>
      <c r="B61" s="203" t="s">
        <v>82</v>
      </c>
      <c r="C61" s="204" t="s">
        <v>82</v>
      </c>
      <c r="D61" s="203" t="s">
        <v>435</v>
      </c>
      <c r="E61" s="205">
        <v>2786</v>
      </c>
    </row>
    <row r="62" spans="1:5" x14ac:dyDescent="0.25">
      <c r="A62" s="202">
        <v>2023</v>
      </c>
      <c r="B62" s="203" t="s">
        <v>83</v>
      </c>
      <c r="C62" s="204" t="s">
        <v>83</v>
      </c>
      <c r="D62" s="203" t="s">
        <v>436</v>
      </c>
      <c r="E62" s="205">
        <v>8844</v>
      </c>
    </row>
    <row r="63" spans="1:5" x14ac:dyDescent="0.25">
      <c r="A63" s="202">
        <v>2023</v>
      </c>
      <c r="B63" s="203" t="s">
        <v>84</v>
      </c>
      <c r="C63" s="204" t="s">
        <v>84</v>
      </c>
      <c r="D63" s="203" t="s">
        <v>437</v>
      </c>
      <c r="E63" s="205">
        <v>5715</v>
      </c>
    </row>
    <row r="64" spans="1:5" x14ac:dyDescent="0.25">
      <c r="A64" s="202">
        <v>2023</v>
      </c>
      <c r="B64" s="203" t="s">
        <v>85</v>
      </c>
      <c r="C64" s="204" t="s">
        <v>85</v>
      </c>
      <c r="D64" s="203" t="s">
        <v>438</v>
      </c>
      <c r="E64" s="205">
        <v>2994</v>
      </c>
    </row>
    <row r="65" spans="1:5" x14ac:dyDescent="0.25">
      <c r="A65" s="202">
        <v>2023</v>
      </c>
      <c r="B65" s="203" t="s">
        <v>86</v>
      </c>
      <c r="C65" s="204" t="s">
        <v>86</v>
      </c>
      <c r="D65" s="203" t="s">
        <v>439</v>
      </c>
      <c r="E65" s="205">
        <v>1509</v>
      </c>
    </row>
    <row r="66" spans="1:5" x14ac:dyDescent="0.25">
      <c r="A66" s="202">
        <v>2023</v>
      </c>
      <c r="B66" s="203" t="s">
        <v>149</v>
      </c>
      <c r="C66" s="204" t="s">
        <v>149</v>
      </c>
      <c r="D66" s="203" t="s">
        <v>501</v>
      </c>
      <c r="E66" s="205">
        <v>3513</v>
      </c>
    </row>
    <row r="67" spans="1:5" x14ac:dyDescent="0.25">
      <c r="A67" s="202">
        <v>2023</v>
      </c>
      <c r="B67" s="203" t="s">
        <v>87</v>
      </c>
      <c r="C67" s="204" t="s">
        <v>87</v>
      </c>
      <c r="D67" s="203" t="s">
        <v>440</v>
      </c>
      <c r="E67" s="205">
        <v>13614</v>
      </c>
    </row>
    <row r="68" spans="1:5" x14ac:dyDescent="0.25">
      <c r="A68" s="202">
        <v>2023</v>
      </c>
      <c r="B68" s="203" t="s">
        <v>88</v>
      </c>
      <c r="C68" s="204" t="s">
        <v>88</v>
      </c>
      <c r="D68" s="203" t="s">
        <v>441</v>
      </c>
      <c r="E68" s="205">
        <v>2554</v>
      </c>
    </row>
    <row r="69" spans="1:5" x14ac:dyDescent="0.25">
      <c r="A69" s="202">
        <v>2023</v>
      </c>
      <c r="B69" s="203" t="s">
        <v>89</v>
      </c>
      <c r="C69" s="204" t="s">
        <v>89</v>
      </c>
      <c r="D69" s="203" t="s">
        <v>442</v>
      </c>
      <c r="E69" s="205">
        <v>0</v>
      </c>
    </row>
    <row r="70" spans="1:5" x14ac:dyDescent="0.25">
      <c r="A70" s="202">
        <v>2023</v>
      </c>
      <c r="B70" s="203" t="s">
        <v>90</v>
      </c>
      <c r="C70" s="204" t="s">
        <v>90</v>
      </c>
      <c r="D70" s="203" t="s">
        <v>443</v>
      </c>
      <c r="E70" s="205">
        <v>4720</v>
      </c>
    </row>
    <row r="71" spans="1:5" x14ac:dyDescent="0.25">
      <c r="A71" s="202">
        <v>2023</v>
      </c>
      <c r="B71" s="203" t="s">
        <v>91</v>
      </c>
      <c r="C71" s="204" t="s">
        <v>91</v>
      </c>
      <c r="D71" s="203" t="s">
        <v>444</v>
      </c>
      <c r="E71" s="205">
        <v>30697</v>
      </c>
    </row>
    <row r="72" spans="1:5" x14ac:dyDescent="0.25">
      <c r="A72" s="202">
        <v>2023</v>
      </c>
      <c r="B72" s="203" t="s">
        <v>92</v>
      </c>
      <c r="C72" s="204" t="s">
        <v>92</v>
      </c>
      <c r="D72" s="203" t="s">
        <v>445</v>
      </c>
      <c r="E72" s="205">
        <v>0</v>
      </c>
    </row>
    <row r="73" spans="1:5" x14ac:dyDescent="0.25">
      <c r="A73" s="202">
        <v>2023</v>
      </c>
      <c r="B73" s="203" t="s">
        <v>93</v>
      </c>
      <c r="C73" s="204" t="s">
        <v>93</v>
      </c>
      <c r="D73" s="203" t="s">
        <v>446</v>
      </c>
      <c r="E73" s="205">
        <v>1104</v>
      </c>
    </row>
    <row r="74" spans="1:5" x14ac:dyDescent="0.25">
      <c r="A74" s="202">
        <v>2023</v>
      </c>
      <c r="B74" s="203" t="s">
        <v>94</v>
      </c>
      <c r="C74" s="204" t="s">
        <v>94</v>
      </c>
      <c r="D74" s="203" t="s">
        <v>447</v>
      </c>
      <c r="E74" s="205">
        <v>1675</v>
      </c>
    </row>
    <row r="75" spans="1:5" x14ac:dyDescent="0.25">
      <c r="A75" s="202">
        <v>2023</v>
      </c>
      <c r="B75" s="203" t="s">
        <v>95</v>
      </c>
      <c r="C75" s="204" t="s">
        <v>95</v>
      </c>
      <c r="D75" s="203" t="s">
        <v>448</v>
      </c>
      <c r="E75" s="205">
        <v>2036</v>
      </c>
    </row>
    <row r="76" spans="1:5" x14ac:dyDescent="0.25">
      <c r="A76" s="202">
        <v>2023</v>
      </c>
      <c r="B76" s="203" t="s">
        <v>96</v>
      </c>
      <c r="C76" s="204" t="s">
        <v>96</v>
      </c>
      <c r="D76" s="203" t="s">
        <v>449</v>
      </c>
      <c r="E76" s="205">
        <v>2089</v>
      </c>
    </row>
    <row r="77" spans="1:5" x14ac:dyDescent="0.25">
      <c r="A77" s="202">
        <v>2023</v>
      </c>
      <c r="B77" s="203" t="s">
        <v>97</v>
      </c>
      <c r="C77" s="204" t="s">
        <v>97</v>
      </c>
      <c r="D77" s="203" t="s">
        <v>450</v>
      </c>
      <c r="E77" s="205">
        <v>33028</v>
      </c>
    </row>
    <row r="78" spans="1:5" x14ac:dyDescent="0.25">
      <c r="A78" s="202">
        <v>2023</v>
      </c>
      <c r="B78" s="203" t="s">
        <v>98</v>
      </c>
      <c r="C78" s="204" t="s">
        <v>98</v>
      </c>
      <c r="D78" s="203" t="s">
        <v>451</v>
      </c>
      <c r="E78" s="205">
        <v>3215</v>
      </c>
    </row>
    <row r="79" spans="1:5" x14ac:dyDescent="0.25">
      <c r="A79" s="202">
        <v>2023</v>
      </c>
      <c r="B79" s="203" t="s">
        <v>99</v>
      </c>
      <c r="C79" s="204" t="s">
        <v>99</v>
      </c>
      <c r="D79" s="203" t="s">
        <v>452</v>
      </c>
      <c r="E79" s="205">
        <v>30114</v>
      </c>
    </row>
    <row r="80" spans="1:5" x14ac:dyDescent="0.25">
      <c r="A80" s="202">
        <v>2023</v>
      </c>
      <c r="B80" s="203" t="s">
        <v>100</v>
      </c>
      <c r="C80" s="204" t="s">
        <v>100</v>
      </c>
      <c r="D80" s="203" t="s">
        <v>453</v>
      </c>
      <c r="E80" s="205">
        <v>1062</v>
      </c>
    </row>
    <row r="81" spans="1:5" x14ac:dyDescent="0.25">
      <c r="A81" s="202">
        <v>2023</v>
      </c>
      <c r="B81" s="203" t="s">
        <v>101</v>
      </c>
      <c r="C81" s="204" t="s">
        <v>101</v>
      </c>
      <c r="D81" s="203" t="s">
        <v>454</v>
      </c>
      <c r="E81" s="205">
        <v>70714</v>
      </c>
    </row>
    <row r="82" spans="1:5" x14ac:dyDescent="0.25">
      <c r="A82" s="202">
        <v>2023</v>
      </c>
      <c r="B82" s="203" t="s">
        <v>102</v>
      </c>
      <c r="C82" s="204" t="s">
        <v>102</v>
      </c>
      <c r="D82" s="203" t="s">
        <v>455</v>
      </c>
      <c r="E82" s="205">
        <v>4101</v>
      </c>
    </row>
    <row r="83" spans="1:5" x14ac:dyDescent="0.25">
      <c r="A83" s="202">
        <v>2023</v>
      </c>
      <c r="B83" s="203" t="s">
        <v>103</v>
      </c>
      <c r="C83" s="204" t="s">
        <v>103</v>
      </c>
      <c r="D83" s="203" t="s">
        <v>456</v>
      </c>
      <c r="E83" s="205">
        <v>4800</v>
      </c>
    </row>
    <row r="84" spans="1:5" x14ac:dyDescent="0.25">
      <c r="A84" s="202">
        <v>2023</v>
      </c>
      <c r="B84" s="203" t="s">
        <v>104</v>
      </c>
      <c r="C84" s="204" t="s">
        <v>104</v>
      </c>
      <c r="D84" s="203" t="s">
        <v>457</v>
      </c>
      <c r="E84" s="205">
        <v>1663</v>
      </c>
    </row>
    <row r="85" spans="1:5" x14ac:dyDescent="0.25">
      <c r="A85" s="202">
        <v>2023</v>
      </c>
      <c r="B85" s="203" t="s">
        <v>105</v>
      </c>
      <c r="C85" s="204" t="s">
        <v>105</v>
      </c>
      <c r="D85" s="203" t="s">
        <v>458</v>
      </c>
      <c r="E85" s="205">
        <v>1951</v>
      </c>
    </row>
    <row r="86" spans="1:5" x14ac:dyDescent="0.25">
      <c r="A86" s="202">
        <v>2023</v>
      </c>
      <c r="B86" s="203" t="s">
        <v>106</v>
      </c>
      <c r="C86" s="204" t="s">
        <v>106</v>
      </c>
      <c r="D86" s="203" t="s">
        <v>459</v>
      </c>
      <c r="E86" s="205">
        <v>3230</v>
      </c>
    </row>
    <row r="87" spans="1:5" x14ac:dyDescent="0.25">
      <c r="A87" s="202">
        <v>2023</v>
      </c>
      <c r="B87" s="203" t="s">
        <v>107</v>
      </c>
      <c r="C87" s="204" t="s">
        <v>107</v>
      </c>
      <c r="D87" s="203" t="s">
        <v>460</v>
      </c>
      <c r="E87" s="205">
        <v>102931</v>
      </c>
    </row>
    <row r="88" spans="1:5" x14ac:dyDescent="0.25">
      <c r="A88" s="202">
        <v>2023</v>
      </c>
      <c r="B88" s="203" t="s">
        <v>108</v>
      </c>
      <c r="C88" s="204" t="s">
        <v>108</v>
      </c>
      <c r="D88" s="203" t="s">
        <v>461</v>
      </c>
      <c r="E88" s="205">
        <v>1335</v>
      </c>
    </row>
    <row r="89" spans="1:5" x14ac:dyDescent="0.25">
      <c r="A89" s="202">
        <v>2023</v>
      </c>
      <c r="B89" s="203" t="s">
        <v>109</v>
      </c>
      <c r="C89" s="204" t="s">
        <v>109</v>
      </c>
      <c r="D89" s="203" t="s">
        <v>462</v>
      </c>
      <c r="E89" s="205">
        <v>4276</v>
      </c>
    </row>
    <row r="90" spans="1:5" x14ac:dyDescent="0.25">
      <c r="A90" s="202">
        <v>2023</v>
      </c>
      <c r="B90" s="203" t="s">
        <v>110</v>
      </c>
      <c r="C90" s="204" t="s">
        <v>110</v>
      </c>
      <c r="D90" s="203" t="s">
        <v>463</v>
      </c>
      <c r="E90" s="205">
        <v>40440</v>
      </c>
    </row>
    <row r="91" spans="1:5" x14ac:dyDescent="0.25">
      <c r="A91" s="202">
        <v>2023</v>
      </c>
      <c r="B91" s="203" t="s">
        <v>111</v>
      </c>
      <c r="C91" s="204" t="s">
        <v>111</v>
      </c>
      <c r="D91" s="203" t="s">
        <v>464</v>
      </c>
      <c r="E91" s="205">
        <v>2930</v>
      </c>
    </row>
    <row r="92" spans="1:5" x14ac:dyDescent="0.25">
      <c r="A92" s="202">
        <v>2023</v>
      </c>
      <c r="B92" s="203" t="s">
        <v>113</v>
      </c>
      <c r="C92" s="204" t="s">
        <v>113</v>
      </c>
      <c r="D92" s="203" t="s">
        <v>466</v>
      </c>
      <c r="E92" s="205">
        <v>1163</v>
      </c>
    </row>
    <row r="93" spans="1:5" x14ac:dyDescent="0.25">
      <c r="A93" s="202">
        <v>2023</v>
      </c>
      <c r="B93" s="203" t="s">
        <v>115</v>
      </c>
      <c r="C93" s="204" t="s">
        <v>115</v>
      </c>
      <c r="D93" s="203" t="s">
        <v>468</v>
      </c>
      <c r="E93" s="205">
        <v>3973</v>
      </c>
    </row>
    <row r="94" spans="1:5" x14ac:dyDescent="0.25">
      <c r="A94" s="202">
        <v>2023</v>
      </c>
      <c r="B94" s="203" t="s">
        <v>116</v>
      </c>
      <c r="C94" s="204" t="s">
        <v>116</v>
      </c>
      <c r="D94" s="203" t="s">
        <v>469</v>
      </c>
      <c r="E94" s="205">
        <v>1108</v>
      </c>
    </row>
    <row r="95" spans="1:5" x14ac:dyDescent="0.25">
      <c r="A95" s="202">
        <v>2023</v>
      </c>
      <c r="B95" s="203" t="s">
        <v>117</v>
      </c>
      <c r="C95" s="204" t="s">
        <v>117</v>
      </c>
      <c r="D95" s="203" t="s">
        <v>470</v>
      </c>
      <c r="E95" s="205">
        <v>0</v>
      </c>
    </row>
    <row r="96" spans="1:5" x14ac:dyDescent="0.25">
      <c r="A96" s="202">
        <v>2023</v>
      </c>
      <c r="B96" s="203" t="s">
        <v>182</v>
      </c>
      <c r="C96" s="204" t="s">
        <v>696</v>
      </c>
      <c r="D96" s="203" t="s">
        <v>532</v>
      </c>
      <c r="E96" s="205">
        <v>0</v>
      </c>
    </row>
    <row r="97" spans="1:5" x14ac:dyDescent="0.25">
      <c r="A97" s="202">
        <v>2023</v>
      </c>
      <c r="B97" s="203" t="s">
        <v>195</v>
      </c>
      <c r="C97" s="204" t="s">
        <v>195</v>
      </c>
      <c r="D97" s="203" t="s">
        <v>545</v>
      </c>
      <c r="E97" s="205">
        <v>4121</v>
      </c>
    </row>
    <row r="98" spans="1:5" x14ac:dyDescent="0.25">
      <c r="A98" s="202">
        <v>2023</v>
      </c>
      <c r="B98" s="203" t="s">
        <v>321</v>
      </c>
      <c r="C98" s="204" t="s">
        <v>321</v>
      </c>
      <c r="D98" s="203" t="s">
        <v>664</v>
      </c>
      <c r="E98" s="205">
        <v>2339</v>
      </c>
    </row>
    <row r="99" spans="1:5" x14ac:dyDescent="0.25">
      <c r="A99" s="202">
        <v>2023</v>
      </c>
      <c r="B99" s="203" t="s">
        <v>119</v>
      </c>
      <c r="C99" s="204" t="s">
        <v>119</v>
      </c>
      <c r="D99" s="203" t="s">
        <v>472</v>
      </c>
      <c r="E99" s="205">
        <v>2885</v>
      </c>
    </row>
    <row r="100" spans="1:5" x14ac:dyDescent="0.25">
      <c r="A100" s="202">
        <v>2023</v>
      </c>
      <c r="B100" s="203" t="s">
        <v>120</v>
      </c>
      <c r="C100" s="204" t="s">
        <v>120</v>
      </c>
      <c r="D100" s="203" t="s">
        <v>473</v>
      </c>
      <c r="E100" s="205">
        <v>1840</v>
      </c>
    </row>
    <row r="101" spans="1:5" x14ac:dyDescent="0.25">
      <c r="A101" s="202">
        <v>2023</v>
      </c>
      <c r="B101" s="203" t="s">
        <v>118</v>
      </c>
      <c r="C101" s="204" t="s">
        <v>118</v>
      </c>
      <c r="D101" s="203" t="s">
        <v>471</v>
      </c>
      <c r="E101" s="205">
        <v>3297</v>
      </c>
    </row>
    <row r="102" spans="1:5" x14ac:dyDescent="0.25">
      <c r="A102" s="202">
        <v>2023</v>
      </c>
      <c r="B102" s="203" t="s">
        <v>53</v>
      </c>
      <c r="C102" s="204" t="s">
        <v>53</v>
      </c>
      <c r="D102" s="203" t="s">
        <v>408</v>
      </c>
      <c r="E102" s="205">
        <v>2253</v>
      </c>
    </row>
    <row r="103" spans="1:5" x14ac:dyDescent="0.25">
      <c r="A103" s="202">
        <v>2023</v>
      </c>
      <c r="B103" s="203" t="s">
        <v>122</v>
      </c>
      <c r="C103" s="204" t="s">
        <v>122</v>
      </c>
      <c r="D103" s="203" t="s">
        <v>475</v>
      </c>
      <c r="E103" s="205">
        <v>0</v>
      </c>
    </row>
    <row r="104" spans="1:5" x14ac:dyDescent="0.25">
      <c r="A104" s="202">
        <v>2023</v>
      </c>
      <c r="B104" s="203" t="s">
        <v>123</v>
      </c>
      <c r="C104" s="204" t="s">
        <v>123</v>
      </c>
      <c r="D104" s="203" t="s">
        <v>476</v>
      </c>
      <c r="E104" s="205">
        <v>7854</v>
      </c>
    </row>
    <row r="105" spans="1:5" x14ac:dyDescent="0.25">
      <c r="A105" s="202">
        <v>2023</v>
      </c>
      <c r="B105" s="203" t="s">
        <v>124</v>
      </c>
      <c r="C105" s="204" t="s">
        <v>124</v>
      </c>
      <c r="D105" s="203" t="s">
        <v>477</v>
      </c>
      <c r="E105" s="205">
        <v>2134</v>
      </c>
    </row>
    <row r="106" spans="1:5" x14ac:dyDescent="0.25">
      <c r="A106" s="202">
        <v>2023</v>
      </c>
      <c r="B106" s="203" t="s">
        <v>125</v>
      </c>
      <c r="C106" s="204" t="s">
        <v>125</v>
      </c>
      <c r="D106" s="203" t="s">
        <v>478</v>
      </c>
      <c r="E106" s="205">
        <v>1433</v>
      </c>
    </row>
    <row r="107" spans="1:5" x14ac:dyDescent="0.25">
      <c r="A107" s="202">
        <v>2023</v>
      </c>
      <c r="B107" s="203" t="s">
        <v>126</v>
      </c>
      <c r="C107" s="204" t="s">
        <v>126</v>
      </c>
      <c r="D107" s="203" t="s">
        <v>479</v>
      </c>
      <c r="E107" s="205">
        <v>2253</v>
      </c>
    </row>
    <row r="108" spans="1:5" x14ac:dyDescent="0.25">
      <c r="A108" s="202">
        <v>2023</v>
      </c>
      <c r="B108" s="203" t="s">
        <v>127</v>
      </c>
      <c r="C108" s="204" t="s">
        <v>127</v>
      </c>
      <c r="D108" s="203" t="s">
        <v>480</v>
      </c>
      <c r="E108" s="205">
        <v>7672</v>
      </c>
    </row>
    <row r="109" spans="1:5" x14ac:dyDescent="0.25">
      <c r="A109" s="202">
        <v>2023</v>
      </c>
      <c r="B109" s="203" t="s">
        <v>128</v>
      </c>
      <c r="C109" s="204" t="s">
        <v>128</v>
      </c>
      <c r="D109" s="203" t="s">
        <v>481</v>
      </c>
      <c r="E109" s="205">
        <v>577</v>
      </c>
    </row>
    <row r="110" spans="1:5" x14ac:dyDescent="0.25">
      <c r="A110" s="202">
        <v>2023</v>
      </c>
      <c r="B110" s="203" t="s">
        <v>129</v>
      </c>
      <c r="C110" s="204" t="s">
        <v>129</v>
      </c>
      <c r="D110" s="203" t="s">
        <v>482</v>
      </c>
      <c r="E110" s="205">
        <v>11011</v>
      </c>
    </row>
    <row r="111" spans="1:5" x14ac:dyDescent="0.25">
      <c r="A111" s="202">
        <v>2023</v>
      </c>
      <c r="B111" s="203" t="s">
        <v>130</v>
      </c>
      <c r="C111" s="204" t="s">
        <v>130</v>
      </c>
      <c r="D111" s="203" t="s">
        <v>483</v>
      </c>
      <c r="E111" s="205">
        <v>10492</v>
      </c>
    </row>
    <row r="112" spans="1:5" x14ac:dyDescent="0.25">
      <c r="A112" s="202">
        <v>2023</v>
      </c>
      <c r="B112" s="203" t="s">
        <v>131</v>
      </c>
      <c r="C112" s="204" t="s">
        <v>131</v>
      </c>
      <c r="D112" s="203" t="s">
        <v>484</v>
      </c>
      <c r="E112" s="205">
        <v>0</v>
      </c>
    </row>
    <row r="113" spans="1:5" x14ac:dyDescent="0.25">
      <c r="A113" s="202">
        <v>2023</v>
      </c>
      <c r="B113" s="203" t="s">
        <v>132</v>
      </c>
      <c r="C113" s="204" t="s">
        <v>132</v>
      </c>
      <c r="D113" s="203" t="s">
        <v>485</v>
      </c>
      <c r="E113" s="205">
        <v>0</v>
      </c>
    </row>
    <row r="114" spans="1:5" x14ac:dyDescent="0.25">
      <c r="A114" s="202">
        <v>2023</v>
      </c>
      <c r="B114" s="203" t="s">
        <v>133</v>
      </c>
      <c r="C114" s="204" t="s">
        <v>133</v>
      </c>
      <c r="D114" s="203" t="s">
        <v>486</v>
      </c>
      <c r="E114" s="205">
        <v>904</v>
      </c>
    </row>
    <row r="115" spans="1:5" x14ac:dyDescent="0.25">
      <c r="A115" s="202">
        <v>2023</v>
      </c>
      <c r="B115" s="203" t="s">
        <v>134</v>
      </c>
      <c r="C115" s="204" t="s">
        <v>134</v>
      </c>
      <c r="D115" s="203" t="s">
        <v>487</v>
      </c>
      <c r="E115" s="205">
        <v>315</v>
      </c>
    </row>
    <row r="116" spans="1:5" x14ac:dyDescent="0.25">
      <c r="A116" s="202">
        <v>2023</v>
      </c>
      <c r="B116" s="203" t="s">
        <v>135</v>
      </c>
      <c r="C116" s="204" t="s">
        <v>135</v>
      </c>
      <c r="D116" s="203" t="s">
        <v>488</v>
      </c>
      <c r="E116" s="205">
        <v>3363</v>
      </c>
    </row>
    <row r="117" spans="1:5" x14ac:dyDescent="0.25">
      <c r="A117" s="202">
        <v>2023</v>
      </c>
      <c r="B117" s="203" t="s">
        <v>136</v>
      </c>
      <c r="C117" s="204" t="s">
        <v>136</v>
      </c>
      <c r="D117" s="203" t="s">
        <v>489</v>
      </c>
      <c r="E117" s="205">
        <v>3101</v>
      </c>
    </row>
    <row r="118" spans="1:5" x14ac:dyDescent="0.25">
      <c r="A118" s="202">
        <v>2023</v>
      </c>
      <c r="B118" s="203" t="s">
        <v>137</v>
      </c>
      <c r="C118" s="204" t="s">
        <v>137</v>
      </c>
      <c r="D118" s="203" t="s">
        <v>490</v>
      </c>
      <c r="E118" s="205">
        <v>2266</v>
      </c>
    </row>
    <row r="119" spans="1:5" x14ac:dyDescent="0.25">
      <c r="A119" s="202">
        <v>2023</v>
      </c>
      <c r="B119" s="203" t="s">
        <v>138</v>
      </c>
      <c r="C119" s="204" t="s">
        <v>138</v>
      </c>
      <c r="D119" s="203" t="s">
        <v>491</v>
      </c>
      <c r="E119" s="205">
        <v>468</v>
      </c>
    </row>
    <row r="120" spans="1:5" x14ac:dyDescent="0.25">
      <c r="A120" s="202">
        <v>2023</v>
      </c>
      <c r="B120" s="203" t="s">
        <v>139</v>
      </c>
      <c r="C120" s="204" t="s">
        <v>139</v>
      </c>
      <c r="D120" s="203" t="s">
        <v>492</v>
      </c>
      <c r="E120" s="205">
        <v>3962</v>
      </c>
    </row>
    <row r="121" spans="1:5" x14ac:dyDescent="0.25">
      <c r="A121" s="202">
        <v>2023</v>
      </c>
      <c r="B121" s="203" t="s">
        <v>140</v>
      </c>
      <c r="C121" s="204" t="s">
        <v>140</v>
      </c>
      <c r="D121" s="203" t="s">
        <v>493</v>
      </c>
      <c r="E121" s="205">
        <v>6591</v>
      </c>
    </row>
    <row r="122" spans="1:5" x14ac:dyDescent="0.25">
      <c r="A122" s="202">
        <v>2023</v>
      </c>
      <c r="B122" s="203" t="s">
        <v>141</v>
      </c>
      <c r="C122" s="204" t="s">
        <v>141</v>
      </c>
      <c r="D122" s="203" t="s">
        <v>494</v>
      </c>
      <c r="E122" s="205">
        <v>1334</v>
      </c>
    </row>
    <row r="123" spans="1:5" x14ac:dyDescent="0.25">
      <c r="A123" s="202">
        <v>2023</v>
      </c>
      <c r="B123" s="203" t="s">
        <v>144</v>
      </c>
      <c r="C123" s="204" t="s">
        <v>144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142</v>
      </c>
      <c r="C124" s="204" t="s">
        <v>142</v>
      </c>
      <c r="D124" s="203" t="s">
        <v>495</v>
      </c>
      <c r="E124" s="205">
        <v>4135</v>
      </c>
    </row>
    <row r="125" spans="1:5" x14ac:dyDescent="0.25">
      <c r="A125" s="202">
        <v>2023</v>
      </c>
      <c r="B125" s="203" t="s">
        <v>171</v>
      </c>
      <c r="C125" s="204" t="s">
        <v>171</v>
      </c>
      <c r="D125" s="203" t="s">
        <v>521</v>
      </c>
      <c r="E125" s="205">
        <v>6601</v>
      </c>
    </row>
    <row r="126" spans="1:5" x14ac:dyDescent="0.25">
      <c r="A126" s="202">
        <v>2023</v>
      </c>
      <c r="B126" s="203" t="s">
        <v>145</v>
      </c>
      <c r="C126" s="204" t="s">
        <v>145</v>
      </c>
      <c r="D126" s="203" t="s">
        <v>497</v>
      </c>
      <c r="E126" s="205">
        <v>4487</v>
      </c>
    </row>
    <row r="127" spans="1:5" x14ac:dyDescent="0.25">
      <c r="A127" s="202">
        <v>2023</v>
      </c>
      <c r="B127" s="203" t="s">
        <v>146</v>
      </c>
      <c r="C127" s="204" t="s">
        <v>146</v>
      </c>
      <c r="D127" s="203" t="s">
        <v>498</v>
      </c>
      <c r="E127" s="205">
        <v>3820</v>
      </c>
    </row>
    <row r="128" spans="1:5" x14ac:dyDescent="0.25">
      <c r="A128" s="202">
        <v>2023</v>
      </c>
      <c r="B128" s="203" t="s">
        <v>147</v>
      </c>
      <c r="C128" s="204" t="s">
        <v>147</v>
      </c>
      <c r="D128" s="203" t="s">
        <v>499</v>
      </c>
      <c r="E128" s="205">
        <v>4347</v>
      </c>
    </row>
    <row r="129" spans="1:5" x14ac:dyDescent="0.25">
      <c r="A129" s="202">
        <v>2023</v>
      </c>
      <c r="B129" s="203" t="s">
        <v>148</v>
      </c>
      <c r="C129" s="204" t="s">
        <v>148</v>
      </c>
      <c r="D129" s="203" t="s">
        <v>500</v>
      </c>
      <c r="E129" s="205">
        <v>89</v>
      </c>
    </row>
    <row r="130" spans="1:5" x14ac:dyDescent="0.25">
      <c r="A130" s="202">
        <v>2023</v>
      </c>
      <c r="B130" s="203" t="s">
        <v>151</v>
      </c>
      <c r="C130" s="204" t="s">
        <v>151</v>
      </c>
      <c r="D130" s="203" t="s">
        <v>502</v>
      </c>
      <c r="E130" s="205">
        <v>2413</v>
      </c>
    </row>
    <row r="131" spans="1:5" x14ac:dyDescent="0.25">
      <c r="A131" s="202">
        <v>2023</v>
      </c>
      <c r="B131" s="203" t="s">
        <v>152</v>
      </c>
      <c r="C131" s="204" t="s">
        <v>152</v>
      </c>
      <c r="D131" s="203" t="s">
        <v>503</v>
      </c>
      <c r="E131" s="205">
        <v>2760</v>
      </c>
    </row>
    <row r="132" spans="1:5" x14ac:dyDescent="0.25">
      <c r="A132" s="202">
        <v>2023</v>
      </c>
      <c r="B132" s="203" t="s">
        <v>153</v>
      </c>
      <c r="C132" s="204" t="s">
        <v>153</v>
      </c>
      <c r="D132" s="203" t="s">
        <v>504</v>
      </c>
      <c r="E132" s="205">
        <v>6347</v>
      </c>
    </row>
    <row r="133" spans="1:5" x14ac:dyDescent="0.25">
      <c r="A133" s="202">
        <v>2023</v>
      </c>
      <c r="B133" s="203" t="s">
        <v>155</v>
      </c>
      <c r="C133" s="204" t="s">
        <v>155</v>
      </c>
      <c r="D133" s="203" t="s">
        <v>505</v>
      </c>
      <c r="E133" s="205">
        <v>78</v>
      </c>
    </row>
    <row r="134" spans="1:5" x14ac:dyDescent="0.25">
      <c r="A134" s="202">
        <v>2023</v>
      </c>
      <c r="B134" s="203" t="s">
        <v>156</v>
      </c>
      <c r="C134" s="204" t="s">
        <v>156</v>
      </c>
      <c r="D134" s="203" t="s">
        <v>506</v>
      </c>
      <c r="E134" s="205">
        <v>4613</v>
      </c>
    </row>
    <row r="135" spans="1:5" x14ac:dyDescent="0.25">
      <c r="A135" s="202">
        <v>2023</v>
      </c>
      <c r="B135" s="203" t="s">
        <v>157</v>
      </c>
      <c r="C135" s="204" t="s">
        <v>157</v>
      </c>
      <c r="D135" s="203" t="s">
        <v>507</v>
      </c>
      <c r="E135" s="205">
        <v>6358</v>
      </c>
    </row>
    <row r="136" spans="1:5" x14ac:dyDescent="0.25">
      <c r="A136" s="202">
        <v>2023</v>
      </c>
      <c r="B136" s="203" t="s">
        <v>158</v>
      </c>
      <c r="C136" s="204" t="s">
        <v>158</v>
      </c>
      <c r="D136" s="203" t="s">
        <v>508</v>
      </c>
      <c r="E136" s="205">
        <v>3027</v>
      </c>
    </row>
    <row r="137" spans="1:5" x14ac:dyDescent="0.25">
      <c r="A137" s="202">
        <v>2023</v>
      </c>
      <c r="B137" s="203" t="s">
        <v>150</v>
      </c>
      <c r="C137" s="204" t="s">
        <v>150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159</v>
      </c>
      <c r="C138" s="204" t="s">
        <v>159</v>
      </c>
      <c r="D138" s="203" t="s">
        <v>509</v>
      </c>
      <c r="E138" s="205">
        <v>0</v>
      </c>
    </row>
    <row r="139" spans="1:5" x14ac:dyDescent="0.25">
      <c r="A139" s="202">
        <v>2023</v>
      </c>
      <c r="B139" s="203" t="s">
        <v>160</v>
      </c>
      <c r="C139" s="204" t="s">
        <v>160</v>
      </c>
      <c r="D139" s="203" t="s">
        <v>510</v>
      </c>
      <c r="E139" s="205">
        <v>2398</v>
      </c>
    </row>
    <row r="140" spans="1:5" x14ac:dyDescent="0.25">
      <c r="A140" s="202">
        <v>2023</v>
      </c>
      <c r="B140" s="203" t="s">
        <v>161</v>
      </c>
      <c r="C140" s="204" t="s">
        <v>161</v>
      </c>
      <c r="D140" s="203" t="s">
        <v>511</v>
      </c>
      <c r="E140" s="205">
        <v>6208</v>
      </c>
    </row>
    <row r="141" spans="1:5" x14ac:dyDescent="0.25">
      <c r="A141" s="202">
        <v>2023</v>
      </c>
      <c r="B141" s="203" t="s">
        <v>162</v>
      </c>
      <c r="C141" s="204" t="s">
        <v>162</v>
      </c>
      <c r="D141" s="203" t="s">
        <v>512</v>
      </c>
      <c r="E141" s="205">
        <v>2430</v>
      </c>
    </row>
    <row r="142" spans="1:5" x14ac:dyDescent="0.25">
      <c r="A142" s="202">
        <v>2023</v>
      </c>
      <c r="B142" s="203" t="s">
        <v>169</v>
      </c>
      <c r="C142" s="204" t="s">
        <v>169</v>
      </c>
      <c r="D142" s="203" t="s">
        <v>519</v>
      </c>
      <c r="E142" s="205">
        <v>3308</v>
      </c>
    </row>
    <row r="143" spans="1:5" x14ac:dyDescent="0.25">
      <c r="A143" s="202">
        <v>2023</v>
      </c>
      <c r="B143" s="203" t="s">
        <v>163</v>
      </c>
      <c r="C143" s="204" t="s">
        <v>163</v>
      </c>
      <c r="D143" s="203" t="s">
        <v>513</v>
      </c>
      <c r="E143" s="205">
        <v>351</v>
      </c>
    </row>
    <row r="144" spans="1:5" x14ac:dyDescent="0.25">
      <c r="A144" s="202">
        <v>2023</v>
      </c>
      <c r="B144" s="203" t="s">
        <v>164</v>
      </c>
      <c r="C144" s="204" t="s">
        <v>164</v>
      </c>
      <c r="D144" s="203" t="s">
        <v>514</v>
      </c>
      <c r="E144" s="205">
        <v>1121</v>
      </c>
    </row>
    <row r="145" spans="1:5" x14ac:dyDescent="0.25">
      <c r="A145" s="202">
        <v>2023</v>
      </c>
      <c r="B145" s="203" t="s">
        <v>165</v>
      </c>
      <c r="C145" s="204" t="s">
        <v>165</v>
      </c>
      <c r="D145" s="203" t="s">
        <v>515</v>
      </c>
      <c r="E145" s="205">
        <v>3355</v>
      </c>
    </row>
    <row r="146" spans="1:5" x14ac:dyDescent="0.25">
      <c r="A146" s="202">
        <v>2023</v>
      </c>
      <c r="B146" s="203" t="s">
        <v>166</v>
      </c>
      <c r="C146" s="204" t="s">
        <v>166</v>
      </c>
      <c r="D146" s="203" t="s">
        <v>516</v>
      </c>
      <c r="E146" s="205">
        <v>147637</v>
      </c>
    </row>
    <row r="147" spans="1:5" x14ac:dyDescent="0.25">
      <c r="A147" s="202">
        <v>2023</v>
      </c>
      <c r="B147" s="203" t="s">
        <v>167</v>
      </c>
      <c r="C147" s="204" t="s">
        <v>167</v>
      </c>
      <c r="D147" s="203" t="s">
        <v>517</v>
      </c>
      <c r="E147" s="205">
        <v>7023</v>
      </c>
    </row>
    <row r="148" spans="1:5" x14ac:dyDescent="0.25">
      <c r="A148" s="202">
        <v>2023</v>
      </c>
      <c r="B148" s="203" t="s">
        <v>168</v>
      </c>
      <c r="C148" s="204" t="s">
        <v>168</v>
      </c>
      <c r="D148" s="203" t="s">
        <v>518</v>
      </c>
      <c r="E148" s="205">
        <v>3037</v>
      </c>
    </row>
    <row r="149" spans="1:5" x14ac:dyDescent="0.25">
      <c r="A149" s="202">
        <v>2023</v>
      </c>
      <c r="B149" s="203" t="s">
        <v>170</v>
      </c>
      <c r="C149" s="204" t="s">
        <v>170</v>
      </c>
      <c r="D149" s="203" t="s">
        <v>520</v>
      </c>
      <c r="E149" s="205">
        <v>1157</v>
      </c>
    </row>
    <row r="150" spans="1:5" x14ac:dyDescent="0.25">
      <c r="A150" s="202">
        <v>2023</v>
      </c>
      <c r="B150" s="203" t="s">
        <v>172</v>
      </c>
      <c r="C150" s="204" t="s">
        <v>172</v>
      </c>
      <c r="D150" s="203" t="s">
        <v>522</v>
      </c>
      <c r="E150" s="205">
        <v>5412</v>
      </c>
    </row>
    <row r="151" spans="1:5" x14ac:dyDescent="0.25">
      <c r="A151" s="202">
        <v>2023</v>
      </c>
      <c r="B151" s="203" t="s">
        <v>173</v>
      </c>
      <c r="C151" s="204" t="s">
        <v>173</v>
      </c>
      <c r="D151" s="203" t="s">
        <v>523</v>
      </c>
      <c r="E151" s="205">
        <v>48176</v>
      </c>
    </row>
    <row r="152" spans="1:5" x14ac:dyDescent="0.25">
      <c r="A152" s="202">
        <v>2023</v>
      </c>
      <c r="B152" s="203" t="s">
        <v>174</v>
      </c>
      <c r="C152" s="204" t="s">
        <v>174</v>
      </c>
      <c r="D152" s="203" t="s">
        <v>524</v>
      </c>
      <c r="E152" s="205">
        <v>0</v>
      </c>
    </row>
    <row r="153" spans="1:5" x14ac:dyDescent="0.25">
      <c r="A153" s="202">
        <v>2023</v>
      </c>
      <c r="B153" s="203" t="s">
        <v>175</v>
      </c>
      <c r="C153" s="204" t="s">
        <v>175</v>
      </c>
      <c r="D153" s="203" t="s">
        <v>525</v>
      </c>
      <c r="E153" s="205">
        <v>1876</v>
      </c>
    </row>
    <row r="154" spans="1:5" x14ac:dyDescent="0.25">
      <c r="A154" s="202">
        <v>2023</v>
      </c>
      <c r="B154" s="203" t="s">
        <v>176</v>
      </c>
      <c r="C154" s="204" t="s">
        <v>176</v>
      </c>
      <c r="D154" s="203" t="s">
        <v>526</v>
      </c>
      <c r="E154" s="205">
        <v>2428</v>
      </c>
    </row>
    <row r="155" spans="1:5" x14ac:dyDescent="0.25">
      <c r="A155" s="202">
        <v>2023</v>
      </c>
      <c r="B155" s="203" t="s">
        <v>177</v>
      </c>
      <c r="C155" s="204" t="s">
        <v>177</v>
      </c>
      <c r="D155" s="203" t="s">
        <v>527</v>
      </c>
      <c r="E155" s="205">
        <v>689</v>
      </c>
    </row>
    <row r="156" spans="1:5" x14ac:dyDescent="0.25">
      <c r="A156" s="202">
        <v>2023</v>
      </c>
      <c r="B156" s="203" t="s">
        <v>178</v>
      </c>
      <c r="C156" s="204" t="s">
        <v>178</v>
      </c>
      <c r="D156" s="203" t="s">
        <v>528</v>
      </c>
      <c r="E156" s="205">
        <v>4655</v>
      </c>
    </row>
    <row r="157" spans="1:5" x14ac:dyDescent="0.25">
      <c r="A157" s="202">
        <v>2023</v>
      </c>
      <c r="B157" s="203" t="s">
        <v>179</v>
      </c>
      <c r="C157" s="204" t="s">
        <v>179</v>
      </c>
      <c r="D157" s="203" t="s">
        <v>529</v>
      </c>
      <c r="E157" s="205">
        <v>0</v>
      </c>
    </row>
    <row r="158" spans="1:5" x14ac:dyDescent="0.25">
      <c r="A158" s="202">
        <v>2023</v>
      </c>
      <c r="B158" s="203" t="s">
        <v>180</v>
      </c>
      <c r="C158" s="204" t="s">
        <v>180</v>
      </c>
      <c r="D158" s="203" t="s">
        <v>530</v>
      </c>
      <c r="E158" s="205">
        <v>3937</v>
      </c>
    </row>
    <row r="159" spans="1:5" x14ac:dyDescent="0.25">
      <c r="A159" s="202">
        <v>2023</v>
      </c>
      <c r="B159" s="203" t="s">
        <v>181</v>
      </c>
      <c r="C159" s="204" t="s">
        <v>181</v>
      </c>
      <c r="D159" s="203" t="s">
        <v>531</v>
      </c>
      <c r="E159" s="205">
        <v>1918</v>
      </c>
    </row>
    <row r="160" spans="1:5" x14ac:dyDescent="0.25">
      <c r="A160" s="202">
        <v>2023</v>
      </c>
      <c r="B160" s="203" t="s">
        <v>183</v>
      </c>
      <c r="C160" s="204" t="s">
        <v>183</v>
      </c>
      <c r="D160" s="203" t="s">
        <v>533</v>
      </c>
      <c r="E160" s="205">
        <v>0</v>
      </c>
    </row>
    <row r="161" spans="1:5" x14ac:dyDescent="0.25">
      <c r="A161" s="202">
        <v>2023</v>
      </c>
      <c r="B161" s="203" t="s">
        <v>184</v>
      </c>
      <c r="C161" s="204" t="s">
        <v>184</v>
      </c>
      <c r="D161" s="203" t="s">
        <v>534</v>
      </c>
      <c r="E161" s="205">
        <v>3642</v>
      </c>
    </row>
    <row r="162" spans="1:5" x14ac:dyDescent="0.25">
      <c r="A162" s="202">
        <v>2023</v>
      </c>
      <c r="B162" s="203" t="s">
        <v>185</v>
      </c>
      <c r="C162" s="204" t="s">
        <v>185</v>
      </c>
      <c r="D162" s="203" t="s">
        <v>535</v>
      </c>
      <c r="E162" s="205">
        <v>0</v>
      </c>
    </row>
    <row r="163" spans="1:5" x14ac:dyDescent="0.25">
      <c r="A163" s="202">
        <v>2023</v>
      </c>
      <c r="B163" s="203" t="s">
        <v>187</v>
      </c>
      <c r="C163" s="204" t="s">
        <v>187</v>
      </c>
      <c r="D163" s="203" t="s">
        <v>537</v>
      </c>
      <c r="E163" s="205">
        <v>61887</v>
      </c>
    </row>
    <row r="164" spans="1:5" x14ac:dyDescent="0.25">
      <c r="A164" s="202">
        <v>2023</v>
      </c>
      <c r="B164" s="203" t="s">
        <v>188</v>
      </c>
      <c r="C164" s="204" t="s">
        <v>188</v>
      </c>
      <c r="D164" s="203" t="s">
        <v>538</v>
      </c>
      <c r="E164" s="205">
        <v>3185</v>
      </c>
    </row>
    <row r="165" spans="1:5" x14ac:dyDescent="0.25">
      <c r="A165" s="202">
        <v>2023</v>
      </c>
      <c r="B165" s="203" t="s">
        <v>189</v>
      </c>
      <c r="C165" s="204" t="s">
        <v>189</v>
      </c>
      <c r="D165" s="203" t="s">
        <v>539</v>
      </c>
      <c r="E165" s="205">
        <v>4228</v>
      </c>
    </row>
    <row r="166" spans="1:5" x14ac:dyDescent="0.25">
      <c r="A166" s="202">
        <v>2023</v>
      </c>
      <c r="B166" s="203" t="s">
        <v>190</v>
      </c>
      <c r="C166" s="204" t="s">
        <v>190</v>
      </c>
      <c r="D166" s="203" t="s">
        <v>540</v>
      </c>
      <c r="E166" s="205">
        <v>571</v>
      </c>
    </row>
    <row r="167" spans="1:5" x14ac:dyDescent="0.25">
      <c r="A167" s="202">
        <v>2023</v>
      </c>
      <c r="B167" s="203" t="s">
        <v>191</v>
      </c>
      <c r="C167" s="204" t="s">
        <v>191</v>
      </c>
      <c r="D167" s="203" t="s">
        <v>541</v>
      </c>
      <c r="E167" s="205">
        <v>0</v>
      </c>
    </row>
    <row r="168" spans="1:5" x14ac:dyDescent="0.25">
      <c r="A168" s="202">
        <v>2023</v>
      </c>
      <c r="B168" s="203" t="s">
        <v>192</v>
      </c>
      <c r="C168" s="204" t="s">
        <v>192</v>
      </c>
      <c r="D168" s="203" t="s">
        <v>542</v>
      </c>
      <c r="E168" s="205">
        <v>3027</v>
      </c>
    </row>
    <row r="169" spans="1:5" x14ac:dyDescent="0.25">
      <c r="A169" s="202">
        <v>2023</v>
      </c>
      <c r="B169" s="203" t="s">
        <v>193</v>
      </c>
      <c r="C169" s="204" t="s">
        <v>193</v>
      </c>
      <c r="D169" s="203" t="s">
        <v>543</v>
      </c>
      <c r="E169" s="205">
        <v>2331</v>
      </c>
    </row>
    <row r="170" spans="1:5" x14ac:dyDescent="0.25">
      <c r="A170" s="202">
        <v>2023</v>
      </c>
      <c r="B170" s="203" t="s">
        <v>194</v>
      </c>
      <c r="C170" s="204" t="s">
        <v>194</v>
      </c>
      <c r="D170" s="203" t="s">
        <v>544</v>
      </c>
      <c r="E170" s="205">
        <v>82</v>
      </c>
    </row>
    <row r="171" spans="1:5" x14ac:dyDescent="0.25">
      <c r="A171" s="202">
        <v>2023</v>
      </c>
      <c r="B171" s="203" t="s">
        <v>196</v>
      </c>
      <c r="C171" s="204" t="s">
        <v>196</v>
      </c>
      <c r="D171" s="203" t="s">
        <v>546</v>
      </c>
      <c r="E171" s="205">
        <v>1477</v>
      </c>
    </row>
    <row r="172" spans="1:5" x14ac:dyDescent="0.25">
      <c r="A172" s="202">
        <v>2023</v>
      </c>
      <c r="B172" s="203" t="s">
        <v>197</v>
      </c>
      <c r="C172" s="204" t="s">
        <v>197</v>
      </c>
      <c r="D172" s="203" t="s">
        <v>547</v>
      </c>
      <c r="E172" s="205">
        <v>1276</v>
      </c>
    </row>
    <row r="173" spans="1:5" x14ac:dyDescent="0.25">
      <c r="A173" s="202">
        <v>2023</v>
      </c>
      <c r="B173" s="203" t="s">
        <v>198</v>
      </c>
      <c r="C173" s="204" t="s">
        <v>198</v>
      </c>
      <c r="D173" s="203" t="s">
        <v>548</v>
      </c>
      <c r="E173" s="205">
        <v>4347</v>
      </c>
    </row>
    <row r="174" spans="1:5" x14ac:dyDescent="0.25">
      <c r="A174" s="202">
        <v>2023</v>
      </c>
      <c r="B174" s="203" t="s">
        <v>199</v>
      </c>
      <c r="C174" s="204" t="s">
        <v>199</v>
      </c>
      <c r="D174" s="203" t="s">
        <v>549</v>
      </c>
      <c r="E174" s="205">
        <v>3674</v>
      </c>
    </row>
    <row r="175" spans="1:5" x14ac:dyDescent="0.25">
      <c r="A175" s="202">
        <v>2023</v>
      </c>
      <c r="B175" s="203" t="s">
        <v>200</v>
      </c>
      <c r="C175" s="204" t="s">
        <v>200</v>
      </c>
      <c r="D175" s="203" t="s">
        <v>550</v>
      </c>
      <c r="E175" s="205">
        <v>1984</v>
      </c>
    </row>
    <row r="176" spans="1:5" x14ac:dyDescent="0.25">
      <c r="A176" s="202">
        <v>2023</v>
      </c>
      <c r="B176" s="203" t="s">
        <v>201</v>
      </c>
      <c r="C176" s="204" t="s">
        <v>201</v>
      </c>
      <c r="D176" s="203" t="s">
        <v>551</v>
      </c>
      <c r="E176" s="205">
        <v>344</v>
      </c>
    </row>
    <row r="177" spans="1:5" x14ac:dyDescent="0.25">
      <c r="A177" s="202">
        <v>2023</v>
      </c>
      <c r="B177" s="203" t="s">
        <v>202</v>
      </c>
      <c r="C177" s="204" t="s">
        <v>202</v>
      </c>
      <c r="D177" s="203" t="s">
        <v>552</v>
      </c>
      <c r="E177" s="205">
        <v>13710</v>
      </c>
    </row>
    <row r="178" spans="1:5" x14ac:dyDescent="0.25">
      <c r="A178" s="202">
        <v>2023</v>
      </c>
      <c r="B178" s="203" t="s">
        <v>203</v>
      </c>
      <c r="C178" s="204" t="s">
        <v>203</v>
      </c>
      <c r="D178" s="203" t="s">
        <v>553</v>
      </c>
      <c r="E178" s="205">
        <v>1358</v>
      </c>
    </row>
    <row r="179" spans="1:5" x14ac:dyDescent="0.25">
      <c r="A179" s="202">
        <v>2023</v>
      </c>
      <c r="B179" s="203" t="s">
        <v>204</v>
      </c>
      <c r="C179" s="204" t="s">
        <v>204</v>
      </c>
      <c r="D179" s="203" t="s">
        <v>554</v>
      </c>
      <c r="E179" s="205">
        <v>57227</v>
      </c>
    </row>
    <row r="180" spans="1:5" x14ac:dyDescent="0.25">
      <c r="A180" s="202">
        <v>2023</v>
      </c>
      <c r="B180" s="203" t="s">
        <v>206</v>
      </c>
      <c r="C180" s="204" t="s">
        <v>206</v>
      </c>
      <c r="D180" s="203" t="s">
        <v>556</v>
      </c>
      <c r="E180" s="205">
        <v>3647</v>
      </c>
    </row>
    <row r="181" spans="1:5" x14ac:dyDescent="0.25">
      <c r="A181" s="202">
        <v>2023</v>
      </c>
      <c r="B181" s="203" t="s">
        <v>207</v>
      </c>
      <c r="C181" s="204" t="s">
        <v>207</v>
      </c>
      <c r="D181" s="203" t="s">
        <v>557</v>
      </c>
      <c r="E181" s="205">
        <v>0</v>
      </c>
    </row>
    <row r="182" spans="1:5" x14ac:dyDescent="0.25">
      <c r="A182" s="202">
        <v>2023</v>
      </c>
      <c r="B182" s="203" t="s">
        <v>211</v>
      </c>
      <c r="C182" s="204" t="s">
        <v>211</v>
      </c>
      <c r="D182" s="203" t="s">
        <v>561</v>
      </c>
      <c r="E182" s="205">
        <v>7560</v>
      </c>
    </row>
    <row r="183" spans="1:5" x14ac:dyDescent="0.25">
      <c r="A183" s="202">
        <v>2023</v>
      </c>
      <c r="B183" s="203" t="s">
        <v>208</v>
      </c>
      <c r="C183" s="204" t="s">
        <v>208</v>
      </c>
      <c r="D183" s="203" t="s">
        <v>558</v>
      </c>
      <c r="E183" s="205">
        <v>5379</v>
      </c>
    </row>
    <row r="184" spans="1:5" x14ac:dyDescent="0.25">
      <c r="A184" s="202">
        <v>2023</v>
      </c>
      <c r="B184" s="203" t="s">
        <v>209</v>
      </c>
      <c r="C184" s="204" t="s">
        <v>209</v>
      </c>
      <c r="D184" s="203" t="s">
        <v>559</v>
      </c>
      <c r="E184" s="205">
        <v>1029</v>
      </c>
    </row>
    <row r="185" spans="1:5" x14ac:dyDescent="0.25">
      <c r="A185" s="202">
        <v>2023</v>
      </c>
      <c r="B185" s="203" t="s">
        <v>210</v>
      </c>
      <c r="C185" s="204" t="s">
        <v>210</v>
      </c>
      <c r="D185" s="203" t="s">
        <v>560</v>
      </c>
      <c r="E185" s="205">
        <v>4601</v>
      </c>
    </row>
    <row r="186" spans="1:5" x14ac:dyDescent="0.25">
      <c r="A186" s="202">
        <v>2023</v>
      </c>
      <c r="B186" s="203" t="s">
        <v>205</v>
      </c>
      <c r="C186" s="204" t="s">
        <v>205</v>
      </c>
      <c r="D186" s="203" t="s">
        <v>555</v>
      </c>
      <c r="E186" s="205">
        <v>0</v>
      </c>
    </row>
    <row r="187" spans="1:5" x14ac:dyDescent="0.25">
      <c r="A187" s="202">
        <v>2023</v>
      </c>
      <c r="B187" s="203" t="s">
        <v>212</v>
      </c>
      <c r="C187" s="204" t="s">
        <v>212</v>
      </c>
      <c r="D187" s="203" t="s">
        <v>562</v>
      </c>
      <c r="E187" s="205">
        <v>0</v>
      </c>
    </row>
    <row r="188" spans="1:5" x14ac:dyDescent="0.25">
      <c r="A188" s="202">
        <v>2023</v>
      </c>
      <c r="B188" s="203" t="s">
        <v>213</v>
      </c>
      <c r="C188" s="204" t="s">
        <v>213</v>
      </c>
      <c r="D188" s="203" t="s">
        <v>563</v>
      </c>
      <c r="E188" s="205">
        <v>4258</v>
      </c>
    </row>
    <row r="189" spans="1:5" x14ac:dyDescent="0.25">
      <c r="A189" s="202">
        <v>2023</v>
      </c>
      <c r="B189" s="203" t="s">
        <v>214</v>
      </c>
      <c r="C189" s="204" t="s">
        <v>214</v>
      </c>
      <c r="D189" s="203" t="s">
        <v>564</v>
      </c>
      <c r="E189" s="205">
        <v>743</v>
      </c>
    </row>
    <row r="190" spans="1:5" x14ac:dyDescent="0.25">
      <c r="A190" s="202">
        <v>2023</v>
      </c>
      <c r="B190" s="203" t="s">
        <v>215</v>
      </c>
      <c r="C190" s="204" t="s">
        <v>215</v>
      </c>
      <c r="D190" s="203" t="s">
        <v>565</v>
      </c>
      <c r="E190" s="205">
        <v>200</v>
      </c>
    </row>
    <row r="191" spans="1:5" x14ac:dyDescent="0.25">
      <c r="A191" s="202">
        <v>2023</v>
      </c>
      <c r="B191" s="203" t="s">
        <v>216</v>
      </c>
      <c r="C191" s="204" t="s">
        <v>216</v>
      </c>
      <c r="D191" s="203" t="s">
        <v>566</v>
      </c>
      <c r="E191" s="205">
        <v>2294</v>
      </c>
    </row>
    <row r="192" spans="1:5" x14ac:dyDescent="0.25">
      <c r="A192" s="202">
        <v>2023</v>
      </c>
      <c r="B192" s="203" t="s">
        <v>217</v>
      </c>
      <c r="C192" s="204" t="s">
        <v>217</v>
      </c>
      <c r="D192" s="203" t="s">
        <v>567</v>
      </c>
      <c r="E192" s="205">
        <v>0</v>
      </c>
    </row>
    <row r="193" spans="1:5" x14ac:dyDescent="0.25">
      <c r="A193" s="202">
        <v>2023</v>
      </c>
      <c r="B193" s="203" t="s">
        <v>218</v>
      </c>
      <c r="C193" s="204" t="s">
        <v>218</v>
      </c>
      <c r="D193" s="203" t="s">
        <v>568</v>
      </c>
      <c r="E193" s="205">
        <v>605</v>
      </c>
    </row>
    <row r="194" spans="1:5" x14ac:dyDescent="0.25">
      <c r="A194" s="202">
        <v>2023</v>
      </c>
      <c r="B194" s="203" t="s">
        <v>219</v>
      </c>
      <c r="C194" s="204" t="s">
        <v>219</v>
      </c>
      <c r="D194" s="203" t="s">
        <v>569</v>
      </c>
      <c r="E194" s="205">
        <v>0</v>
      </c>
    </row>
    <row r="195" spans="1:5" x14ac:dyDescent="0.25">
      <c r="A195" s="202">
        <v>2023</v>
      </c>
      <c r="B195" s="203" t="s">
        <v>220</v>
      </c>
      <c r="C195" s="204" t="s">
        <v>220</v>
      </c>
      <c r="D195" s="203" t="s">
        <v>570</v>
      </c>
      <c r="E195" s="205">
        <v>7084</v>
      </c>
    </row>
    <row r="196" spans="1:5" x14ac:dyDescent="0.25">
      <c r="A196" s="202">
        <v>2023</v>
      </c>
      <c r="B196" s="203" t="s">
        <v>221</v>
      </c>
      <c r="C196" s="204" t="s">
        <v>221</v>
      </c>
      <c r="D196" s="203" t="s">
        <v>571</v>
      </c>
      <c r="E196" s="205">
        <v>0</v>
      </c>
    </row>
    <row r="197" spans="1:5" x14ac:dyDescent="0.25">
      <c r="A197" s="202">
        <v>2023</v>
      </c>
      <c r="B197" s="203" t="s">
        <v>222</v>
      </c>
      <c r="C197" s="204" t="s">
        <v>222</v>
      </c>
      <c r="D197" s="203" t="s">
        <v>572</v>
      </c>
      <c r="E197" s="205">
        <v>10808</v>
      </c>
    </row>
    <row r="198" spans="1:5" x14ac:dyDescent="0.25">
      <c r="A198" s="202">
        <v>2023</v>
      </c>
      <c r="B198" s="203" t="s">
        <v>223</v>
      </c>
      <c r="C198" s="204" t="s">
        <v>223</v>
      </c>
      <c r="D198" s="203" t="s">
        <v>573</v>
      </c>
      <c r="E198" s="205">
        <v>0</v>
      </c>
    </row>
    <row r="199" spans="1:5" x14ac:dyDescent="0.25">
      <c r="A199" s="202">
        <v>2023</v>
      </c>
      <c r="B199" s="203" t="s">
        <v>224</v>
      </c>
      <c r="C199" s="204" t="s">
        <v>224</v>
      </c>
      <c r="D199" s="203" t="s">
        <v>574</v>
      </c>
      <c r="E199" s="205">
        <v>7013</v>
      </c>
    </row>
    <row r="200" spans="1:5" x14ac:dyDescent="0.25">
      <c r="A200" s="202">
        <v>2023</v>
      </c>
      <c r="B200" s="203" t="s">
        <v>226</v>
      </c>
      <c r="C200" s="204" t="s">
        <v>226</v>
      </c>
      <c r="D200" s="203" t="s">
        <v>576</v>
      </c>
      <c r="E200" s="205">
        <v>6291</v>
      </c>
    </row>
    <row r="201" spans="1:5" x14ac:dyDescent="0.25">
      <c r="A201" s="202">
        <v>2023</v>
      </c>
      <c r="B201" s="203" t="s">
        <v>227</v>
      </c>
      <c r="C201" s="204" t="s">
        <v>227</v>
      </c>
      <c r="D201" s="203" t="s">
        <v>577</v>
      </c>
      <c r="E201" s="205">
        <v>2194</v>
      </c>
    </row>
    <row r="202" spans="1:5" x14ac:dyDescent="0.25">
      <c r="A202" s="202">
        <v>2023</v>
      </c>
      <c r="B202" s="203" t="s">
        <v>225</v>
      </c>
      <c r="C202" s="204" t="s">
        <v>225</v>
      </c>
      <c r="D202" s="203" t="s">
        <v>575</v>
      </c>
      <c r="E202" s="205">
        <v>2334</v>
      </c>
    </row>
    <row r="203" spans="1:5" x14ac:dyDescent="0.25">
      <c r="A203" s="202">
        <v>2023</v>
      </c>
      <c r="B203" s="203" t="s">
        <v>228</v>
      </c>
      <c r="C203" s="204" t="s">
        <v>228</v>
      </c>
      <c r="D203" s="203" t="s">
        <v>578</v>
      </c>
      <c r="E203" s="205">
        <v>0</v>
      </c>
    </row>
    <row r="204" spans="1:5" x14ac:dyDescent="0.25">
      <c r="A204" s="202">
        <v>2023</v>
      </c>
      <c r="B204" s="203" t="s">
        <v>143</v>
      </c>
      <c r="C204" s="204" t="s">
        <v>143</v>
      </c>
      <c r="D204" s="203" t="s">
        <v>496</v>
      </c>
      <c r="E204" s="205">
        <v>3500</v>
      </c>
    </row>
    <row r="205" spans="1:5" x14ac:dyDescent="0.25">
      <c r="A205" s="202">
        <v>2023</v>
      </c>
      <c r="B205" s="203" t="s">
        <v>29</v>
      </c>
      <c r="C205" s="204" t="s">
        <v>29</v>
      </c>
      <c r="D205" s="203" t="s">
        <v>389</v>
      </c>
      <c r="E205" s="205">
        <v>2599</v>
      </c>
    </row>
    <row r="206" spans="1:5" x14ac:dyDescent="0.25">
      <c r="A206" s="202">
        <v>2023</v>
      </c>
      <c r="B206" s="203" t="s">
        <v>186</v>
      </c>
      <c r="C206" s="204" t="s">
        <v>186</v>
      </c>
      <c r="D206" s="203" t="s">
        <v>536</v>
      </c>
      <c r="E206" s="205">
        <v>4149</v>
      </c>
    </row>
    <row r="207" spans="1:5" x14ac:dyDescent="0.25">
      <c r="A207" s="202">
        <v>2023</v>
      </c>
      <c r="B207" s="203" t="s">
        <v>231</v>
      </c>
      <c r="C207" s="204" t="s">
        <v>231</v>
      </c>
      <c r="D207" s="203" t="s">
        <v>799</v>
      </c>
      <c r="E207" s="205">
        <v>4866</v>
      </c>
    </row>
    <row r="208" spans="1:5" x14ac:dyDescent="0.25">
      <c r="A208" s="202">
        <v>2023</v>
      </c>
      <c r="B208" s="203" t="s">
        <v>59</v>
      </c>
      <c r="C208" s="204" t="s">
        <v>59</v>
      </c>
      <c r="D208" s="203" t="s">
        <v>414</v>
      </c>
      <c r="E208" s="205">
        <v>2407</v>
      </c>
    </row>
    <row r="209" spans="1:5" x14ac:dyDescent="0.25">
      <c r="A209" s="202">
        <v>2023</v>
      </c>
      <c r="B209" s="203" t="s">
        <v>235</v>
      </c>
      <c r="C209" s="204" t="s">
        <v>235</v>
      </c>
      <c r="D209" s="203" t="s">
        <v>583</v>
      </c>
      <c r="E209" s="205">
        <v>4346</v>
      </c>
    </row>
    <row r="210" spans="1:5" x14ac:dyDescent="0.25">
      <c r="A210" s="202">
        <v>2023</v>
      </c>
      <c r="B210" s="203" t="s">
        <v>234</v>
      </c>
      <c r="C210" s="204" t="s">
        <v>234</v>
      </c>
      <c r="D210" s="203" t="s">
        <v>582</v>
      </c>
      <c r="E210" s="205">
        <v>1599</v>
      </c>
    </row>
    <row r="211" spans="1:5" x14ac:dyDescent="0.25">
      <c r="A211" s="202">
        <v>2023</v>
      </c>
      <c r="B211" s="203" t="s">
        <v>233</v>
      </c>
      <c r="C211" s="204" t="s">
        <v>233</v>
      </c>
      <c r="D211" s="203" t="s">
        <v>581</v>
      </c>
      <c r="E211" s="205">
        <v>2733</v>
      </c>
    </row>
    <row r="212" spans="1:5" x14ac:dyDescent="0.25">
      <c r="A212" s="202">
        <v>2023</v>
      </c>
      <c r="B212" s="203" t="s">
        <v>236</v>
      </c>
      <c r="C212" s="204" t="s">
        <v>236</v>
      </c>
      <c r="D212" s="203" t="s">
        <v>584</v>
      </c>
      <c r="E212" s="205">
        <v>16449</v>
      </c>
    </row>
    <row r="213" spans="1:5" x14ac:dyDescent="0.25">
      <c r="A213" s="202">
        <v>2023</v>
      </c>
      <c r="B213" s="203" t="s">
        <v>237</v>
      </c>
      <c r="C213" s="204" t="s">
        <v>237</v>
      </c>
      <c r="D213" s="203" t="s">
        <v>585</v>
      </c>
      <c r="E213" s="205">
        <v>6717</v>
      </c>
    </row>
    <row r="214" spans="1:5" x14ac:dyDescent="0.25">
      <c r="A214" s="202">
        <v>2023</v>
      </c>
      <c r="B214" s="203" t="s">
        <v>238</v>
      </c>
      <c r="C214" s="204" t="s">
        <v>238</v>
      </c>
      <c r="D214" s="203" t="s">
        <v>586</v>
      </c>
      <c r="E214" s="205">
        <v>1412</v>
      </c>
    </row>
    <row r="215" spans="1:5" x14ac:dyDescent="0.25">
      <c r="A215" s="202">
        <v>2023</v>
      </c>
      <c r="B215" s="203" t="s">
        <v>36</v>
      </c>
      <c r="C215" s="204" t="s">
        <v>36</v>
      </c>
      <c r="D215" s="203" t="s">
        <v>395</v>
      </c>
      <c r="E215" s="205">
        <v>0</v>
      </c>
    </row>
    <row r="216" spans="1:5" x14ac:dyDescent="0.25">
      <c r="A216" s="202">
        <v>2023</v>
      </c>
      <c r="B216" s="203" t="s">
        <v>230</v>
      </c>
      <c r="C216" s="204" t="s">
        <v>230</v>
      </c>
      <c r="D216" s="203" t="s">
        <v>580</v>
      </c>
      <c r="E216" s="205">
        <v>5285</v>
      </c>
    </row>
    <row r="217" spans="1:5" x14ac:dyDescent="0.25">
      <c r="A217" s="202">
        <v>2023</v>
      </c>
      <c r="B217" s="203" t="s">
        <v>240</v>
      </c>
      <c r="C217" s="204" t="s">
        <v>240</v>
      </c>
      <c r="D217" s="203" t="s">
        <v>587</v>
      </c>
      <c r="E217" s="205">
        <v>0</v>
      </c>
    </row>
    <row r="218" spans="1:5" x14ac:dyDescent="0.25">
      <c r="A218" s="202">
        <v>2023</v>
      </c>
      <c r="B218" s="203" t="s">
        <v>241</v>
      </c>
      <c r="C218" s="204" t="s">
        <v>241</v>
      </c>
      <c r="D218" s="203" t="s">
        <v>588</v>
      </c>
      <c r="E218" s="205">
        <v>17079</v>
      </c>
    </row>
    <row r="219" spans="1:5" x14ac:dyDescent="0.25">
      <c r="A219" s="202">
        <v>2023</v>
      </c>
      <c r="B219" s="203" t="s">
        <v>243</v>
      </c>
      <c r="C219" s="204" t="s">
        <v>243</v>
      </c>
      <c r="D219" s="203" t="s">
        <v>814</v>
      </c>
      <c r="E219" s="205">
        <v>0</v>
      </c>
    </row>
    <row r="220" spans="1:5" x14ac:dyDescent="0.25">
      <c r="A220" s="202">
        <v>2023</v>
      </c>
      <c r="B220" s="203" t="s">
        <v>244</v>
      </c>
      <c r="C220" s="204" t="s">
        <v>244</v>
      </c>
      <c r="D220" s="203" t="s">
        <v>590</v>
      </c>
      <c r="E220" s="205">
        <v>1139</v>
      </c>
    </row>
    <row r="221" spans="1:5" x14ac:dyDescent="0.25">
      <c r="A221" s="202">
        <v>2023</v>
      </c>
      <c r="B221" s="203" t="s">
        <v>245</v>
      </c>
      <c r="C221" s="204" t="s">
        <v>245</v>
      </c>
      <c r="D221" s="203" t="s">
        <v>591</v>
      </c>
      <c r="E221" s="205">
        <v>549</v>
      </c>
    </row>
    <row r="222" spans="1:5" x14ac:dyDescent="0.25">
      <c r="A222" s="202">
        <v>2023</v>
      </c>
      <c r="B222" s="203" t="s">
        <v>246</v>
      </c>
      <c r="C222" s="204" t="s">
        <v>246</v>
      </c>
      <c r="D222" s="203" t="s">
        <v>592</v>
      </c>
      <c r="E222" s="205">
        <v>7791</v>
      </c>
    </row>
    <row r="223" spans="1:5" x14ac:dyDescent="0.25">
      <c r="A223" s="202">
        <v>2023</v>
      </c>
      <c r="B223" s="203" t="s">
        <v>247</v>
      </c>
      <c r="C223" s="204" t="s">
        <v>247</v>
      </c>
      <c r="D223" s="203" t="s">
        <v>593</v>
      </c>
      <c r="E223" s="205">
        <v>2140</v>
      </c>
    </row>
    <row r="224" spans="1:5" x14ac:dyDescent="0.25">
      <c r="A224" s="202">
        <v>2023</v>
      </c>
      <c r="B224" s="203" t="s">
        <v>248</v>
      </c>
      <c r="C224" s="204" t="s">
        <v>248</v>
      </c>
      <c r="D224" s="203" t="s">
        <v>594</v>
      </c>
      <c r="E224" s="205">
        <v>2990</v>
      </c>
    </row>
    <row r="225" spans="1:5" x14ac:dyDescent="0.25">
      <c r="A225" s="202">
        <v>2023</v>
      </c>
      <c r="B225" s="203" t="s">
        <v>249</v>
      </c>
      <c r="C225" s="204" t="s">
        <v>249</v>
      </c>
      <c r="D225" s="203" t="s">
        <v>595</v>
      </c>
      <c r="E225" s="205">
        <v>3937</v>
      </c>
    </row>
    <row r="226" spans="1:5" x14ac:dyDescent="0.25">
      <c r="A226" s="202">
        <v>2023</v>
      </c>
      <c r="B226" s="203" t="s">
        <v>250</v>
      </c>
      <c r="C226" s="204" t="s">
        <v>250</v>
      </c>
      <c r="D226" s="203" t="s">
        <v>596</v>
      </c>
      <c r="E226" s="205">
        <v>0</v>
      </c>
    </row>
    <row r="227" spans="1:5" x14ac:dyDescent="0.25">
      <c r="A227" s="202">
        <v>2023</v>
      </c>
      <c r="B227" s="203" t="s">
        <v>251</v>
      </c>
      <c r="C227" s="204" t="s">
        <v>251</v>
      </c>
      <c r="D227" s="203" t="s">
        <v>597</v>
      </c>
      <c r="E227" s="205">
        <v>0</v>
      </c>
    </row>
    <row r="228" spans="1:5" x14ac:dyDescent="0.25">
      <c r="A228" s="202">
        <v>2023</v>
      </c>
      <c r="B228" s="203" t="s">
        <v>252</v>
      </c>
      <c r="C228" s="204" t="s">
        <v>252</v>
      </c>
      <c r="D228" s="203" t="s">
        <v>598</v>
      </c>
      <c r="E228" s="205">
        <v>8089</v>
      </c>
    </row>
    <row r="229" spans="1:5" x14ac:dyDescent="0.25">
      <c r="A229" s="202">
        <v>2023</v>
      </c>
      <c r="B229" s="203" t="s">
        <v>253</v>
      </c>
      <c r="C229" s="204" t="s">
        <v>253</v>
      </c>
      <c r="D229" s="203" t="s">
        <v>599</v>
      </c>
      <c r="E229" s="205">
        <v>971</v>
      </c>
    </row>
    <row r="230" spans="1:5" x14ac:dyDescent="0.25">
      <c r="A230" s="202">
        <v>2023</v>
      </c>
      <c r="B230" s="203" t="s">
        <v>262</v>
      </c>
      <c r="C230" s="204" t="s">
        <v>699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255</v>
      </c>
      <c r="C231" s="204" t="s">
        <v>255</v>
      </c>
      <c r="D231" s="203" t="s">
        <v>601</v>
      </c>
      <c r="E231" s="205">
        <v>5720</v>
      </c>
    </row>
    <row r="232" spans="1:5" x14ac:dyDescent="0.25">
      <c r="A232" s="202">
        <v>2023</v>
      </c>
      <c r="B232" s="203" t="s">
        <v>256</v>
      </c>
      <c r="C232" s="204" t="s">
        <v>256</v>
      </c>
      <c r="D232" s="203" t="s">
        <v>602</v>
      </c>
      <c r="E232" s="205">
        <v>9242</v>
      </c>
    </row>
    <row r="233" spans="1:5" x14ac:dyDescent="0.25">
      <c r="A233" s="202">
        <v>2023</v>
      </c>
      <c r="B233" s="203" t="s">
        <v>257</v>
      </c>
      <c r="C233" s="204" t="s">
        <v>257</v>
      </c>
      <c r="D233" s="203" t="s">
        <v>603</v>
      </c>
      <c r="E233" s="205">
        <v>15042</v>
      </c>
    </row>
    <row r="234" spans="1:5" x14ac:dyDescent="0.25">
      <c r="A234" s="202">
        <v>2023</v>
      </c>
      <c r="B234" s="203" t="s">
        <v>258</v>
      </c>
      <c r="C234" s="204" t="s">
        <v>258</v>
      </c>
      <c r="D234" s="203" t="s">
        <v>604</v>
      </c>
      <c r="E234" s="205">
        <v>19805</v>
      </c>
    </row>
    <row r="235" spans="1:5" x14ac:dyDescent="0.25">
      <c r="A235" s="202">
        <v>2023</v>
      </c>
      <c r="B235" s="203" t="s">
        <v>259</v>
      </c>
      <c r="C235" s="204" t="s">
        <v>259</v>
      </c>
      <c r="D235" s="203" t="s">
        <v>605</v>
      </c>
      <c r="E235" s="205">
        <v>3606</v>
      </c>
    </row>
    <row r="236" spans="1:5" x14ac:dyDescent="0.25">
      <c r="A236" s="202">
        <v>2023</v>
      </c>
      <c r="B236" s="203" t="s">
        <v>260</v>
      </c>
      <c r="C236" s="204" t="s">
        <v>260</v>
      </c>
      <c r="D236" s="203" t="s">
        <v>606</v>
      </c>
      <c r="E236" s="205">
        <v>4727</v>
      </c>
    </row>
    <row r="237" spans="1:5" x14ac:dyDescent="0.25">
      <c r="A237" s="202">
        <v>2023</v>
      </c>
      <c r="B237" s="203" t="s">
        <v>261</v>
      </c>
      <c r="C237" s="204" t="s">
        <v>261</v>
      </c>
      <c r="D237" s="203" t="s">
        <v>607</v>
      </c>
      <c r="E237" s="205">
        <v>3425</v>
      </c>
    </row>
    <row r="238" spans="1:5" x14ac:dyDescent="0.25">
      <c r="A238" s="202">
        <v>2023</v>
      </c>
      <c r="B238" s="203" t="s">
        <v>263</v>
      </c>
      <c r="C238" s="204" t="s">
        <v>700</v>
      </c>
      <c r="D238" s="203" t="s">
        <v>608</v>
      </c>
      <c r="E238" s="205">
        <v>2774</v>
      </c>
    </row>
    <row r="239" spans="1:5" x14ac:dyDescent="0.25">
      <c r="A239" s="202">
        <v>2023</v>
      </c>
      <c r="B239" s="203" t="s">
        <v>264</v>
      </c>
      <c r="C239" s="204" t="s">
        <v>264</v>
      </c>
      <c r="D239" s="203" t="s">
        <v>609</v>
      </c>
      <c r="E239" s="205">
        <v>0</v>
      </c>
    </row>
    <row r="240" spans="1:5" x14ac:dyDescent="0.25">
      <c r="A240" s="202">
        <v>2023</v>
      </c>
      <c r="B240" s="203" t="s">
        <v>265</v>
      </c>
      <c r="C240" s="204" t="s">
        <v>265</v>
      </c>
      <c r="D240" s="203" t="s">
        <v>610</v>
      </c>
      <c r="E240" s="205">
        <v>2268</v>
      </c>
    </row>
    <row r="241" spans="1:5" x14ac:dyDescent="0.25">
      <c r="A241" s="202">
        <v>2023</v>
      </c>
      <c r="B241" s="203" t="s">
        <v>266</v>
      </c>
      <c r="C241" s="204" t="s">
        <v>266</v>
      </c>
      <c r="D241" s="203" t="s">
        <v>611</v>
      </c>
      <c r="E241" s="205">
        <v>2947</v>
      </c>
    </row>
    <row r="242" spans="1:5" x14ac:dyDescent="0.25">
      <c r="A242" s="202">
        <v>2023</v>
      </c>
      <c r="B242" s="203" t="s">
        <v>121</v>
      </c>
      <c r="C242" s="204" t="s">
        <v>121</v>
      </c>
      <c r="D242" s="203" t="s">
        <v>474</v>
      </c>
      <c r="E242" s="205">
        <v>362</v>
      </c>
    </row>
    <row r="243" spans="1:5" x14ac:dyDescent="0.25">
      <c r="A243" s="202">
        <v>2023</v>
      </c>
      <c r="B243" s="203" t="s">
        <v>242</v>
      </c>
      <c r="C243" s="204" t="s">
        <v>697</v>
      </c>
      <c r="D243" s="203" t="s">
        <v>589</v>
      </c>
      <c r="E243" s="205">
        <v>7139</v>
      </c>
    </row>
    <row r="244" spans="1:5" x14ac:dyDescent="0.25">
      <c r="A244" s="202">
        <v>2023</v>
      </c>
      <c r="B244" s="203" t="s">
        <v>267</v>
      </c>
      <c r="C244" s="204" t="s">
        <v>267</v>
      </c>
      <c r="D244" s="203" t="s">
        <v>612</v>
      </c>
      <c r="E244" s="205">
        <v>0</v>
      </c>
    </row>
    <row r="245" spans="1:5" x14ac:dyDescent="0.25">
      <c r="A245" s="202">
        <v>2023</v>
      </c>
      <c r="B245" s="203" t="s">
        <v>268</v>
      </c>
      <c r="C245" s="204" t="s">
        <v>268</v>
      </c>
      <c r="D245" s="203" t="s">
        <v>613</v>
      </c>
      <c r="E245" s="205">
        <v>5642</v>
      </c>
    </row>
    <row r="246" spans="1:5" x14ac:dyDescent="0.25">
      <c r="A246" s="202">
        <v>2023</v>
      </c>
      <c r="B246" s="203" t="s">
        <v>269</v>
      </c>
      <c r="C246" s="204" t="s">
        <v>269</v>
      </c>
      <c r="D246" s="203" t="s">
        <v>614</v>
      </c>
      <c r="E246" s="205">
        <v>0</v>
      </c>
    </row>
    <row r="247" spans="1:5" x14ac:dyDescent="0.25">
      <c r="A247" s="202">
        <v>2023</v>
      </c>
      <c r="B247" s="203" t="s">
        <v>270</v>
      </c>
      <c r="C247" s="204" t="s">
        <v>270</v>
      </c>
      <c r="D247" s="203" t="s">
        <v>615</v>
      </c>
      <c r="E247" s="205">
        <v>754</v>
      </c>
    </row>
    <row r="248" spans="1:5" x14ac:dyDescent="0.25">
      <c r="A248" s="202">
        <v>2023</v>
      </c>
      <c r="B248" s="203" t="s">
        <v>272</v>
      </c>
      <c r="C248" s="204" t="s">
        <v>272</v>
      </c>
      <c r="D248" s="203" t="s">
        <v>617</v>
      </c>
      <c r="E248" s="205">
        <v>14097</v>
      </c>
    </row>
    <row r="249" spans="1:5" x14ac:dyDescent="0.25">
      <c r="A249" s="202">
        <v>2023</v>
      </c>
      <c r="B249" s="203" t="s">
        <v>273</v>
      </c>
      <c r="C249" s="204" t="s">
        <v>273</v>
      </c>
      <c r="D249" s="203" t="s">
        <v>618</v>
      </c>
      <c r="E249" s="205">
        <v>1272</v>
      </c>
    </row>
    <row r="250" spans="1:5" x14ac:dyDescent="0.25">
      <c r="A250" s="202">
        <v>2023</v>
      </c>
      <c r="B250" s="203" t="s">
        <v>274</v>
      </c>
      <c r="C250" s="204" t="s">
        <v>274</v>
      </c>
      <c r="D250" s="203" t="s">
        <v>619</v>
      </c>
      <c r="E250" s="205">
        <v>2002</v>
      </c>
    </row>
    <row r="251" spans="1:5" x14ac:dyDescent="0.25">
      <c r="A251" s="202">
        <v>2023</v>
      </c>
      <c r="B251" s="203" t="s">
        <v>275</v>
      </c>
      <c r="C251" s="204" t="s">
        <v>275</v>
      </c>
      <c r="D251" s="203" t="s">
        <v>620</v>
      </c>
      <c r="E251" s="205">
        <v>2037</v>
      </c>
    </row>
    <row r="252" spans="1:5" x14ac:dyDescent="0.25">
      <c r="A252" s="202">
        <v>2023</v>
      </c>
      <c r="B252" s="203" t="s">
        <v>276</v>
      </c>
      <c r="C252" s="204" t="s">
        <v>276</v>
      </c>
      <c r="D252" s="203" t="s">
        <v>621</v>
      </c>
      <c r="E252" s="205">
        <v>1134</v>
      </c>
    </row>
    <row r="253" spans="1:5" x14ac:dyDescent="0.25">
      <c r="A253" s="202">
        <v>2023</v>
      </c>
      <c r="B253" s="203" t="s">
        <v>278</v>
      </c>
      <c r="C253" s="204" t="s">
        <v>278</v>
      </c>
      <c r="D253" s="203" t="s">
        <v>623</v>
      </c>
      <c r="E253" s="205">
        <v>2930</v>
      </c>
    </row>
    <row r="254" spans="1:5" x14ac:dyDescent="0.25">
      <c r="A254" s="202">
        <v>2023</v>
      </c>
      <c r="B254" s="203" t="s">
        <v>279</v>
      </c>
      <c r="C254" s="204" t="s">
        <v>279</v>
      </c>
      <c r="D254" s="203" t="s">
        <v>624</v>
      </c>
      <c r="E254" s="205">
        <v>6744</v>
      </c>
    </row>
    <row r="255" spans="1:5" x14ac:dyDescent="0.25">
      <c r="A255" s="202">
        <v>2023</v>
      </c>
      <c r="B255" s="203" t="s">
        <v>280</v>
      </c>
      <c r="C255" s="204" t="s">
        <v>280</v>
      </c>
      <c r="D255" s="203" t="s">
        <v>625</v>
      </c>
      <c r="E255" s="205">
        <v>1714</v>
      </c>
    </row>
    <row r="256" spans="1:5" x14ac:dyDescent="0.25">
      <c r="A256" s="202">
        <v>2023</v>
      </c>
      <c r="B256" s="203" t="s">
        <v>281</v>
      </c>
      <c r="C256" s="204" t="s">
        <v>281</v>
      </c>
      <c r="D256" s="203" t="s">
        <v>626</v>
      </c>
      <c r="E256" s="205">
        <v>6650</v>
      </c>
    </row>
    <row r="257" spans="1:5" x14ac:dyDescent="0.25">
      <c r="A257" s="202">
        <v>2023</v>
      </c>
      <c r="B257" s="203" t="s">
        <v>282</v>
      </c>
      <c r="C257" s="204" t="s">
        <v>282</v>
      </c>
      <c r="D257" s="203" t="s">
        <v>627</v>
      </c>
      <c r="E257" s="205">
        <v>2509</v>
      </c>
    </row>
    <row r="258" spans="1:5" x14ac:dyDescent="0.25">
      <c r="A258" s="202">
        <v>2023</v>
      </c>
      <c r="B258" s="203" t="s">
        <v>283</v>
      </c>
      <c r="C258" s="204" t="s">
        <v>283</v>
      </c>
      <c r="D258" s="203" t="s">
        <v>628</v>
      </c>
      <c r="E258" s="205">
        <v>2927</v>
      </c>
    </row>
    <row r="259" spans="1:5" x14ac:dyDescent="0.25">
      <c r="A259" s="202">
        <v>2023</v>
      </c>
      <c r="B259" s="203" t="s">
        <v>285</v>
      </c>
      <c r="C259" s="204" t="s">
        <v>701</v>
      </c>
      <c r="D259" s="203" t="s">
        <v>630</v>
      </c>
      <c r="E259" s="205">
        <v>0</v>
      </c>
    </row>
    <row r="260" spans="1:5" x14ac:dyDescent="0.25">
      <c r="A260" s="202">
        <v>2023</v>
      </c>
      <c r="B260" s="203" t="s">
        <v>284</v>
      </c>
      <c r="C260" s="204" t="s">
        <v>284</v>
      </c>
      <c r="D260" s="203" t="s">
        <v>629</v>
      </c>
      <c r="E260" s="205">
        <v>17219</v>
      </c>
    </row>
    <row r="261" spans="1:5" x14ac:dyDescent="0.25">
      <c r="A261" s="202">
        <v>2023</v>
      </c>
      <c r="B261" s="203" t="s">
        <v>287</v>
      </c>
      <c r="C261" s="204" t="s">
        <v>287</v>
      </c>
      <c r="D261" s="203" t="s">
        <v>632</v>
      </c>
      <c r="E261" s="205">
        <v>5178</v>
      </c>
    </row>
    <row r="262" spans="1:5" x14ac:dyDescent="0.25">
      <c r="A262" s="202">
        <v>2023</v>
      </c>
      <c r="B262" s="203" t="s">
        <v>286</v>
      </c>
      <c r="C262" s="204" t="s">
        <v>286</v>
      </c>
      <c r="D262" s="203" t="s">
        <v>631</v>
      </c>
      <c r="E262" s="205">
        <v>6099</v>
      </c>
    </row>
    <row r="263" spans="1:5" x14ac:dyDescent="0.25">
      <c r="A263" s="202">
        <v>2023</v>
      </c>
      <c r="B263" s="203" t="s">
        <v>289</v>
      </c>
      <c r="C263" s="204" t="s">
        <v>289</v>
      </c>
      <c r="D263" s="203" t="s">
        <v>634</v>
      </c>
      <c r="E263" s="205">
        <v>4553</v>
      </c>
    </row>
    <row r="264" spans="1:5" x14ac:dyDescent="0.25">
      <c r="A264" s="202">
        <v>2023</v>
      </c>
      <c r="B264" s="203" t="s">
        <v>254</v>
      </c>
      <c r="C264" s="204" t="s">
        <v>698</v>
      </c>
      <c r="D264" s="203" t="s">
        <v>600</v>
      </c>
      <c r="E264" s="205">
        <v>1555</v>
      </c>
    </row>
    <row r="265" spans="1:5" x14ac:dyDescent="0.25">
      <c r="A265" s="202">
        <v>2023</v>
      </c>
      <c r="B265" s="203" t="s">
        <v>291</v>
      </c>
      <c r="C265" s="204" t="s">
        <v>291</v>
      </c>
      <c r="D265" s="203" t="s">
        <v>636</v>
      </c>
      <c r="E265" s="205">
        <v>2044</v>
      </c>
    </row>
    <row r="266" spans="1:5" x14ac:dyDescent="0.25">
      <c r="A266" s="202">
        <v>2023</v>
      </c>
      <c r="B266" s="203" t="s">
        <v>292</v>
      </c>
      <c r="C266" s="204" t="s">
        <v>292</v>
      </c>
      <c r="D266" s="203" t="s">
        <v>637</v>
      </c>
      <c r="E266" s="205">
        <v>0</v>
      </c>
    </row>
    <row r="267" spans="1:5" x14ac:dyDescent="0.25">
      <c r="A267" s="202">
        <v>2023</v>
      </c>
      <c r="B267" s="203" t="s">
        <v>293</v>
      </c>
      <c r="C267" s="204" t="s">
        <v>293</v>
      </c>
      <c r="D267" s="203" t="s">
        <v>638</v>
      </c>
      <c r="E267" s="205">
        <v>3095</v>
      </c>
    </row>
    <row r="268" spans="1:5" x14ac:dyDescent="0.25">
      <c r="A268" s="202">
        <v>2023</v>
      </c>
      <c r="B268" s="203" t="s">
        <v>294</v>
      </c>
      <c r="C268" s="204" t="s">
        <v>294</v>
      </c>
      <c r="D268" s="203" t="s">
        <v>639</v>
      </c>
      <c r="E268" s="205">
        <v>34807</v>
      </c>
    </row>
    <row r="269" spans="1:5" x14ac:dyDescent="0.25">
      <c r="A269" s="202">
        <v>2023</v>
      </c>
      <c r="B269" s="203" t="s">
        <v>288</v>
      </c>
      <c r="C269" s="204" t="s">
        <v>288</v>
      </c>
      <c r="D269" s="203" t="s">
        <v>633</v>
      </c>
      <c r="E269" s="205">
        <v>1500</v>
      </c>
    </row>
    <row r="270" spans="1:5" x14ac:dyDescent="0.25">
      <c r="A270" s="202">
        <v>2023</v>
      </c>
      <c r="B270" s="203" t="s">
        <v>290</v>
      </c>
      <c r="C270" s="204" t="s">
        <v>290</v>
      </c>
      <c r="D270" s="203" t="s">
        <v>635</v>
      </c>
      <c r="E270" s="205">
        <v>4404</v>
      </c>
    </row>
    <row r="271" spans="1:5" x14ac:dyDescent="0.25">
      <c r="A271" s="202">
        <v>2023</v>
      </c>
      <c r="B271" s="203" t="s">
        <v>295</v>
      </c>
      <c r="C271" s="204" t="s">
        <v>295</v>
      </c>
      <c r="D271" s="203" t="s">
        <v>640</v>
      </c>
      <c r="E271" s="205">
        <v>2244</v>
      </c>
    </row>
    <row r="272" spans="1:5" x14ac:dyDescent="0.25">
      <c r="A272" s="202">
        <v>2023</v>
      </c>
      <c r="B272" s="203" t="s">
        <v>296</v>
      </c>
      <c r="C272" s="204" t="s">
        <v>296</v>
      </c>
      <c r="D272" s="203" t="s">
        <v>641</v>
      </c>
      <c r="E272" s="205">
        <v>3007</v>
      </c>
    </row>
    <row r="273" spans="1:5" x14ac:dyDescent="0.25">
      <c r="A273" s="202">
        <v>2023</v>
      </c>
      <c r="B273" s="203" t="s">
        <v>297</v>
      </c>
      <c r="C273" s="204" t="s">
        <v>297</v>
      </c>
      <c r="D273" s="203" t="s">
        <v>642</v>
      </c>
      <c r="E273" s="205">
        <v>237</v>
      </c>
    </row>
    <row r="274" spans="1:5" x14ac:dyDescent="0.25">
      <c r="A274" s="202">
        <v>2023</v>
      </c>
      <c r="B274" s="203" t="s">
        <v>271</v>
      </c>
      <c r="C274" s="204" t="s">
        <v>271</v>
      </c>
      <c r="D274" s="203" t="s">
        <v>616</v>
      </c>
      <c r="E274" s="205">
        <v>4049</v>
      </c>
    </row>
    <row r="275" spans="1:5" x14ac:dyDescent="0.25">
      <c r="A275" s="202">
        <v>2023</v>
      </c>
      <c r="B275" s="203" t="s">
        <v>298</v>
      </c>
      <c r="C275" s="204" t="s">
        <v>298</v>
      </c>
      <c r="D275" s="203" t="s">
        <v>643</v>
      </c>
      <c r="E275" s="205">
        <v>672</v>
      </c>
    </row>
    <row r="276" spans="1:5" x14ac:dyDescent="0.25">
      <c r="A276" s="202">
        <v>2023</v>
      </c>
      <c r="B276" s="203" t="s">
        <v>299</v>
      </c>
      <c r="C276" s="204" t="s">
        <v>299</v>
      </c>
      <c r="D276" s="203" t="s">
        <v>644</v>
      </c>
      <c r="E276" s="205">
        <v>449</v>
      </c>
    </row>
    <row r="277" spans="1:5" x14ac:dyDescent="0.25">
      <c r="A277" s="202">
        <v>2023</v>
      </c>
      <c r="B277" s="203" t="s">
        <v>300</v>
      </c>
      <c r="C277" s="204" t="s">
        <v>300</v>
      </c>
      <c r="D277" s="203" t="s">
        <v>645</v>
      </c>
      <c r="E277" s="205">
        <v>12147</v>
      </c>
    </row>
    <row r="278" spans="1:5" x14ac:dyDescent="0.25">
      <c r="A278" s="202">
        <v>2023</v>
      </c>
      <c r="B278" s="203" t="s">
        <v>301</v>
      </c>
      <c r="C278" s="204" t="s">
        <v>301</v>
      </c>
      <c r="D278" s="203" t="s">
        <v>646</v>
      </c>
      <c r="E278" s="205">
        <v>3660</v>
      </c>
    </row>
    <row r="279" spans="1:5" x14ac:dyDescent="0.25">
      <c r="A279" s="202">
        <v>2023</v>
      </c>
      <c r="B279" s="203" t="s">
        <v>303</v>
      </c>
      <c r="C279" s="204" t="s">
        <v>303</v>
      </c>
      <c r="D279" s="203" t="s">
        <v>648</v>
      </c>
      <c r="E279" s="205">
        <v>1964</v>
      </c>
    </row>
    <row r="280" spans="1:5" x14ac:dyDescent="0.25">
      <c r="A280" s="202">
        <v>2023</v>
      </c>
      <c r="B280" s="203" t="s">
        <v>304</v>
      </c>
      <c r="C280" s="204" t="s">
        <v>304</v>
      </c>
      <c r="D280" s="203" t="s">
        <v>649</v>
      </c>
      <c r="E280" s="205">
        <v>867</v>
      </c>
    </row>
    <row r="281" spans="1:5" x14ac:dyDescent="0.25">
      <c r="A281" s="202">
        <v>2023</v>
      </c>
      <c r="B281" s="203" t="s">
        <v>305</v>
      </c>
      <c r="C281" s="204" t="s">
        <v>305</v>
      </c>
      <c r="D281" s="203" t="s">
        <v>650</v>
      </c>
      <c r="E281" s="205">
        <v>3473</v>
      </c>
    </row>
    <row r="282" spans="1:5" x14ac:dyDescent="0.25">
      <c r="A282" s="202">
        <v>2023</v>
      </c>
      <c r="B282" s="203" t="s">
        <v>306</v>
      </c>
      <c r="C282" s="204" t="s">
        <v>306</v>
      </c>
      <c r="D282" s="203" t="s">
        <v>651</v>
      </c>
      <c r="E282" s="205">
        <v>2222</v>
      </c>
    </row>
    <row r="283" spans="1:5" x14ac:dyDescent="0.25">
      <c r="A283" s="202">
        <v>2023</v>
      </c>
      <c r="B283" s="203" t="s">
        <v>307</v>
      </c>
      <c r="C283" s="204" t="s">
        <v>307</v>
      </c>
      <c r="D283" s="203" t="s">
        <v>652</v>
      </c>
      <c r="E283" s="205">
        <v>2870</v>
      </c>
    </row>
    <row r="284" spans="1:5" x14ac:dyDescent="0.25">
      <c r="A284" s="202">
        <v>2023</v>
      </c>
      <c r="B284" s="203" t="s">
        <v>308</v>
      </c>
      <c r="C284" s="204" t="s">
        <v>308</v>
      </c>
      <c r="D284" s="203" t="s">
        <v>653</v>
      </c>
      <c r="E284" s="205">
        <v>4465</v>
      </c>
    </row>
    <row r="285" spans="1:5" x14ac:dyDescent="0.25">
      <c r="A285" s="202">
        <v>2023</v>
      </c>
      <c r="B285" s="203" t="s">
        <v>309</v>
      </c>
      <c r="C285" s="204" t="s">
        <v>309</v>
      </c>
      <c r="D285" s="203" t="s">
        <v>654</v>
      </c>
      <c r="E285" s="205">
        <v>3093</v>
      </c>
    </row>
    <row r="286" spans="1:5" x14ac:dyDescent="0.25">
      <c r="A286" s="202">
        <v>2023</v>
      </c>
      <c r="B286" s="203" t="s">
        <v>310</v>
      </c>
      <c r="C286" s="204" t="s">
        <v>310</v>
      </c>
      <c r="D286" s="203" t="s">
        <v>655</v>
      </c>
      <c r="E286" s="205">
        <v>0</v>
      </c>
    </row>
    <row r="287" spans="1:5" x14ac:dyDescent="0.25">
      <c r="A287" s="202">
        <v>2023</v>
      </c>
      <c r="B287" s="203" t="s">
        <v>311</v>
      </c>
      <c r="C287" s="204" t="s">
        <v>311</v>
      </c>
      <c r="D287" s="203" t="s">
        <v>656</v>
      </c>
      <c r="E287" s="205">
        <v>1438</v>
      </c>
    </row>
    <row r="288" spans="1:5" x14ac:dyDescent="0.25">
      <c r="A288" s="202">
        <v>2023</v>
      </c>
      <c r="B288" s="203" t="s">
        <v>312</v>
      </c>
      <c r="C288" s="204" t="s">
        <v>312</v>
      </c>
      <c r="D288" s="203" t="s">
        <v>657</v>
      </c>
      <c r="E288" s="205">
        <v>6702</v>
      </c>
    </row>
    <row r="289" spans="1:5" x14ac:dyDescent="0.25">
      <c r="A289" s="202">
        <v>2023</v>
      </c>
      <c r="B289" s="203" t="s">
        <v>114</v>
      </c>
      <c r="C289" s="204" t="s">
        <v>695</v>
      </c>
      <c r="D289" s="203" t="s">
        <v>467</v>
      </c>
      <c r="E289" s="205">
        <v>2404</v>
      </c>
    </row>
    <row r="290" spans="1:5" x14ac:dyDescent="0.25">
      <c r="A290" s="202">
        <v>2023</v>
      </c>
      <c r="B290" s="203" t="s">
        <v>313</v>
      </c>
      <c r="C290" s="204" t="s">
        <v>313</v>
      </c>
      <c r="D290" s="203" t="s">
        <v>658</v>
      </c>
      <c r="E290" s="205">
        <v>0</v>
      </c>
    </row>
    <row r="291" spans="1:5" x14ac:dyDescent="0.25">
      <c r="A291" s="202">
        <v>2023</v>
      </c>
      <c r="B291" s="203" t="s">
        <v>314</v>
      </c>
      <c r="C291" s="204" t="s">
        <v>314</v>
      </c>
      <c r="D291" s="203" t="s">
        <v>659</v>
      </c>
      <c r="E291" s="205">
        <v>27660</v>
      </c>
    </row>
    <row r="292" spans="1:5" x14ac:dyDescent="0.25">
      <c r="A292" s="202">
        <v>2023</v>
      </c>
      <c r="B292" s="203" t="s">
        <v>316</v>
      </c>
      <c r="C292" s="204" t="s">
        <v>316</v>
      </c>
      <c r="D292" s="203" t="s">
        <v>804</v>
      </c>
      <c r="E292" s="205">
        <v>4363</v>
      </c>
    </row>
    <row r="293" spans="1:5" x14ac:dyDescent="0.25">
      <c r="A293" s="202">
        <v>2023</v>
      </c>
      <c r="B293" s="203" t="s">
        <v>317</v>
      </c>
      <c r="C293" s="204" t="s">
        <v>317</v>
      </c>
      <c r="D293" s="203" t="s">
        <v>660</v>
      </c>
      <c r="E293" s="205">
        <v>1728</v>
      </c>
    </row>
    <row r="294" spans="1:5" x14ac:dyDescent="0.25">
      <c r="A294" s="202">
        <v>2023</v>
      </c>
      <c r="B294" s="203" t="s">
        <v>318</v>
      </c>
      <c r="C294" s="204" t="s">
        <v>318</v>
      </c>
      <c r="D294" s="203" t="s">
        <v>661</v>
      </c>
      <c r="E294" s="205">
        <v>3271</v>
      </c>
    </row>
    <row r="295" spans="1:5" x14ac:dyDescent="0.25">
      <c r="A295" s="202">
        <v>2023</v>
      </c>
      <c r="B295" s="203" t="s">
        <v>319</v>
      </c>
      <c r="C295" s="204" t="s">
        <v>319</v>
      </c>
      <c r="D295" s="203" t="s">
        <v>662</v>
      </c>
      <c r="E295" s="205">
        <v>11041</v>
      </c>
    </row>
    <row r="296" spans="1:5" x14ac:dyDescent="0.25">
      <c r="A296" s="202">
        <v>2023</v>
      </c>
      <c r="B296" s="203" t="s">
        <v>320</v>
      </c>
      <c r="C296" s="204" t="s">
        <v>320</v>
      </c>
      <c r="D296" s="203" t="s">
        <v>663</v>
      </c>
      <c r="E296" s="205">
        <v>3376</v>
      </c>
    </row>
    <row r="297" spans="1:5" x14ac:dyDescent="0.25">
      <c r="A297" s="202">
        <v>2023</v>
      </c>
      <c r="B297" s="203" t="s">
        <v>322</v>
      </c>
      <c r="C297" s="204" t="s">
        <v>322</v>
      </c>
      <c r="D297" s="203" t="s">
        <v>665</v>
      </c>
      <c r="E297" s="205">
        <v>2354</v>
      </c>
    </row>
    <row r="298" spans="1:5" x14ac:dyDescent="0.25">
      <c r="A298" s="202">
        <v>2023</v>
      </c>
      <c r="B298" s="203" t="s">
        <v>323</v>
      </c>
      <c r="C298" s="204" t="s">
        <v>323</v>
      </c>
      <c r="D298" s="203" t="s">
        <v>666</v>
      </c>
      <c r="E298" s="205">
        <v>3719</v>
      </c>
    </row>
    <row r="299" spans="1:5" x14ac:dyDescent="0.25">
      <c r="A299" s="202">
        <v>2023</v>
      </c>
      <c r="B299" s="203" t="s">
        <v>324</v>
      </c>
      <c r="C299" s="204" t="s">
        <v>324</v>
      </c>
      <c r="D299" s="203" t="s">
        <v>667</v>
      </c>
      <c r="E299" s="205">
        <v>12308</v>
      </c>
    </row>
    <row r="300" spans="1:5" x14ac:dyDescent="0.25">
      <c r="A300" s="202">
        <v>2023</v>
      </c>
      <c r="B300" s="203" t="s">
        <v>325</v>
      </c>
      <c r="C300" s="204" t="s">
        <v>325</v>
      </c>
      <c r="D300" s="203" t="s">
        <v>668</v>
      </c>
      <c r="E300" s="205">
        <v>0</v>
      </c>
    </row>
    <row r="301" spans="1:5" x14ac:dyDescent="0.25">
      <c r="A301" s="202">
        <v>2023</v>
      </c>
      <c r="B301" s="203" t="s">
        <v>326</v>
      </c>
      <c r="C301" s="204" t="s">
        <v>326</v>
      </c>
      <c r="D301" s="203" t="s">
        <v>669</v>
      </c>
      <c r="E301" s="205">
        <v>127414</v>
      </c>
    </row>
    <row r="302" spans="1:5" x14ac:dyDescent="0.25">
      <c r="A302" s="202">
        <v>2023</v>
      </c>
      <c r="B302" s="203" t="s">
        <v>327</v>
      </c>
      <c r="C302" s="204" t="s">
        <v>327</v>
      </c>
      <c r="D302" s="203" t="s">
        <v>670</v>
      </c>
      <c r="E302" s="205">
        <v>10777</v>
      </c>
    </row>
    <row r="303" spans="1:5" x14ac:dyDescent="0.25">
      <c r="A303" s="202">
        <v>2023</v>
      </c>
      <c r="B303" s="203" t="s">
        <v>328</v>
      </c>
      <c r="C303" s="204" t="s">
        <v>328</v>
      </c>
      <c r="D303" s="203" t="s">
        <v>671</v>
      </c>
      <c r="E303" s="205">
        <v>1100</v>
      </c>
    </row>
    <row r="304" spans="1:5" x14ac:dyDescent="0.25">
      <c r="A304" s="202">
        <v>2023</v>
      </c>
      <c r="B304" s="203" t="s">
        <v>329</v>
      </c>
      <c r="C304" s="204" t="s">
        <v>329</v>
      </c>
      <c r="D304" s="203" t="s">
        <v>672</v>
      </c>
      <c r="E304" s="205">
        <v>8167</v>
      </c>
    </row>
    <row r="305" spans="1:5" x14ac:dyDescent="0.25">
      <c r="A305" s="202">
        <v>2023</v>
      </c>
      <c r="B305" s="203" t="s">
        <v>330</v>
      </c>
      <c r="C305" s="204" t="s">
        <v>330</v>
      </c>
      <c r="D305" s="203" t="s">
        <v>673</v>
      </c>
      <c r="E305" s="205">
        <v>85</v>
      </c>
    </row>
    <row r="306" spans="1:5" x14ac:dyDescent="0.25">
      <c r="A306" s="202">
        <v>2023</v>
      </c>
      <c r="B306" s="203" t="s">
        <v>331</v>
      </c>
      <c r="C306" s="204" t="s">
        <v>331</v>
      </c>
      <c r="D306" s="203" t="s">
        <v>674</v>
      </c>
      <c r="E306" s="205">
        <v>5274</v>
      </c>
    </row>
    <row r="307" spans="1:5" x14ac:dyDescent="0.25">
      <c r="A307" s="202">
        <v>2023</v>
      </c>
      <c r="B307" s="203" t="s">
        <v>332</v>
      </c>
      <c r="C307" s="204" t="s">
        <v>332</v>
      </c>
      <c r="D307" s="203" t="s">
        <v>675</v>
      </c>
      <c r="E307" s="205">
        <v>22</v>
      </c>
    </row>
    <row r="308" spans="1:5" x14ac:dyDescent="0.25">
      <c r="A308" s="202">
        <v>2023</v>
      </c>
      <c r="B308" s="203" t="s">
        <v>333</v>
      </c>
      <c r="C308" s="204" t="s">
        <v>333</v>
      </c>
      <c r="D308" s="203" t="s">
        <v>676</v>
      </c>
      <c r="E308" s="205">
        <v>2260</v>
      </c>
    </row>
    <row r="309" spans="1:5" x14ac:dyDescent="0.25">
      <c r="A309" s="202">
        <v>2023</v>
      </c>
      <c r="B309" s="203" t="s">
        <v>302</v>
      </c>
      <c r="C309" s="204" t="s">
        <v>302</v>
      </c>
      <c r="D309" s="203" t="s">
        <v>647</v>
      </c>
      <c r="E309" s="205">
        <v>0</v>
      </c>
    </row>
    <row r="310" spans="1:5" x14ac:dyDescent="0.25">
      <c r="A310" s="202">
        <v>2023</v>
      </c>
      <c r="B310" s="203" t="s">
        <v>334</v>
      </c>
      <c r="C310" s="204" t="s">
        <v>334</v>
      </c>
      <c r="D310" s="203" t="s">
        <v>677</v>
      </c>
      <c r="E310" s="205">
        <v>8311</v>
      </c>
    </row>
    <row r="311" spans="1:5" x14ac:dyDescent="0.25">
      <c r="A311" s="202">
        <v>2023</v>
      </c>
      <c r="B311" s="203" t="s">
        <v>335</v>
      </c>
      <c r="C311" s="204" t="s">
        <v>335</v>
      </c>
      <c r="D311" s="203" t="s">
        <v>678</v>
      </c>
      <c r="E311" s="205">
        <v>40383</v>
      </c>
    </row>
    <row r="312" spans="1:5" x14ac:dyDescent="0.25">
      <c r="A312" s="202">
        <v>2023</v>
      </c>
      <c r="B312" s="203" t="s">
        <v>277</v>
      </c>
      <c r="C312" s="204" t="s">
        <v>277</v>
      </c>
      <c r="D312" s="203" t="s">
        <v>622</v>
      </c>
      <c r="E312" s="205">
        <v>6479</v>
      </c>
    </row>
    <row r="313" spans="1:5" x14ac:dyDescent="0.25">
      <c r="A313" s="202">
        <v>2023</v>
      </c>
      <c r="B313" s="203" t="s">
        <v>57</v>
      </c>
      <c r="C313" s="204" t="s">
        <v>57</v>
      </c>
      <c r="D313" s="203" t="s">
        <v>412</v>
      </c>
      <c r="E313" s="205">
        <v>1997</v>
      </c>
    </row>
    <row r="314" spans="1:5" x14ac:dyDescent="0.25">
      <c r="A314" s="202">
        <v>2023</v>
      </c>
      <c r="B314" s="203" t="s">
        <v>337</v>
      </c>
      <c r="C314" s="204" t="s">
        <v>337</v>
      </c>
      <c r="D314" s="203" t="s">
        <v>680</v>
      </c>
      <c r="E314" s="205">
        <v>3391</v>
      </c>
    </row>
    <row r="315" spans="1:5" x14ac:dyDescent="0.25">
      <c r="A315" s="202">
        <v>2023</v>
      </c>
      <c r="B315" s="203" t="s">
        <v>338</v>
      </c>
      <c r="C315" s="204" t="s">
        <v>338</v>
      </c>
      <c r="D315" s="203" t="s">
        <v>681</v>
      </c>
      <c r="E315" s="205">
        <v>0</v>
      </c>
    </row>
    <row r="316" spans="1:5" x14ac:dyDescent="0.25">
      <c r="A316" s="202">
        <v>2023</v>
      </c>
      <c r="B316" s="203" t="s">
        <v>339</v>
      </c>
      <c r="C316" s="204" t="s">
        <v>339</v>
      </c>
      <c r="D316" s="203" t="s">
        <v>682</v>
      </c>
      <c r="E316" s="205">
        <v>5973</v>
      </c>
    </row>
    <row r="317" spans="1:5" x14ac:dyDescent="0.25">
      <c r="A317" s="202">
        <v>2023</v>
      </c>
      <c r="B317" s="203" t="s">
        <v>340</v>
      </c>
      <c r="C317" s="204" t="s">
        <v>340</v>
      </c>
      <c r="D317" s="203" t="s">
        <v>683</v>
      </c>
      <c r="E317" s="205">
        <v>618</v>
      </c>
    </row>
    <row r="318" spans="1:5" x14ac:dyDescent="0.25">
      <c r="A318" s="202">
        <v>2023</v>
      </c>
      <c r="B318" s="203" t="s">
        <v>341</v>
      </c>
      <c r="C318" s="204" t="s">
        <v>341</v>
      </c>
      <c r="D318" s="203" t="s">
        <v>684</v>
      </c>
      <c r="E318" s="205">
        <v>0</v>
      </c>
    </row>
    <row r="319" spans="1:5" x14ac:dyDescent="0.25">
      <c r="A319" s="202">
        <v>2023</v>
      </c>
      <c r="B319" s="203" t="s">
        <v>342</v>
      </c>
      <c r="C319" s="204" t="s">
        <v>342</v>
      </c>
      <c r="D319" s="203" t="s">
        <v>685</v>
      </c>
      <c r="E319" s="205">
        <v>5853</v>
      </c>
    </row>
    <row r="320" spans="1:5" x14ac:dyDescent="0.25">
      <c r="A320" s="202">
        <v>2023</v>
      </c>
      <c r="B320" s="203" t="s">
        <v>336</v>
      </c>
      <c r="C320" s="204" t="s">
        <v>336</v>
      </c>
      <c r="D320" s="203" t="s">
        <v>679</v>
      </c>
      <c r="E320" s="205">
        <v>11643</v>
      </c>
    </row>
    <row r="321" spans="1:5" x14ac:dyDescent="0.25">
      <c r="A321" s="202">
        <v>2023</v>
      </c>
      <c r="B321" s="203" t="s">
        <v>343</v>
      </c>
      <c r="C321" s="204" t="s">
        <v>343</v>
      </c>
      <c r="D321" s="203" t="s">
        <v>686</v>
      </c>
      <c r="E321" s="205">
        <v>383</v>
      </c>
    </row>
    <row r="322" spans="1:5" x14ac:dyDescent="0.25">
      <c r="A322" s="202">
        <v>2023</v>
      </c>
      <c r="B322" s="203" t="s">
        <v>344</v>
      </c>
      <c r="C322" s="204" t="s">
        <v>344</v>
      </c>
      <c r="D322" s="203" t="s">
        <v>687</v>
      </c>
      <c r="E322" s="205">
        <v>1727</v>
      </c>
    </row>
    <row r="323" spans="1:5" x14ac:dyDescent="0.25">
      <c r="A323" s="202">
        <v>2023</v>
      </c>
      <c r="B323" s="203" t="s">
        <v>345</v>
      </c>
      <c r="C323" s="204" t="s">
        <v>345</v>
      </c>
      <c r="D323" s="203" t="s">
        <v>688</v>
      </c>
      <c r="E323" s="205">
        <v>5612</v>
      </c>
    </row>
    <row r="324" spans="1:5" x14ac:dyDescent="0.25">
      <c r="A324" s="202">
        <v>2023</v>
      </c>
      <c r="B324" s="203" t="s">
        <v>346</v>
      </c>
      <c r="C324" s="204" t="s">
        <v>346</v>
      </c>
      <c r="D324" s="203" t="s">
        <v>689</v>
      </c>
      <c r="E324" s="205">
        <v>4231</v>
      </c>
    </row>
    <row r="325" spans="1:5" x14ac:dyDescent="0.25">
      <c r="A325" s="202">
        <v>2023</v>
      </c>
      <c r="B325" s="203" t="s">
        <v>347</v>
      </c>
      <c r="C325" s="204" t="s">
        <v>347</v>
      </c>
      <c r="D325" s="203" t="s">
        <v>690</v>
      </c>
      <c r="E325" s="205">
        <v>483</v>
      </c>
    </row>
    <row r="326" spans="1:5" x14ac:dyDescent="0.25">
      <c r="A326" s="202">
        <v>2023</v>
      </c>
      <c r="B326" s="203" t="s">
        <v>348</v>
      </c>
      <c r="C326" s="204" t="s">
        <v>348</v>
      </c>
      <c r="D326" s="203" t="s">
        <v>691</v>
      </c>
      <c r="E326" s="205">
        <v>7030</v>
      </c>
    </row>
    <row r="327" spans="1:5" x14ac:dyDescent="0.25">
      <c r="A327" s="202">
        <v>2023</v>
      </c>
      <c r="B327" s="203" t="s">
        <v>349</v>
      </c>
      <c r="C327" s="204" t="s">
        <v>349</v>
      </c>
      <c r="D327" s="203" t="s">
        <v>692</v>
      </c>
      <c r="E327" s="205">
        <v>1977</v>
      </c>
    </row>
    <row r="328" spans="1:5" x14ac:dyDescent="0.25">
      <c r="A328" s="202">
        <v>2023</v>
      </c>
      <c r="B328" s="203" t="s">
        <v>350</v>
      </c>
      <c r="C328" s="204" t="s">
        <v>350</v>
      </c>
      <c r="D328" s="203" t="s">
        <v>693</v>
      </c>
      <c r="E328" s="205">
        <v>1776</v>
      </c>
    </row>
    <row r="329" spans="1:5" x14ac:dyDescent="0.25">
      <c r="A329" s="202">
        <v>2023</v>
      </c>
      <c r="B329" s="203" t="s">
        <v>351</v>
      </c>
      <c r="C329" s="204" t="s">
        <v>351</v>
      </c>
      <c r="D329" s="203" t="s">
        <v>694</v>
      </c>
      <c r="E329" s="205">
        <v>5858</v>
      </c>
    </row>
    <row r="330" spans="1:5" ht="15.75" thickBot="1" x14ac:dyDescent="0.3">
      <c r="A330" s="166"/>
      <c r="B330" s="206" t="s">
        <v>788</v>
      </c>
      <c r="D330" s="168" t="s">
        <v>787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2024-05-10T18:22:27Z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