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rive\PAY\FY2024\"/>
    </mc:Choice>
  </mc:AlternateContent>
  <xr:revisionPtr revIDLastSave="0" documentId="13_ncr:1_{1DC4D3EE-E107-4E4D-913D-503320FD6AA5}" xr6:coauthVersionLast="36" xr6:coauthVersionMax="36" xr10:uidLastSave="{00000000-0000-0000-0000-000000000000}"/>
  <bookViews>
    <workbookView xWindow="315" yWindow="15" windowWidth="21330" windowHeight="11490" tabRatio="882" activeTab="3" xr2:uid="{00000000-000D-0000-FFFF-FFFF00000000}"/>
  </bookViews>
  <sheets>
    <sheet name="Budget Total" sheetId="1" r:id="rId1"/>
    <sheet name="Budget by Source" sheetId="2" r:id="rId2"/>
    <sheet name="Payment Total" sheetId="5" r:id="rId3"/>
    <sheet name="Payment by Source" sheetId="3" r:id="rId4"/>
    <sheet name="SurtaxPayment" sheetId="17" state="hidden" r:id="rId5"/>
    <sheet name="Data" sheetId="11" state="hidden" r:id="rId6"/>
    <sheet name="Notes" sheetId="10" state="hidden" r:id="rId7"/>
    <sheet name="PaymentSummary" sheetId="12" state="hidden" r:id="rId8"/>
    <sheet name="SpecialEdDeficit" sheetId="15" state="hidden" r:id="rId9"/>
  </sheets>
  <externalReferences>
    <externalReference r:id="rId10"/>
  </externalReferences>
  <definedNames>
    <definedName name="District">'[1]Budget Total'!$B$7:$B$340</definedName>
    <definedName name="Districts">'Budget Total'!$B$6:$B$331</definedName>
    <definedName name="_xlnm.Print_Area" localSheetId="7">PaymentSummary!$A$1:$E$43,PaymentSummary!$H$10:$Q$39</definedName>
    <definedName name="_xlnm.Print_Titles" localSheetId="1">'Budget by Source'!$1:$5</definedName>
    <definedName name="_xlnm.Print_Titles" localSheetId="0">'Budget Total'!$1:$5</definedName>
    <definedName name="_xlnm.Print_Titles" localSheetId="3">'Payment by Source'!$1:$4</definedName>
    <definedName name="_xlnm.Print_Titles" localSheetId="2">'Payment Total'!$1:$5</definedName>
    <definedName name="_xlnm.Print_Titles" localSheetId="8">SpecialEdDeficit!$1:$2</definedName>
    <definedName name="_xlnm.Print_Titles" localSheetId="4">SurtaxPayment!$1:$5</definedName>
  </definedNames>
  <calcPr calcId="191029"/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6" i="1"/>
  <c r="E4" i="1"/>
  <c r="G327" i="11"/>
  <c r="E331" i="1" l="1"/>
  <c r="B26" i="10" s="1"/>
  <c r="B30" i="10" l="1"/>
  <c r="E330" i="15" l="1"/>
  <c r="T333" i="17" l="1"/>
  <c r="U333" i="17"/>
  <c r="S333" i="17"/>
  <c r="P333" i="17"/>
  <c r="Q333" i="17"/>
  <c r="O333" i="17"/>
  <c r="L333" i="17"/>
  <c r="M333" i="17"/>
  <c r="K333" i="17"/>
  <c r="Q332" i="5" l="1"/>
  <c r="AO327" i="11" l="1"/>
  <c r="G42" i="12"/>
  <c r="E327" i="11" l="1"/>
  <c r="D1" i="15" l="1"/>
  <c r="Y13" i="12" l="1"/>
  <c r="S13" i="12"/>
  <c r="T13" i="12"/>
  <c r="U13" i="12"/>
  <c r="V13" i="12"/>
  <c r="W13" i="12"/>
  <c r="X13" i="12"/>
  <c r="R13" i="12"/>
  <c r="J13" i="12"/>
  <c r="N13" i="12"/>
  <c r="M13" i="12"/>
  <c r="L13" i="12"/>
  <c r="K13" i="12"/>
  <c r="F327" i="11" l="1"/>
  <c r="H327" i="11"/>
  <c r="I327" i="11"/>
  <c r="J327" i="11"/>
  <c r="K327" i="11"/>
  <c r="L327" i="11"/>
  <c r="M327" i="11"/>
  <c r="N327" i="11"/>
  <c r="O327" i="11"/>
  <c r="P327" i="11"/>
  <c r="Q327" i="11"/>
  <c r="R327" i="11"/>
  <c r="S327" i="11"/>
  <c r="T327" i="11"/>
  <c r="U327" i="11"/>
  <c r="V327" i="11"/>
  <c r="W327" i="11"/>
  <c r="X327" i="11"/>
  <c r="Y327" i="11"/>
  <c r="Z327" i="11"/>
  <c r="AA327" i="11"/>
  <c r="AB327" i="11"/>
  <c r="AC327" i="11"/>
  <c r="AD327" i="11"/>
  <c r="AE327" i="11"/>
  <c r="AF327" i="11"/>
  <c r="AG327" i="11"/>
  <c r="AH327" i="11"/>
  <c r="AI327" i="11"/>
  <c r="AJ327" i="11"/>
  <c r="AK327" i="11"/>
  <c r="AL327" i="11"/>
  <c r="AM327" i="11"/>
  <c r="AN327" i="11"/>
  <c r="G25" i="12"/>
  <c r="G24" i="12"/>
  <c r="G23" i="12"/>
  <c r="G22" i="12"/>
  <c r="G21" i="12"/>
  <c r="G20" i="12"/>
  <c r="G19" i="12"/>
  <c r="G18" i="12"/>
  <c r="G17" i="12"/>
  <c r="G16" i="12"/>
  <c r="C6" i="5" l="1"/>
  <c r="D6" i="5"/>
  <c r="E6" i="5"/>
  <c r="G6" i="5"/>
  <c r="B3" i="10"/>
  <c r="I4" i="2" s="1"/>
  <c r="R8" i="5"/>
  <c r="S8" i="5" s="1"/>
  <c r="R9" i="5"/>
  <c r="S9" i="5" s="1"/>
  <c r="R10" i="5"/>
  <c r="S10" i="5" s="1"/>
  <c r="R11" i="5"/>
  <c r="S11" i="5" s="1"/>
  <c r="R12" i="5"/>
  <c r="S12" i="5" s="1"/>
  <c r="R13" i="5"/>
  <c r="S13" i="5" s="1"/>
  <c r="R14" i="5"/>
  <c r="S14" i="5" s="1"/>
  <c r="R15" i="5"/>
  <c r="S15" i="5" s="1"/>
  <c r="R16" i="5"/>
  <c r="S16" i="5" s="1"/>
  <c r="R17" i="5"/>
  <c r="S17" i="5" s="1"/>
  <c r="R18" i="5"/>
  <c r="S18" i="5" s="1"/>
  <c r="R19" i="5"/>
  <c r="S19" i="5" s="1"/>
  <c r="R20" i="5"/>
  <c r="S20" i="5" s="1"/>
  <c r="R21" i="5"/>
  <c r="S21" i="5" s="1"/>
  <c r="R22" i="5"/>
  <c r="S22" i="5" s="1"/>
  <c r="R23" i="5"/>
  <c r="S23" i="5" s="1"/>
  <c r="R24" i="5"/>
  <c r="S24" i="5" s="1"/>
  <c r="R25" i="5"/>
  <c r="S25" i="5" s="1"/>
  <c r="R26" i="5"/>
  <c r="S26" i="5" s="1"/>
  <c r="R27" i="5"/>
  <c r="S27" i="5" s="1"/>
  <c r="R28" i="5"/>
  <c r="S28" i="5" s="1"/>
  <c r="R29" i="5"/>
  <c r="S29" i="5" s="1"/>
  <c r="R30" i="5"/>
  <c r="S30" i="5" s="1"/>
  <c r="R31" i="5"/>
  <c r="S31" i="5" s="1"/>
  <c r="R32" i="5"/>
  <c r="S32" i="5" s="1"/>
  <c r="R33" i="5"/>
  <c r="S33" i="5" s="1"/>
  <c r="R34" i="5"/>
  <c r="S34" i="5" s="1"/>
  <c r="R35" i="5"/>
  <c r="S35" i="5" s="1"/>
  <c r="R36" i="5"/>
  <c r="S36" i="5" s="1"/>
  <c r="R37" i="5"/>
  <c r="S37" i="5" s="1"/>
  <c r="R38" i="5"/>
  <c r="S38" i="5" s="1"/>
  <c r="R39" i="5"/>
  <c r="S39" i="5" s="1"/>
  <c r="R40" i="5"/>
  <c r="S40" i="5" s="1"/>
  <c r="R41" i="5"/>
  <c r="S41" i="5" s="1"/>
  <c r="R42" i="5"/>
  <c r="S42" i="5" s="1"/>
  <c r="R43" i="5"/>
  <c r="S43" i="5" s="1"/>
  <c r="R44" i="5"/>
  <c r="S44" i="5" s="1"/>
  <c r="R45" i="5"/>
  <c r="S45" i="5" s="1"/>
  <c r="R46" i="5"/>
  <c r="S46" i="5" s="1"/>
  <c r="R47" i="5"/>
  <c r="S47" i="5" s="1"/>
  <c r="R48" i="5"/>
  <c r="S48" i="5" s="1"/>
  <c r="R49" i="5"/>
  <c r="S49" i="5" s="1"/>
  <c r="R50" i="5"/>
  <c r="S50" i="5" s="1"/>
  <c r="R51" i="5"/>
  <c r="S51" i="5" s="1"/>
  <c r="R52" i="5"/>
  <c r="S52" i="5" s="1"/>
  <c r="R53" i="5"/>
  <c r="S53" i="5" s="1"/>
  <c r="R54" i="5"/>
  <c r="S54" i="5" s="1"/>
  <c r="R55" i="5"/>
  <c r="S55" i="5" s="1"/>
  <c r="R56" i="5"/>
  <c r="S56" i="5" s="1"/>
  <c r="R57" i="5"/>
  <c r="S57" i="5" s="1"/>
  <c r="R58" i="5"/>
  <c r="S58" i="5" s="1"/>
  <c r="R59" i="5"/>
  <c r="S59" i="5" s="1"/>
  <c r="R60" i="5"/>
  <c r="S60" i="5" s="1"/>
  <c r="R61" i="5"/>
  <c r="S61" i="5" s="1"/>
  <c r="R62" i="5"/>
  <c r="S62" i="5" s="1"/>
  <c r="R63" i="5"/>
  <c r="S63" i="5" s="1"/>
  <c r="R64" i="5"/>
  <c r="S64" i="5" s="1"/>
  <c r="R65" i="5"/>
  <c r="S65" i="5" s="1"/>
  <c r="R66" i="5"/>
  <c r="S66" i="5" s="1"/>
  <c r="R67" i="5"/>
  <c r="S67" i="5" s="1"/>
  <c r="R68" i="5"/>
  <c r="S68" i="5" s="1"/>
  <c r="R69" i="5"/>
  <c r="S69" i="5" s="1"/>
  <c r="R70" i="5"/>
  <c r="S70" i="5" s="1"/>
  <c r="R71" i="5"/>
  <c r="S71" i="5" s="1"/>
  <c r="R72" i="5"/>
  <c r="S72" i="5" s="1"/>
  <c r="R73" i="5"/>
  <c r="S73" i="5" s="1"/>
  <c r="R74" i="5"/>
  <c r="S74" i="5" s="1"/>
  <c r="R75" i="5"/>
  <c r="S75" i="5" s="1"/>
  <c r="R76" i="5"/>
  <c r="S76" i="5" s="1"/>
  <c r="R77" i="5"/>
  <c r="S77" i="5" s="1"/>
  <c r="R78" i="5"/>
  <c r="S78" i="5" s="1"/>
  <c r="R79" i="5"/>
  <c r="S79" i="5" s="1"/>
  <c r="R80" i="5"/>
  <c r="S80" i="5" s="1"/>
  <c r="R81" i="5"/>
  <c r="S81" i="5" s="1"/>
  <c r="R82" i="5"/>
  <c r="S82" i="5" s="1"/>
  <c r="R83" i="5"/>
  <c r="S83" i="5" s="1"/>
  <c r="R84" i="5"/>
  <c r="S84" i="5" s="1"/>
  <c r="R85" i="5"/>
  <c r="S85" i="5" s="1"/>
  <c r="R86" i="5"/>
  <c r="S86" i="5" s="1"/>
  <c r="R87" i="5"/>
  <c r="S87" i="5" s="1"/>
  <c r="R88" i="5"/>
  <c r="S88" i="5" s="1"/>
  <c r="R89" i="5"/>
  <c r="S89" i="5" s="1"/>
  <c r="R90" i="5"/>
  <c r="S90" i="5" s="1"/>
  <c r="R91" i="5"/>
  <c r="S91" i="5" s="1"/>
  <c r="R92" i="5"/>
  <c r="S92" i="5" s="1"/>
  <c r="R93" i="5"/>
  <c r="S93" i="5" s="1"/>
  <c r="R94" i="5"/>
  <c r="S94" i="5" s="1"/>
  <c r="R95" i="5"/>
  <c r="S95" i="5" s="1"/>
  <c r="R96" i="5"/>
  <c r="S96" i="5" s="1"/>
  <c r="R97" i="5"/>
  <c r="S97" i="5" s="1"/>
  <c r="R98" i="5"/>
  <c r="S98" i="5" s="1"/>
  <c r="R99" i="5"/>
  <c r="S99" i="5" s="1"/>
  <c r="R100" i="5"/>
  <c r="S100" i="5" s="1"/>
  <c r="R101" i="5"/>
  <c r="S101" i="5" s="1"/>
  <c r="R102" i="5"/>
  <c r="S102" i="5" s="1"/>
  <c r="R103" i="5"/>
  <c r="S103" i="5" s="1"/>
  <c r="R104" i="5"/>
  <c r="S104" i="5" s="1"/>
  <c r="R105" i="5"/>
  <c r="S105" i="5" s="1"/>
  <c r="R106" i="5"/>
  <c r="S106" i="5" s="1"/>
  <c r="R107" i="5"/>
  <c r="S107" i="5" s="1"/>
  <c r="R108" i="5"/>
  <c r="S108" i="5" s="1"/>
  <c r="R109" i="5"/>
  <c r="S109" i="5" s="1"/>
  <c r="R110" i="5"/>
  <c r="S110" i="5" s="1"/>
  <c r="R111" i="5"/>
  <c r="S111" i="5" s="1"/>
  <c r="R112" i="5"/>
  <c r="S112" i="5" s="1"/>
  <c r="R113" i="5"/>
  <c r="S113" i="5" s="1"/>
  <c r="R114" i="5"/>
  <c r="S114" i="5" s="1"/>
  <c r="R115" i="5"/>
  <c r="S115" i="5" s="1"/>
  <c r="R116" i="5"/>
  <c r="S116" i="5" s="1"/>
  <c r="R117" i="5"/>
  <c r="S117" i="5" s="1"/>
  <c r="R118" i="5"/>
  <c r="S118" i="5" s="1"/>
  <c r="R119" i="5"/>
  <c r="S119" i="5" s="1"/>
  <c r="R120" i="5"/>
  <c r="S120" i="5" s="1"/>
  <c r="R121" i="5"/>
  <c r="S121" i="5" s="1"/>
  <c r="R122" i="5"/>
  <c r="S122" i="5" s="1"/>
  <c r="R123" i="5"/>
  <c r="S123" i="5" s="1"/>
  <c r="R124" i="5"/>
  <c r="S124" i="5" s="1"/>
  <c r="R125" i="5"/>
  <c r="S125" i="5" s="1"/>
  <c r="R126" i="5"/>
  <c r="S126" i="5" s="1"/>
  <c r="R127" i="5"/>
  <c r="S127" i="5" s="1"/>
  <c r="R128" i="5"/>
  <c r="S128" i="5" s="1"/>
  <c r="R129" i="5"/>
  <c r="S129" i="5" s="1"/>
  <c r="R130" i="5"/>
  <c r="S130" i="5" s="1"/>
  <c r="R131" i="5"/>
  <c r="S131" i="5" s="1"/>
  <c r="R132" i="5"/>
  <c r="S132" i="5" s="1"/>
  <c r="R133" i="5"/>
  <c r="S133" i="5" s="1"/>
  <c r="R134" i="5"/>
  <c r="S134" i="5" s="1"/>
  <c r="R135" i="5"/>
  <c r="S135" i="5" s="1"/>
  <c r="R136" i="5"/>
  <c r="S136" i="5" s="1"/>
  <c r="R137" i="5"/>
  <c r="S137" i="5" s="1"/>
  <c r="R138" i="5"/>
  <c r="S138" i="5" s="1"/>
  <c r="R139" i="5"/>
  <c r="S139" i="5" s="1"/>
  <c r="R140" i="5"/>
  <c r="S140" i="5" s="1"/>
  <c r="R141" i="5"/>
  <c r="S141" i="5" s="1"/>
  <c r="R142" i="5"/>
  <c r="S142" i="5" s="1"/>
  <c r="R143" i="5"/>
  <c r="S143" i="5" s="1"/>
  <c r="R144" i="5"/>
  <c r="S144" i="5" s="1"/>
  <c r="R145" i="5"/>
  <c r="S145" i="5" s="1"/>
  <c r="R146" i="5"/>
  <c r="S146" i="5" s="1"/>
  <c r="R147" i="5"/>
  <c r="S147" i="5" s="1"/>
  <c r="R148" i="5"/>
  <c r="S148" i="5" s="1"/>
  <c r="R149" i="5"/>
  <c r="S149" i="5" s="1"/>
  <c r="R150" i="5"/>
  <c r="S150" i="5" s="1"/>
  <c r="R151" i="5"/>
  <c r="S151" i="5" s="1"/>
  <c r="R152" i="5"/>
  <c r="S152" i="5" s="1"/>
  <c r="R153" i="5"/>
  <c r="S153" i="5" s="1"/>
  <c r="R154" i="5"/>
  <c r="S154" i="5" s="1"/>
  <c r="R155" i="5"/>
  <c r="S155" i="5" s="1"/>
  <c r="R156" i="5"/>
  <c r="S156" i="5" s="1"/>
  <c r="R157" i="5"/>
  <c r="S157" i="5" s="1"/>
  <c r="R158" i="5"/>
  <c r="S158" i="5" s="1"/>
  <c r="R159" i="5"/>
  <c r="S159" i="5" s="1"/>
  <c r="R160" i="5"/>
  <c r="S160" i="5" s="1"/>
  <c r="R161" i="5"/>
  <c r="S161" i="5" s="1"/>
  <c r="R162" i="5"/>
  <c r="S162" i="5" s="1"/>
  <c r="R163" i="5"/>
  <c r="S163" i="5" s="1"/>
  <c r="R164" i="5"/>
  <c r="S164" i="5" s="1"/>
  <c r="R165" i="5"/>
  <c r="S165" i="5" s="1"/>
  <c r="R166" i="5"/>
  <c r="S166" i="5" s="1"/>
  <c r="R167" i="5"/>
  <c r="S167" i="5" s="1"/>
  <c r="R168" i="5"/>
  <c r="S168" i="5" s="1"/>
  <c r="R169" i="5"/>
  <c r="S169" i="5" s="1"/>
  <c r="R170" i="5"/>
  <c r="S170" i="5" s="1"/>
  <c r="R171" i="5"/>
  <c r="S171" i="5" s="1"/>
  <c r="R172" i="5"/>
  <c r="S172" i="5" s="1"/>
  <c r="R173" i="5"/>
  <c r="S173" i="5" s="1"/>
  <c r="R174" i="5"/>
  <c r="S174" i="5" s="1"/>
  <c r="R175" i="5"/>
  <c r="S175" i="5" s="1"/>
  <c r="R176" i="5"/>
  <c r="S176" i="5" s="1"/>
  <c r="R177" i="5"/>
  <c r="S177" i="5" s="1"/>
  <c r="R178" i="5"/>
  <c r="S178" i="5" s="1"/>
  <c r="R179" i="5"/>
  <c r="S179" i="5" s="1"/>
  <c r="R180" i="5"/>
  <c r="S180" i="5" s="1"/>
  <c r="R181" i="5"/>
  <c r="S181" i="5" s="1"/>
  <c r="R182" i="5"/>
  <c r="S182" i="5" s="1"/>
  <c r="R183" i="5"/>
  <c r="S183" i="5" s="1"/>
  <c r="R184" i="5"/>
  <c r="S184" i="5" s="1"/>
  <c r="R185" i="5"/>
  <c r="S185" i="5" s="1"/>
  <c r="R186" i="5"/>
  <c r="S186" i="5" s="1"/>
  <c r="R187" i="5"/>
  <c r="S187" i="5" s="1"/>
  <c r="R188" i="5"/>
  <c r="S188" i="5" s="1"/>
  <c r="R189" i="5"/>
  <c r="S189" i="5" s="1"/>
  <c r="R190" i="5"/>
  <c r="S190" i="5" s="1"/>
  <c r="R191" i="5"/>
  <c r="S191" i="5" s="1"/>
  <c r="R192" i="5"/>
  <c r="S192" i="5" s="1"/>
  <c r="R193" i="5"/>
  <c r="S193" i="5" s="1"/>
  <c r="R194" i="5"/>
  <c r="S194" i="5" s="1"/>
  <c r="R195" i="5"/>
  <c r="S195" i="5" s="1"/>
  <c r="R196" i="5"/>
  <c r="S196" i="5" s="1"/>
  <c r="R197" i="5"/>
  <c r="S197" i="5" s="1"/>
  <c r="R198" i="5"/>
  <c r="S198" i="5" s="1"/>
  <c r="R199" i="5"/>
  <c r="S199" i="5" s="1"/>
  <c r="R200" i="5"/>
  <c r="S200" i="5" s="1"/>
  <c r="R201" i="5"/>
  <c r="S201" i="5" s="1"/>
  <c r="R202" i="5"/>
  <c r="S202" i="5" s="1"/>
  <c r="R203" i="5"/>
  <c r="S203" i="5" s="1"/>
  <c r="R204" i="5"/>
  <c r="S204" i="5" s="1"/>
  <c r="R205" i="5"/>
  <c r="S205" i="5" s="1"/>
  <c r="R206" i="5"/>
  <c r="S206" i="5" s="1"/>
  <c r="R207" i="5"/>
  <c r="S207" i="5" s="1"/>
  <c r="R208" i="5"/>
  <c r="S208" i="5" s="1"/>
  <c r="R209" i="5"/>
  <c r="S209" i="5" s="1"/>
  <c r="R210" i="5"/>
  <c r="S210" i="5" s="1"/>
  <c r="R211" i="5"/>
  <c r="S211" i="5" s="1"/>
  <c r="R212" i="5"/>
  <c r="S212" i="5" s="1"/>
  <c r="R213" i="5"/>
  <c r="S213" i="5" s="1"/>
  <c r="R214" i="5"/>
  <c r="S214" i="5" s="1"/>
  <c r="R215" i="5"/>
  <c r="S215" i="5" s="1"/>
  <c r="R216" i="5"/>
  <c r="S216" i="5" s="1"/>
  <c r="R217" i="5"/>
  <c r="S217" i="5" s="1"/>
  <c r="R218" i="5"/>
  <c r="S218" i="5" s="1"/>
  <c r="R219" i="5"/>
  <c r="S219" i="5" s="1"/>
  <c r="R220" i="5"/>
  <c r="S220" i="5" s="1"/>
  <c r="R221" i="5"/>
  <c r="S221" i="5" s="1"/>
  <c r="R222" i="5"/>
  <c r="S222" i="5" s="1"/>
  <c r="R223" i="5"/>
  <c r="S223" i="5" s="1"/>
  <c r="R224" i="5"/>
  <c r="S224" i="5" s="1"/>
  <c r="R225" i="5"/>
  <c r="S225" i="5" s="1"/>
  <c r="R226" i="5"/>
  <c r="S226" i="5" s="1"/>
  <c r="R227" i="5"/>
  <c r="S227" i="5" s="1"/>
  <c r="R228" i="5"/>
  <c r="S228" i="5" s="1"/>
  <c r="R229" i="5"/>
  <c r="S229" i="5" s="1"/>
  <c r="R230" i="5"/>
  <c r="S230" i="5" s="1"/>
  <c r="R231" i="5"/>
  <c r="S231" i="5" s="1"/>
  <c r="R232" i="5"/>
  <c r="S232" i="5" s="1"/>
  <c r="R233" i="5"/>
  <c r="S233" i="5" s="1"/>
  <c r="R234" i="5"/>
  <c r="S234" i="5" s="1"/>
  <c r="R235" i="5"/>
  <c r="S235" i="5" s="1"/>
  <c r="R236" i="5"/>
  <c r="S236" i="5" s="1"/>
  <c r="R237" i="5"/>
  <c r="S237" i="5" s="1"/>
  <c r="R238" i="5"/>
  <c r="S238" i="5" s="1"/>
  <c r="R239" i="5"/>
  <c r="S239" i="5" s="1"/>
  <c r="R240" i="5"/>
  <c r="S240" i="5" s="1"/>
  <c r="R241" i="5"/>
  <c r="S241" i="5" s="1"/>
  <c r="R242" i="5"/>
  <c r="S242" i="5" s="1"/>
  <c r="R243" i="5"/>
  <c r="S243" i="5" s="1"/>
  <c r="R244" i="5"/>
  <c r="S244" i="5" s="1"/>
  <c r="R245" i="5"/>
  <c r="S245" i="5" s="1"/>
  <c r="R246" i="5"/>
  <c r="S246" i="5" s="1"/>
  <c r="R247" i="5"/>
  <c r="S247" i="5" s="1"/>
  <c r="R248" i="5"/>
  <c r="S248" i="5" s="1"/>
  <c r="R249" i="5"/>
  <c r="S249" i="5" s="1"/>
  <c r="R250" i="5"/>
  <c r="S250" i="5" s="1"/>
  <c r="R251" i="5"/>
  <c r="S251" i="5" s="1"/>
  <c r="R252" i="5"/>
  <c r="S252" i="5" s="1"/>
  <c r="R253" i="5"/>
  <c r="S253" i="5" s="1"/>
  <c r="R254" i="5"/>
  <c r="S254" i="5" s="1"/>
  <c r="R255" i="5"/>
  <c r="S255" i="5" s="1"/>
  <c r="R256" i="5"/>
  <c r="S256" i="5" s="1"/>
  <c r="R257" i="5"/>
  <c r="S257" i="5" s="1"/>
  <c r="R258" i="5"/>
  <c r="S258" i="5" s="1"/>
  <c r="R259" i="5"/>
  <c r="S259" i="5" s="1"/>
  <c r="R260" i="5"/>
  <c r="S260" i="5" s="1"/>
  <c r="R261" i="5"/>
  <c r="S261" i="5" s="1"/>
  <c r="R262" i="5"/>
  <c r="S262" i="5" s="1"/>
  <c r="R263" i="5"/>
  <c r="S263" i="5" s="1"/>
  <c r="R264" i="5"/>
  <c r="S264" i="5" s="1"/>
  <c r="R265" i="5"/>
  <c r="S265" i="5" s="1"/>
  <c r="R266" i="5"/>
  <c r="S266" i="5" s="1"/>
  <c r="R267" i="5"/>
  <c r="S267" i="5" s="1"/>
  <c r="R268" i="5"/>
  <c r="S268" i="5" s="1"/>
  <c r="R269" i="5"/>
  <c r="S269" i="5" s="1"/>
  <c r="R270" i="5"/>
  <c r="S270" i="5" s="1"/>
  <c r="R271" i="5"/>
  <c r="S271" i="5" s="1"/>
  <c r="R272" i="5"/>
  <c r="S272" i="5" s="1"/>
  <c r="R273" i="5"/>
  <c r="S273" i="5" s="1"/>
  <c r="R274" i="5"/>
  <c r="S274" i="5" s="1"/>
  <c r="R275" i="5"/>
  <c r="S275" i="5" s="1"/>
  <c r="R276" i="5"/>
  <c r="S276" i="5" s="1"/>
  <c r="R277" i="5"/>
  <c r="S277" i="5" s="1"/>
  <c r="R278" i="5"/>
  <c r="S278" i="5" s="1"/>
  <c r="R279" i="5"/>
  <c r="S279" i="5" s="1"/>
  <c r="R280" i="5"/>
  <c r="S280" i="5" s="1"/>
  <c r="R281" i="5"/>
  <c r="S281" i="5" s="1"/>
  <c r="R282" i="5"/>
  <c r="S282" i="5" s="1"/>
  <c r="R283" i="5"/>
  <c r="S283" i="5" s="1"/>
  <c r="R284" i="5"/>
  <c r="S284" i="5" s="1"/>
  <c r="R285" i="5"/>
  <c r="S285" i="5" s="1"/>
  <c r="R286" i="5"/>
  <c r="S286" i="5" s="1"/>
  <c r="R287" i="5"/>
  <c r="S287" i="5" s="1"/>
  <c r="R288" i="5"/>
  <c r="S288" i="5" s="1"/>
  <c r="R289" i="5"/>
  <c r="S289" i="5" s="1"/>
  <c r="R290" i="5"/>
  <c r="S290" i="5" s="1"/>
  <c r="R291" i="5"/>
  <c r="S291" i="5" s="1"/>
  <c r="R292" i="5"/>
  <c r="S292" i="5" s="1"/>
  <c r="R293" i="5"/>
  <c r="S293" i="5" s="1"/>
  <c r="R294" i="5"/>
  <c r="S294" i="5" s="1"/>
  <c r="R295" i="5"/>
  <c r="S295" i="5" s="1"/>
  <c r="R296" i="5"/>
  <c r="S296" i="5" s="1"/>
  <c r="R297" i="5"/>
  <c r="S297" i="5" s="1"/>
  <c r="R298" i="5"/>
  <c r="S298" i="5" s="1"/>
  <c r="R299" i="5"/>
  <c r="S299" i="5" s="1"/>
  <c r="R300" i="5"/>
  <c r="S300" i="5" s="1"/>
  <c r="R301" i="5"/>
  <c r="S301" i="5" s="1"/>
  <c r="R302" i="5"/>
  <c r="S302" i="5" s="1"/>
  <c r="R303" i="5"/>
  <c r="S303" i="5" s="1"/>
  <c r="R304" i="5"/>
  <c r="S304" i="5" s="1"/>
  <c r="R305" i="5"/>
  <c r="S305" i="5" s="1"/>
  <c r="R306" i="5"/>
  <c r="S306" i="5" s="1"/>
  <c r="R307" i="5"/>
  <c r="S307" i="5" s="1"/>
  <c r="R308" i="5"/>
  <c r="S308" i="5" s="1"/>
  <c r="R309" i="5"/>
  <c r="S309" i="5" s="1"/>
  <c r="R310" i="5"/>
  <c r="S310" i="5" s="1"/>
  <c r="R311" i="5"/>
  <c r="S311" i="5" s="1"/>
  <c r="R312" i="5"/>
  <c r="S312" i="5" s="1"/>
  <c r="R313" i="5"/>
  <c r="S313" i="5" s="1"/>
  <c r="R314" i="5"/>
  <c r="S314" i="5" s="1"/>
  <c r="R315" i="5"/>
  <c r="S315" i="5" s="1"/>
  <c r="R316" i="5"/>
  <c r="S316" i="5" s="1"/>
  <c r="R317" i="5"/>
  <c r="S317" i="5" s="1"/>
  <c r="R318" i="5"/>
  <c r="S318" i="5" s="1"/>
  <c r="R319" i="5"/>
  <c r="S319" i="5" s="1"/>
  <c r="R320" i="5"/>
  <c r="S320" i="5" s="1"/>
  <c r="R321" i="5"/>
  <c r="S321" i="5" s="1"/>
  <c r="R322" i="5"/>
  <c r="S322" i="5" s="1"/>
  <c r="R323" i="5"/>
  <c r="S323" i="5" s="1"/>
  <c r="R324" i="5"/>
  <c r="S324" i="5" s="1"/>
  <c r="R325" i="5"/>
  <c r="S325" i="5" s="1"/>
  <c r="R326" i="5"/>
  <c r="S326" i="5" s="1"/>
  <c r="R327" i="5"/>
  <c r="S327" i="5" s="1"/>
  <c r="R328" i="5"/>
  <c r="S328" i="5" s="1"/>
  <c r="R329" i="5"/>
  <c r="S329" i="5" s="1"/>
  <c r="R330" i="5"/>
  <c r="S330" i="5" s="1"/>
  <c r="R331" i="5"/>
  <c r="S331" i="5" s="1"/>
  <c r="R7" i="5"/>
  <c r="S7" i="5" s="1"/>
  <c r="I5" i="3"/>
  <c r="B5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6" i="3"/>
  <c r="F4" i="5"/>
  <c r="E4" i="5"/>
  <c r="D4" i="5"/>
  <c r="C4" i="5"/>
  <c r="G5" i="5"/>
  <c r="F6" i="5"/>
  <c r="B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B127" i="5" s="1"/>
  <c r="A128" i="5"/>
  <c r="A129" i="5"/>
  <c r="A130" i="5"/>
  <c r="A131" i="5"/>
  <c r="A132" i="5"/>
  <c r="A133" i="5"/>
  <c r="A134" i="5"/>
  <c r="A135" i="5"/>
  <c r="A136" i="5"/>
  <c r="A137" i="5"/>
  <c r="A138" i="5"/>
  <c r="A139" i="5"/>
  <c r="B139" i="5" s="1"/>
  <c r="A140" i="5"/>
  <c r="A141" i="5"/>
  <c r="A142" i="5"/>
  <c r="A143" i="5"/>
  <c r="A144" i="5"/>
  <c r="A145" i="5"/>
  <c r="A146" i="5"/>
  <c r="A147" i="5"/>
  <c r="A148" i="5"/>
  <c r="A149" i="5"/>
  <c r="A150" i="5"/>
  <c r="A151" i="5"/>
  <c r="B151" i="5" s="1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B175" i="5" s="1"/>
  <c r="A176" i="5"/>
  <c r="A177" i="5"/>
  <c r="A178" i="5"/>
  <c r="A179" i="5"/>
  <c r="A180" i="5"/>
  <c r="A181" i="5"/>
  <c r="A182" i="5"/>
  <c r="A183" i="5"/>
  <c r="A184" i="5"/>
  <c r="A185" i="5"/>
  <c r="A186" i="5"/>
  <c r="A187" i="5"/>
  <c r="B187" i="5" s="1"/>
  <c r="A188" i="5"/>
  <c r="A189" i="5"/>
  <c r="A190" i="5"/>
  <c r="A191" i="5"/>
  <c r="A192" i="5"/>
  <c r="A193" i="5"/>
  <c r="A194" i="5"/>
  <c r="A195" i="5"/>
  <c r="A196" i="5"/>
  <c r="A197" i="5"/>
  <c r="A198" i="5"/>
  <c r="A199" i="5"/>
  <c r="B199" i="5" s="1"/>
  <c r="A200" i="5"/>
  <c r="A201" i="5"/>
  <c r="A202" i="5"/>
  <c r="A203" i="5"/>
  <c r="A204" i="5"/>
  <c r="A205" i="5"/>
  <c r="A206" i="5"/>
  <c r="A207" i="5"/>
  <c r="A208" i="5"/>
  <c r="A209" i="5"/>
  <c r="A210" i="5"/>
  <c r="A211" i="5"/>
  <c r="B211" i="5" s="1"/>
  <c r="A212" i="5"/>
  <c r="A213" i="5"/>
  <c r="A214" i="5"/>
  <c r="A215" i="5"/>
  <c r="A216" i="5"/>
  <c r="A217" i="5"/>
  <c r="A218" i="5"/>
  <c r="A219" i="5"/>
  <c r="A220" i="5"/>
  <c r="A221" i="5"/>
  <c r="A222" i="5"/>
  <c r="A223" i="5"/>
  <c r="B223" i="5" s="1"/>
  <c r="A224" i="5"/>
  <c r="A225" i="5"/>
  <c r="A226" i="5"/>
  <c r="A227" i="5"/>
  <c r="A228" i="5"/>
  <c r="A229" i="5"/>
  <c r="A230" i="5"/>
  <c r="A231" i="5"/>
  <c r="A232" i="5"/>
  <c r="A233" i="5"/>
  <c r="A234" i="5"/>
  <c r="A235" i="5"/>
  <c r="B235" i="5" s="1"/>
  <c r="A236" i="5"/>
  <c r="A237" i="5"/>
  <c r="A238" i="5"/>
  <c r="A239" i="5"/>
  <c r="A240" i="5"/>
  <c r="A241" i="5"/>
  <c r="A242" i="5"/>
  <c r="A243" i="5"/>
  <c r="A244" i="5"/>
  <c r="A245" i="5"/>
  <c r="A246" i="5"/>
  <c r="A247" i="5"/>
  <c r="B247" i="5" s="1"/>
  <c r="A248" i="5"/>
  <c r="A249" i="5"/>
  <c r="A250" i="5"/>
  <c r="A251" i="5"/>
  <c r="A252" i="5"/>
  <c r="A253" i="5"/>
  <c r="A254" i="5"/>
  <c r="A255" i="5"/>
  <c r="A256" i="5"/>
  <c r="A257" i="5"/>
  <c r="A258" i="5"/>
  <c r="A259" i="5"/>
  <c r="B259" i="5" s="1"/>
  <c r="A260" i="5"/>
  <c r="A261" i="5"/>
  <c r="A262" i="5"/>
  <c r="A263" i="5"/>
  <c r="A264" i="5"/>
  <c r="A265" i="5"/>
  <c r="A266" i="5"/>
  <c r="A267" i="5"/>
  <c r="A268" i="5"/>
  <c r="A269" i="5"/>
  <c r="A270" i="5"/>
  <c r="A271" i="5"/>
  <c r="B271" i="5" s="1"/>
  <c r="A272" i="5"/>
  <c r="A273" i="5"/>
  <c r="A274" i="5"/>
  <c r="A275" i="5"/>
  <c r="A276" i="5"/>
  <c r="A277" i="5"/>
  <c r="A278" i="5"/>
  <c r="A279" i="5"/>
  <c r="A280" i="5"/>
  <c r="A281" i="5"/>
  <c r="A282" i="5"/>
  <c r="A283" i="5"/>
  <c r="B283" i="5" s="1"/>
  <c r="A284" i="5"/>
  <c r="A285" i="5"/>
  <c r="A286" i="5"/>
  <c r="A287" i="5"/>
  <c r="A288" i="5"/>
  <c r="A289" i="5"/>
  <c r="A290" i="5"/>
  <c r="A291" i="5"/>
  <c r="A292" i="5"/>
  <c r="A293" i="5"/>
  <c r="A294" i="5"/>
  <c r="A295" i="5"/>
  <c r="B295" i="5" s="1"/>
  <c r="A296" i="5"/>
  <c r="A297" i="5"/>
  <c r="A298" i="5"/>
  <c r="A299" i="5"/>
  <c r="A300" i="5"/>
  <c r="A301" i="5"/>
  <c r="A302" i="5"/>
  <c r="A303" i="5"/>
  <c r="A304" i="5"/>
  <c r="A305" i="5"/>
  <c r="A306" i="5"/>
  <c r="A307" i="5"/>
  <c r="B307" i="5" s="1"/>
  <c r="A308" i="5"/>
  <c r="A309" i="5"/>
  <c r="A310" i="5"/>
  <c r="A311" i="5"/>
  <c r="A312" i="5"/>
  <c r="A313" i="5"/>
  <c r="A314" i="5"/>
  <c r="A315" i="5"/>
  <c r="A316" i="5"/>
  <c r="A317" i="5"/>
  <c r="A318" i="5"/>
  <c r="A319" i="5"/>
  <c r="B319" i="5" s="1"/>
  <c r="A320" i="5"/>
  <c r="A321" i="5"/>
  <c r="A322" i="5"/>
  <c r="A323" i="5"/>
  <c r="A324" i="5"/>
  <c r="A325" i="5"/>
  <c r="A326" i="5"/>
  <c r="A327" i="5"/>
  <c r="A328" i="5"/>
  <c r="A329" i="5"/>
  <c r="A330" i="5"/>
  <c r="A331" i="5"/>
  <c r="B331" i="5" s="1"/>
  <c r="A7" i="5"/>
  <c r="B4" i="10"/>
  <c r="H4" i="2" s="1"/>
  <c r="G4" i="2"/>
  <c r="F4" i="2"/>
  <c r="E4" i="2"/>
  <c r="D4" i="2"/>
  <c r="C4" i="2"/>
  <c r="C25" i="2" s="1"/>
  <c r="B4" i="2"/>
  <c r="A7" i="2"/>
  <c r="F7" i="2" s="1"/>
  <c r="A8" i="2"/>
  <c r="C8" i="2" s="1"/>
  <c r="A9" i="2"/>
  <c r="A10" i="2"/>
  <c r="A11" i="2"/>
  <c r="A12" i="2"/>
  <c r="A13" i="2"/>
  <c r="A14" i="2"/>
  <c r="A15" i="2"/>
  <c r="A16" i="2"/>
  <c r="C16" i="2" s="1"/>
  <c r="A17" i="2"/>
  <c r="A18" i="2"/>
  <c r="A19" i="2"/>
  <c r="A20" i="2"/>
  <c r="A21" i="2"/>
  <c r="A22" i="2"/>
  <c r="A23" i="2"/>
  <c r="A24" i="2"/>
  <c r="A25" i="2"/>
  <c r="G25" i="2" s="1"/>
  <c r="A26" i="2"/>
  <c r="A27" i="2"/>
  <c r="A28" i="2"/>
  <c r="G28" i="2" s="1"/>
  <c r="A29" i="2"/>
  <c r="A30" i="2"/>
  <c r="A31" i="2"/>
  <c r="F31" i="2" s="1"/>
  <c r="A32" i="2"/>
  <c r="C32" i="2" s="1"/>
  <c r="A33" i="2"/>
  <c r="A34" i="2"/>
  <c r="A35" i="2"/>
  <c r="A36" i="2"/>
  <c r="A37" i="2"/>
  <c r="A38" i="2"/>
  <c r="A39" i="2"/>
  <c r="A40" i="2"/>
  <c r="C40" i="2" s="1"/>
  <c r="A41" i="2"/>
  <c r="A42" i="2"/>
  <c r="A43" i="2"/>
  <c r="A44" i="2"/>
  <c r="A45" i="2"/>
  <c r="A46" i="2"/>
  <c r="A47" i="2"/>
  <c r="G47" i="2" s="1"/>
  <c r="A48" i="2"/>
  <c r="B48" i="2" s="1"/>
  <c r="A49" i="2"/>
  <c r="A50" i="2"/>
  <c r="A51" i="2"/>
  <c r="E51" i="2" s="1"/>
  <c r="A52" i="2"/>
  <c r="D52" i="2" s="1"/>
  <c r="A53" i="2"/>
  <c r="A54" i="2"/>
  <c r="B54" i="2" s="1"/>
  <c r="A55" i="2"/>
  <c r="C55" i="2" s="1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C71" i="2" s="1"/>
  <c r="A72" i="2"/>
  <c r="A73" i="2"/>
  <c r="G73" i="2" s="1"/>
  <c r="A74" i="2"/>
  <c r="A75" i="2"/>
  <c r="E75" i="2" s="1"/>
  <c r="A76" i="2"/>
  <c r="A77" i="2"/>
  <c r="C77" i="2" s="1"/>
  <c r="A78" i="2"/>
  <c r="A79" i="2"/>
  <c r="A80" i="2"/>
  <c r="A81" i="2"/>
  <c r="A82" i="2"/>
  <c r="A83" i="2"/>
  <c r="A84" i="2"/>
  <c r="A85" i="2"/>
  <c r="A86" i="2"/>
  <c r="A87" i="2"/>
  <c r="A88" i="2"/>
  <c r="G88" i="2" s="1"/>
  <c r="A89" i="2"/>
  <c r="A90" i="2"/>
  <c r="A91" i="2"/>
  <c r="A92" i="2"/>
  <c r="D92" i="2" s="1"/>
  <c r="A93" i="2"/>
  <c r="C93" i="2" s="1"/>
  <c r="A94" i="2"/>
  <c r="A95" i="2"/>
  <c r="G95" i="2" s="1"/>
  <c r="A96" i="2"/>
  <c r="A97" i="2"/>
  <c r="G97" i="2" s="1"/>
  <c r="A98" i="2"/>
  <c r="A99" i="2"/>
  <c r="A100" i="2"/>
  <c r="A101" i="2"/>
  <c r="A102" i="2"/>
  <c r="A103" i="2"/>
  <c r="C103" i="2" s="1"/>
  <c r="A104" i="2"/>
  <c r="C104" i="2" s="1"/>
  <c r="A105" i="2"/>
  <c r="G105" i="2" s="1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G119" i="2" s="1"/>
  <c r="A120" i="2"/>
  <c r="A121" i="2"/>
  <c r="G121" i="2" s="1"/>
  <c r="A122" i="2"/>
  <c r="A123" i="2"/>
  <c r="E123" i="2" s="1"/>
  <c r="A124" i="2"/>
  <c r="G124" i="2" s="1"/>
  <c r="A125" i="2"/>
  <c r="G125" i="2" s="1"/>
  <c r="A126" i="2"/>
  <c r="B126" i="2" s="1"/>
  <c r="A127" i="2"/>
  <c r="C127" i="2" s="1"/>
  <c r="A128" i="2"/>
  <c r="A129" i="2"/>
  <c r="A130" i="2"/>
  <c r="A131" i="2"/>
  <c r="A132" i="2"/>
  <c r="A133" i="2"/>
  <c r="G133" i="2" s="1"/>
  <c r="A134" i="2"/>
  <c r="A135" i="2"/>
  <c r="A136" i="2"/>
  <c r="G136" i="2" s="1"/>
  <c r="A137" i="2"/>
  <c r="G137" i="2" s="1"/>
  <c r="A138" i="2"/>
  <c r="A139" i="2"/>
  <c r="G139" i="2" s="1"/>
  <c r="A140" i="2"/>
  <c r="A141" i="2"/>
  <c r="E141" i="2" s="1"/>
  <c r="A142" i="2"/>
  <c r="A143" i="2"/>
  <c r="C143" i="2" s="1"/>
  <c r="A144" i="2"/>
  <c r="B144" i="2" s="1"/>
  <c r="A145" i="2"/>
  <c r="A146" i="2"/>
  <c r="A147" i="2"/>
  <c r="A148" i="2"/>
  <c r="A149" i="2"/>
  <c r="A150" i="2"/>
  <c r="B150" i="2" s="1"/>
  <c r="A151" i="2"/>
  <c r="C151" i="2" s="1"/>
  <c r="A152" i="2"/>
  <c r="A153" i="2"/>
  <c r="G153" i="2" s="1"/>
  <c r="A154" i="2"/>
  <c r="A155" i="2"/>
  <c r="A156" i="2"/>
  <c r="A157" i="2"/>
  <c r="A158" i="2"/>
  <c r="A159" i="2"/>
  <c r="A160" i="2"/>
  <c r="G160" i="2" s="1"/>
  <c r="A161" i="2"/>
  <c r="C161" i="2" s="1"/>
  <c r="A162" i="2"/>
  <c r="A163" i="2"/>
  <c r="G163" i="2" s="1"/>
  <c r="A164" i="2"/>
  <c r="A165" i="2"/>
  <c r="A166" i="2"/>
  <c r="A167" i="2"/>
  <c r="G167" i="2" s="1"/>
  <c r="A168" i="2"/>
  <c r="A169" i="2"/>
  <c r="G169" i="2" s="1"/>
  <c r="A170" i="2"/>
  <c r="A171" i="2"/>
  <c r="A172" i="2"/>
  <c r="A173" i="2"/>
  <c r="A174" i="2"/>
  <c r="A175" i="2"/>
  <c r="G175" i="2" s="1"/>
  <c r="A176" i="2"/>
  <c r="A177" i="2"/>
  <c r="A178" i="2"/>
  <c r="A179" i="2"/>
  <c r="A180" i="2"/>
  <c r="A181" i="2"/>
  <c r="A182" i="2"/>
  <c r="A183" i="2"/>
  <c r="A184" i="2"/>
  <c r="G184" i="2" s="1"/>
  <c r="A185" i="2"/>
  <c r="C185" i="2" s="1"/>
  <c r="A186" i="2"/>
  <c r="A187" i="2"/>
  <c r="A188" i="2"/>
  <c r="A189" i="2"/>
  <c r="A190" i="2"/>
  <c r="A191" i="2"/>
  <c r="A192" i="2"/>
  <c r="A193" i="2"/>
  <c r="G193" i="2" s="1"/>
  <c r="A194" i="2"/>
  <c r="A195" i="2"/>
  <c r="A196" i="2"/>
  <c r="G196" i="2" s="1"/>
  <c r="A197" i="2"/>
  <c r="C197" i="2" s="1"/>
  <c r="A198" i="2"/>
  <c r="B198" i="2" s="1"/>
  <c r="A199" i="2"/>
  <c r="A200" i="2"/>
  <c r="G200" i="2" s="1"/>
  <c r="A201" i="2"/>
  <c r="A202" i="2"/>
  <c r="A203" i="2"/>
  <c r="A204" i="2"/>
  <c r="A205" i="2"/>
  <c r="A206" i="2"/>
  <c r="A207" i="2"/>
  <c r="A208" i="2"/>
  <c r="C208" i="2" s="1"/>
  <c r="A209" i="2"/>
  <c r="G209" i="2" s="1"/>
  <c r="A210" i="2"/>
  <c r="A211" i="2"/>
  <c r="G211" i="2" s="1"/>
  <c r="A212" i="2"/>
  <c r="A213" i="2"/>
  <c r="A214" i="2"/>
  <c r="A215" i="2"/>
  <c r="G215" i="2" s="1"/>
  <c r="A216" i="2"/>
  <c r="A217" i="2"/>
  <c r="G217" i="2" s="1"/>
  <c r="A218" i="2"/>
  <c r="A219" i="2"/>
  <c r="E219" i="2" s="1"/>
  <c r="A220" i="2"/>
  <c r="A221" i="2"/>
  <c r="G221" i="2" s="1"/>
  <c r="A222" i="2"/>
  <c r="A223" i="2"/>
  <c r="A224" i="2"/>
  <c r="G224" i="2" s="1"/>
  <c r="A225" i="2"/>
  <c r="G225" i="2" s="1"/>
  <c r="A226" i="2"/>
  <c r="A227" i="2"/>
  <c r="A228" i="2"/>
  <c r="A229" i="2"/>
  <c r="C229" i="2" s="1"/>
  <c r="A230" i="2"/>
  <c r="A231" i="2"/>
  <c r="A232" i="2"/>
  <c r="G232" i="2" s="1"/>
  <c r="A233" i="2"/>
  <c r="A234" i="2"/>
  <c r="A235" i="2"/>
  <c r="G235" i="2" s="1"/>
  <c r="A236" i="2"/>
  <c r="A237" i="2"/>
  <c r="A238" i="2"/>
  <c r="A239" i="2"/>
  <c r="A240" i="2"/>
  <c r="A241" i="2"/>
  <c r="C241" i="2" s="1"/>
  <c r="A242" i="2"/>
  <c r="A243" i="2"/>
  <c r="E243" i="2" s="1"/>
  <c r="A244" i="2"/>
  <c r="A245" i="2"/>
  <c r="C245" i="2" s="1"/>
  <c r="A246" i="2"/>
  <c r="A247" i="2"/>
  <c r="A248" i="2"/>
  <c r="A249" i="2"/>
  <c r="A250" i="2"/>
  <c r="G250" i="2" s="1"/>
  <c r="A251" i="2"/>
  <c r="A252" i="2"/>
  <c r="A253" i="2"/>
  <c r="G253" i="2" s="1"/>
  <c r="A254" i="2"/>
  <c r="A255" i="2"/>
  <c r="A256" i="2"/>
  <c r="A257" i="2"/>
  <c r="A258" i="2"/>
  <c r="A259" i="2"/>
  <c r="A260" i="2"/>
  <c r="G260" i="2" s="1"/>
  <c r="A261" i="2"/>
  <c r="A262" i="2"/>
  <c r="A263" i="2"/>
  <c r="A264" i="2"/>
  <c r="A265" i="2"/>
  <c r="G265" i="2" s="1"/>
  <c r="A266" i="2"/>
  <c r="A267" i="2"/>
  <c r="E267" i="2" s="1"/>
  <c r="A268" i="2"/>
  <c r="G268" i="2" s="1"/>
  <c r="A269" i="2"/>
  <c r="A270" i="2"/>
  <c r="A271" i="2"/>
  <c r="A272" i="2"/>
  <c r="A273" i="2"/>
  <c r="G273" i="2" s="1"/>
  <c r="A274" i="2"/>
  <c r="A275" i="2"/>
  <c r="A276" i="2"/>
  <c r="A277" i="2"/>
  <c r="C277" i="2" s="1"/>
  <c r="A278" i="2"/>
  <c r="A279" i="2"/>
  <c r="A280" i="2"/>
  <c r="G280" i="2" s="1"/>
  <c r="A281" i="2"/>
  <c r="G281" i="2" s="1"/>
  <c r="A282" i="2"/>
  <c r="A283" i="2"/>
  <c r="G283" i="2" s="1"/>
  <c r="A284" i="2"/>
  <c r="A285" i="2"/>
  <c r="A286" i="2"/>
  <c r="A287" i="2"/>
  <c r="A288" i="2"/>
  <c r="A289" i="2"/>
  <c r="C289" i="2" s="1"/>
  <c r="A290" i="2"/>
  <c r="A291" i="2"/>
  <c r="A292" i="2"/>
  <c r="A293" i="2"/>
  <c r="A294" i="2"/>
  <c r="B294" i="2" s="1"/>
  <c r="A295" i="2"/>
  <c r="A296" i="2"/>
  <c r="A297" i="2"/>
  <c r="A298" i="2"/>
  <c r="A299" i="2"/>
  <c r="A300" i="2"/>
  <c r="B300" i="2" s="1"/>
  <c r="A301" i="2"/>
  <c r="C301" i="2" s="1"/>
  <c r="A302" i="2"/>
  <c r="A303" i="2"/>
  <c r="A304" i="2"/>
  <c r="A305" i="2"/>
  <c r="C305" i="2" s="1"/>
  <c r="A306" i="2"/>
  <c r="A307" i="2"/>
  <c r="A308" i="2"/>
  <c r="A309" i="2"/>
  <c r="A310" i="2"/>
  <c r="A311" i="2"/>
  <c r="C311" i="2" s="1"/>
  <c r="A312" i="2"/>
  <c r="A313" i="2"/>
  <c r="G313" i="2" s="1"/>
  <c r="A314" i="2"/>
  <c r="A315" i="2"/>
  <c r="A316" i="2"/>
  <c r="G316" i="2" s="1"/>
  <c r="A317" i="2"/>
  <c r="A318" i="2"/>
  <c r="B318" i="2" s="1"/>
  <c r="A319" i="2"/>
  <c r="C319" i="2" s="1"/>
  <c r="A320" i="2"/>
  <c r="A321" i="2"/>
  <c r="G321" i="2" s="1"/>
  <c r="A322" i="2"/>
  <c r="A323" i="2"/>
  <c r="A324" i="2"/>
  <c r="A325" i="2"/>
  <c r="C325" i="2" s="1"/>
  <c r="A326" i="2"/>
  <c r="A327" i="2"/>
  <c r="A328" i="2"/>
  <c r="G328" i="2" s="1"/>
  <c r="A329" i="2"/>
  <c r="A330" i="2"/>
  <c r="A6" i="2"/>
  <c r="B4" i="1"/>
  <c r="A7" i="1"/>
  <c r="A8" i="1"/>
  <c r="A9" i="1"/>
  <c r="B9" i="1" s="1"/>
  <c r="A10" i="1"/>
  <c r="A11" i="1"/>
  <c r="A12" i="1"/>
  <c r="A13" i="1"/>
  <c r="A14" i="1"/>
  <c r="A15" i="1"/>
  <c r="A16" i="1"/>
  <c r="A17" i="1"/>
  <c r="B17" i="1" s="1"/>
  <c r="A18" i="1"/>
  <c r="A19" i="1"/>
  <c r="B19" i="1" s="1"/>
  <c r="A20" i="1"/>
  <c r="A21" i="1"/>
  <c r="A22" i="1"/>
  <c r="A23" i="1"/>
  <c r="A24" i="1"/>
  <c r="A25" i="1"/>
  <c r="A26" i="1"/>
  <c r="A27" i="1"/>
  <c r="B27" i="1" s="1"/>
  <c r="A28" i="1"/>
  <c r="A29" i="1"/>
  <c r="A30" i="1"/>
  <c r="B30" i="1" s="1"/>
  <c r="A31" i="1"/>
  <c r="A32" i="1"/>
  <c r="A33" i="1"/>
  <c r="A34" i="1"/>
  <c r="A35" i="1"/>
  <c r="A36" i="1"/>
  <c r="A37" i="1"/>
  <c r="A38" i="1"/>
  <c r="A39" i="1"/>
  <c r="A40" i="1"/>
  <c r="A41" i="1"/>
  <c r="B41" i="1" s="1"/>
  <c r="A42" i="1"/>
  <c r="A43" i="1"/>
  <c r="A44" i="1"/>
  <c r="A45" i="1"/>
  <c r="A46" i="1"/>
  <c r="B46" i="1" s="1"/>
  <c r="A47" i="1"/>
  <c r="A48" i="1"/>
  <c r="A49" i="1"/>
  <c r="A50" i="1"/>
  <c r="A51" i="1"/>
  <c r="A52" i="1"/>
  <c r="A53" i="1"/>
  <c r="A54" i="1"/>
  <c r="B54" i="1" s="1"/>
  <c r="A55" i="1"/>
  <c r="A56" i="1"/>
  <c r="A57" i="1"/>
  <c r="A58" i="1"/>
  <c r="A59" i="1"/>
  <c r="A60" i="1"/>
  <c r="A61" i="1"/>
  <c r="A62" i="1"/>
  <c r="A63" i="1"/>
  <c r="A64" i="1"/>
  <c r="A65" i="1"/>
  <c r="B65" i="1" s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B78" i="1" s="1"/>
  <c r="A79" i="1"/>
  <c r="A80" i="1"/>
  <c r="A81" i="1"/>
  <c r="A82" i="1"/>
  <c r="A83" i="1"/>
  <c r="A84" i="1"/>
  <c r="A85" i="1"/>
  <c r="A86" i="1"/>
  <c r="A87" i="1"/>
  <c r="A88" i="1"/>
  <c r="A89" i="1"/>
  <c r="A90" i="1"/>
  <c r="B90" i="1" s="1"/>
  <c r="A91" i="1"/>
  <c r="A92" i="1"/>
  <c r="A93" i="1"/>
  <c r="A94" i="1"/>
  <c r="A95" i="1"/>
  <c r="A96" i="1"/>
  <c r="A97" i="1"/>
  <c r="A98" i="1"/>
  <c r="A99" i="1"/>
  <c r="A100" i="1"/>
  <c r="A101" i="1"/>
  <c r="A102" i="1"/>
  <c r="B102" i="1" s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B127" i="1" s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B154" i="1" s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B174" i="1" s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B199" i="1" s="1"/>
  <c r="A200" i="1"/>
  <c r="B200" i="1" s="1"/>
  <c r="A201" i="1"/>
  <c r="B201" i="1" s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B222" i="1" s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B237" i="1" s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D258" i="1" s="1"/>
  <c r="A259" i="1"/>
  <c r="A260" i="1"/>
  <c r="A261" i="1"/>
  <c r="A262" i="1"/>
  <c r="A263" i="1"/>
  <c r="A264" i="1"/>
  <c r="B264" i="1" s="1"/>
  <c r="A265" i="1"/>
  <c r="B265" i="1" s="1"/>
  <c r="A266" i="1"/>
  <c r="A267" i="1"/>
  <c r="B267" i="1" s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D282" i="1" s="1"/>
  <c r="A283" i="1"/>
  <c r="A284" i="1"/>
  <c r="A285" i="1"/>
  <c r="A286" i="1"/>
  <c r="B286" i="1" s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B327" i="1" s="1"/>
  <c r="A328" i="1"/>
  <c r="A329" i="1"/>
  <c r="A330" i="1"/>
  <c r="A6" i="1"/>
  <c r="G4" i="1"/>
  <c r="F4" i="1"/>
  <c r="D4" i="1"/>
  <c r="C4" i="1"/>
  <c r="C271" i="1" s="1"/>
  <c r="C202" i="2"/>
  <c r="C317" i="2"/>
  <c r="G229" i="2"/>
  <c r="C173" i="2"/>
  <c r="G161" i="2"/>
  <c r="C149" i="2"/>
  <c r="G145" i="2"/>
  <c r="C137" i="2"/>
  <c r="C133" i="2"/>
  <c r="C101" i="2"/>
  <c r="G89" i="2"/>
  <c r="G85" i="2"/>
  <c r="C69" i="2"/>
  <c r="G65" i="2"/>
  <c r="C53" i="2"/>
  <c r="G49" i="2"/>
  <c r="G41" i="2"/>
  <c r="G37" i="2"/>
  <c r="G33" i="2"/>
  <c r="G13" i="2"/>
  <c r="C13" i="2"/>
  <c r="F163" i="2"/>
  <c r="G143" i="2"/>
  <c r="G107" i="2"/>
  <c r="E107" i="2"/>
  <c r="G79" i="2"/>
  <c r="G71" i="2"/>
  <c r="G43" i="2"/>
  <c r="E27" i="2"/>
  <c r="G23" i="2"/>
  <c r="F23" i="2"/>
  <c r="G19" i="2"/>
  <c r="C179" i="2"/>
  <c r="C67" i="2"/>
  <c r="C35" i="2"/>
  <c r="C19" i="2"/>
  <c r="C23" i="2"/>
  <c r="C7" i="2"/>
  <c r="C139" i="2"/>
  <c r="C91" i="2"/>
  <c r="C43" i="2"/>
  <c r="C95" i="2"/>
  <c r="C79" i="2"/>
  <c r="C47" i="2"/>
  <c r="B15" i="1"/>
  <c r="B22" i="1"/>
  <c r="B271" i="1"/>
  <c r="B43" i="1"/>
  <c r="B312" i="1"/>
  <c r="B232" i="1"/>
  <c r="F95" i="2" l="1"/>
  <c r="C167" i="2"/>
  <c r="G151" i="2"/>
  <c r="G319" i="2"/>
  <c r="F212" i="2"/>
  <c r="F140" i="2"/>
  <c r="S140" i="3" s="1"/>
  <c r="F140" i="3" s="1"/>
  <c r="C175" i="2"/>
  <c r="G7" i="2"/>
  <c r="T7" i="3" s="1"/>
  <c r="G7" i="3" s="1"/>
  <c r="F55" i="2"/>
  <c r="G311" i="2"/>
  <c r="C221" i="2"/>
  <c r="C31" i="2"/>
  <c r="F71" i="2"/>
  <c r="G127" i="2"/>
  <c r="T127" i="3" s="1"/>
  <c r="G127" i="3" s="1"/>
  <c r="B60" i="1"/>
  <c r="C330" i="2"/>
  <c r="C145" i="2"/>
  <c r="B193" i="2"/>
  <c r="D248" i="1"/>
  <c r="B192" i="1"/>
  <c r="B168" i="1"/>
  <c r="B144" i="1"/>
  <c r="B120" i="1"/>
  <c r="B96" i="1"/>
  <c r="B48" i="1"/>
  <c r="B24" i="1"/>
  <c r="C193" i="2"/>
  <c r="C244" i="2"/>
  <c r="C220" i="2"/>
  <c r="C44" i="2"/>
  <c r="P44" i="3" s="1"/>
  <c r="C44" i="3" s="1"/>
  <c r="C20" i="2"/>
  <c r="D71" i="2"/>
  <c r="Q71" i="3" s="1"/>
  <c r="D71" i="3" s="1"/>
  <c r="D183" i="1"/>
  <c r="C119" i="2"/>
  <c r="B37" i="1"/>
  <c r="C171" i="2"/>
  <c r="C147" i="2"/>
  <c r="C131" i="2"/>
  <c r="P131" i="3" s="1"/>
  <c r="C131" i="3" s="1"/>
  <c r="B115" i="2"/>
  <c r="G91" i="2"/>
  <c r="T91" i="3" s="1"/>
  <c r="G91" i="3" s="1"/>
  <c r="C83" i="2"/>
  <c r="G67" i="2"/>
  <c r="C97" i="1"/>
  <c r="D301" i="1"/>
  <c r="D253" i="1"/>
  <c r="D203" i="1"/>
  <c r="D33" i="1"/>
  <c r="B87" i="1"/>
  <c r="D205" i="1"/>
  <c r="D189" i="1"/>
  <c r="B253" i="1"/>
  <c r="C63" i="1"/>
  <c r="D319" i="1"/>
  <c r="D82" i="1"/>
  <c r="C66" i="1"/>
  <c r="F127" i="2"/>
  <c r="S127" i="3" s="1"/>
  <c r="F127" i="3" s="1"/>
  <c r="C96" i="1"/>
  <c r="C312" i="1"/>
  <c r="C150" i="1"/>
  <c r="C229" i="1"/>
  <c r="D181" i="1"/>
  <c r="D157" i="1"/>
  <c r="D133" i="1"/>
  <c r="D85" i="1"/>
  <c r="D61" i="1"/>
  <c r="D45" i="1"/>
  <c r="D21" i="1"/>
  <c r="F67" i="2"/>
  <c r="F103" i="2"/>
  <c r="S103" i="3" s="1"/>
  <c r="F103" i="3" s="1"/>
  <c r="F319" i="2"/>
  <c r="S319" i="3" s="1"/>
  <c r="F319" i="3" s="1"/>
  <c r="F179" i="2"/>
  <c r="F155" i="2"/>
  <c r="S155" i="3" s="1"/>
  <c r="F155" i="3" s="1"/>
  <c r="F107" i="2"/>
  <c r="F59" i="2"/>
  <c r="S59" i="3" s="1"/>
  <c r="F59" i="3" s="1"/>
  <c r="C321" i="1"/>
  <c r="D313" i="1"/>
  <c r="C297" i="1"/>
  <c r="D289" i="1"/>
  <c r="D273" i="1"/>
  <c r="C233" i="1"/>
  <c r="D217" i="1"/>
  <c r="C153" i="1"/>
  <c r="D145" i="1"/>
  <c r="D129" i="1"/>
  <c r="D121" i="1"/>
  <c r="D97" i="1"/>
  <c r="C81" i="1"/>
  <c r="C73" i="1"/>
  <c r="D49" i="1"/>
  <c r="C25" i="1"/>
  <c r="F64" i="2"/>
  <c r="S64" i="3" s="1"/>
  <c r="F64" i="3" s="1"/>
  <c r="F56" i="2"/>
  <c r="F19" i="2"/>
  <c r="S19" i="3" s="1"/>
  <c r="F19" i="3" s="1"/>
  <c r="F79" i="2"/>
  <c r="G179" i="2"/>
  <c r="F39" i="2"/>
  <c r="S39" i="3" s="1"/>
  <c r="F39" i="3" s="1"/>
  <c r="D229" i="1"/>
  <c r="F15" i="2"/>
  <c r="S15" i="3" s="1"/>
  <c r="F15" i="3" s="1"/>
  <c r="F43" i="2"/>
  <c r="S43" i="3" s="1"/>
  <c r="F43" i="3" s="1"/>
  <c r="F119" i="2"/>
  <c r="C80" i="1"/>
  <c r="D192" i="1"/>
  <c r="C313" i="1"/>
  <c r="F47" i="2"/>
  <c r="S47" i="3" s="1"/>
  <c r="F47" i="3" s="1"/>
  <c r="F83" i="2"/>
  <c r="C88" i="2"/>
  <c r="P88" i="3" s="1"/>
  <c r="C88" i="3" s="1"/>
  <c r="G277" i="2"/>
  <c r="D270" i="1"/>
  <c r="C241" i="1"/>
  <c r="C207" i="1"/>
  <c r="C7" i="1"/>
  <c r="C247" i="1"/>
  <c r="C244" i="1"/>
  <c r="C212" i="1"/>
  <c r="C84" i="1"/>
  <c r="C68" i="1"/>
  <c r="B115" i="5"/>
  <c r="B91" i="5"/>
  <c r="C193" i="1"/>
  <c r="C69" i="1"/>
  <c r="C231" i="1"/>
  <c r="C300" i="1"/>
  <c r="D276" i="1"/>
  <c r="C204" i="1"/>
  <c r="C100" i="1"/>
  <c r="C49" i="1"/>
  <c r="C165" i="1"/>
  <c r="C330" i="1"/>
  <c r="G208" i="2"/>
  <c r="B323" i="1"/>
  <c r="D291" i="1"/>
  <c r="C275" i="1"/>
  <c r="D259" i="1"/>
  <c r="C235" i="1"/>
  <c r="D147" i="1"/>
  <c r="C123" i="1"/>
  <c r="B99" i="1"/>
  <c r="D75" i="1"/>
  <c r="B51" i="1"/>
  <c r="G35" i="2"/>
  <c r="E93" i="2"/>
  <c r="R93" i="3" s="1"/>
  <c r="E93" i="3" s="1"/>
  <c r="C201" i="1"/>
  <c r="C121" i="1"/>
  <c r="C145" i="1"/>
  <c r="D73" i="1"/>
  <c r="C27" i="1"/>
  <c r="C324" i="1"/>
  <c r="C268" i="1"/>
  <c r="D172" i="1"/>
  <c r="C148" i="1"/>
  <c r="D124" i="1"/>
  <c r="D76" i="1"/>
  <c r="C52" i="1"/>
  <c r="C44" i="1"/>
  <c r="C36" i="1"/>
  <c r="D28" i="1"/>
  <c r="D12" i="1"/>
  <c r="B13" i="1"/>
  <c r="C24" i="1"/>
  <c r="C289" i="1"/>
  <c r="C114" i="1"/>
  <c r="C67" i="1"/>
  <c r="B42" i="1"/>
  <c r="B31" i="1"/>
  <c r="D231" i="1"/>
  <c r="B307" i="1"/>
  <c r="B299" i="1"/>
  <c r="C283" i="1"/>
  <c r="C267" i="1"/>
  <c r="C251" i="1"/>
  <c r="B243" i="1"/>
  <c r="B195" i="1"/>
  <c r="D139" i="1"/>
  <c r="D67" i="1"/>
  <c r="B59" i="1"/>
  <c r="B114" i="1"/>
  <c r="D324" i="1"/>
  <c r="D195" i="1"/>
  <c r="C138" i="1"/>
  <c r="C111" i="1"/>
  <c r="B39" i="1"/>
  <c r="B279" i="1"/>
  <c r="G16" i="2"/>
  <c r="C280" i="2"/>
  <c r="P280" i="3" s="1"/>
  <c r="C280" i="3" s="1"/>
  <c r="B306" i="1"/>
  <c r="B250" i="1"/>
  <c r="B282" i="2"/>
  <c r="B274" i="2"/>
  <c r="B258" i="2"/>
  <c r="G226" i="2"/>
  <c r="T226" i="3" s="1"/>
  <c r="G226" i="3" s="1"/>
  <c r="B210" i="2"/>
  <c r="G154" i="2"/>
  <c r="T154" i="3" s="1"/>
  <c r="G154" i="3" s="1"/>
  <c r="C130" i="2"/>
  <c r="B114" i="2"/>
  <c r="B90" i="2"/>
  <c r="C105" i="1"/>
  <c r="C210" i="1"/>
  <c r="C183" i="1"/>
  <c r="C21" i="1"/>
  <c r="C87" i="1"/>
  <c r="B58" i="1"/>
  <c r="D210" i="1"/>
  <c r="B7" i="1"/>
  <c r="B151" i="1"/>
  <c r="B247" i="1"/>
  <c r="C115" i="2"/>
  <c r="P115" i="3" s="1"/>
  <c r="C115" i="3" s="1"/>
  <c r="G131" i="2"/>
  <c r="B88" i="2"/>
  <c r="G185" i="2"/>
  <c r="C57" i="1"/>
  <c r="C151" i="1"/>
  <c r="C325" i="1"/>
  <c r="C285" i="1"/>
  <c r="C168" i="1"/>
  <c r="C174" i="1"/>
  <c r="D99" i="1"/>
  <c r="C243" i="1"/>
  <c r="C79" i="1"/>
  <c r="C107" i="2"/>
  <c r="P107" i="3" s="1"/>
  <c r="C107" i="3" s="1"/>
  <c r="C163" i="2"/>
  <c r="F131" i="2"/>
  <c r="S131" i="3" s="1"/>
  <c r="F131" i="3" s="1"/>
  <c r="D330" i="1"/>
  <c r="B210" i="1"/>
  <c r="B194" i="1"/>
  <c r="B186" i="1"/>
  <c r="B66" i="1"/>
  <c r="G301" i="2"/>
  <c r="C177" i="1"/>
  <c r="C137" i="1"/>
  <c r="D52" i="1"/>
  <c r="C273" i="1"/>
  <c r="C155" i="2"/>
  <c r="P155" i="3" s="1"/>
  <c r="C155" i="3" s="1"/>
  <c r="F91" i="2"/>
  <c r="F115" i="2"/>
  <c r="S115" i="3" s="1"/>
  <c r="F115" i="3" s="1"/>
  <c r="F139" i="2"/>
  <c r="C235" i="2"/>
  <c r="C288" i="1"/>
  <c r="C225" i="1"/>
  <c r="C169" i="1"/>
  <c r="C161" i="1"/>
  <c r="C56" i="1"/>
  <c r="C216" i="1"/>
  <c r="C141" i="1"/>
  <c r="C306" i="1"/>
  <c r="C127" i="1"/>
  <c r="C30" i="1"/>
  <c r="C15" i="1"/>
  <c r="C199" i="1"/>
  <c r="D91" i="2"/>
  <c r="G115" i="2"/>
  <c r="T115" i="3" s="1"/>
  <c r="G115" i="3" s="1"/>
  <c r="C209" i="2"/>
  <c r="G289" i="2"/>
  <c r="G305" i="2"/>
  <c r="T305" i="3" s="1"/>
  <c r="G305" i="3" s="1"/>
  <c r="F38" i="2"/>
  <c r="S38" i="3" s="1"/>
  <c r="F38" i="3" s="1"/>
  <c r="C203" i="1"/>
  <c r="C187" i="1"/>
  <c r="C147" i="1"/>
  <c r="C131" i="1"/>
  <c r="C115" i="1"/>
  <c r="B115" i="1"/>
  <c r="C107" i="1"/>
  <c r="C91" i="1"/>
  <c r="D91" i="1"/>
  <c r="C43" i="1"/>
  <c r="C19" i="1"/>
  <c r="C11" i="1"/>
  <c r="D11" i="1"/>
  <c r="C156" i="1"/>
  <c r="B156" i="1"/>
  <c r="D84" i="1"/>
  <c r="D204" i="1"/>
  <c r="C125" i="1"/>
  <c r="C205" i="1"/>
  <c r="C195" i="1"/>
  <c r="C186" i="1"/>
  <c r="C51" i="1"/>
  <c r="B147" i="1"/>
  <c r="C255" i="1"/>
  <c r="C54" i="1"/>
  <c r="C279" i="1"/>
  <c r="D103" i="2"/>
  <c r="G241" i="2"/>
  <c r="C322" i="1"/>
  <c r="C314" i="1"/>
  <c r="C290" i="1"/>
  <c r="C234" i="1"/>
  <c r="C226" i="1"/>
  <c r="C178" i="1"/>
  <c r="C162" i="1"/>
  <c r="C154" i="1"/>
  <c r="D138" i="1"/>
  <c r="B138" i="1"/>
  <c r="C98" i="1"/>
  <c r="C90" i="1"/>
  <c r="C74" i="1"/>
  <c r="C58" i="1"/>
  <c r="C50" i="1"/>
  <c r="C42" i="1"/>
  <c r="C34" i="1"/>
  <c r="C10" i="1"/>
  <c r="D17" i="2"/>
  <c r="Q17" i="3" s="1"/>
  <c r="D17" i="3" s="1"/>
  <c r="A46" i="10"/>
  <c r="B25" i="12" s="1"/>
  <c r="B26" i="12" s="1"/>
  <c r="A45" i="10"/>
  <c r="B24" i="12" s="1"/>
  <c r="A44" i="10"/>
  <c r="B23" i="12" s="1"/>
  <c r="A43" i="10"/>
  <c r="B22" i="12" s="1"/>
  <c r="A42" i="10"/>
  <c r="B21" i="12" s="1"/>
  <c r="A41" i="10"/>
  <c r="B20" i="12" s="1"/>
  <c r="A40" i="10"/>
  <c r="B19" i="12" s="1"/>
  <c r="A39" i="10"/>
  <c r="B18" i="12" s="1"/>
  <c r="A38" i="10"/>
  <c r="B17" i="12" s="1"/>
  <c r="A37" i="10"/>
  <c r="B16" i="12" s="1"/>
  <c r="B84" i="1"/>
  <c r="C265" i="1"/>
  <c r="C249" i="1"/>
  <c r="C329" i="2"/>
  <c r="G329" i="2"/>
  <c r="C256" i="1"/>
  <c r="C72" i="1"/>
  <c r="B72" i="1"/>
  <c r="C64" i="1"/>
  <c r="C103" i="1"/>
  <c r="C223" i="1"/>
  <c r="C31" i="1"/>
  <c r="C309" i="1"/>
  <c r="C189" i="1"/>
  <c r="C157" i="1"/>
  <c r="C61" i="1"/>
  <c r="C327" i="1"/>
  <c r="C191" i="1"/>
  <c r="C135" i="1"/>
  <c r="C213" i="1"/>
  <c r="C181" i="1"/>
  <c r="C37" i="1"/>
  <c r="C129" i="1"/>
  <c r="B33" i="1"/>
  <c r="C33" i="1"/>
  <c r="C9" i="1"/>
  <c r="C45" i="1"/>
  <c r="C101" i="1"/>
  <c r="D36" i="1"/>
  <c r="C217" i="1"/>
  <c r="C303" i="1"/>
  <c r="C75" i="1"/>
  <c r="C159" i="1"/>
  <c r="C39" i="1"/>
  <c r="C175" i="1"/>
  <c r="C6" i="1"/>
  <c r="C313" i="2"/>
  <c r="D87" i="1"/>
  <c r="D317" i="1"/>
  <c r="D237" i="1"/>
  <c r="D287" i="1"/>
  <c r="C328" i="1"/>
  <c r="C320" i="1"/>
  <c r="D312" i="1"/>
  <c r="C296" i="1"/>
  <c r="C280" i="1"/>
  <c r="C264" i="1"/>
  <c r="C248" i="1"/>
  <c r="C240" i="1"/>
  <c r="C232" i="1"/>
  <c r="B216" i="1"/>
  <c r="D216" i="1"/>
  <c r="C160" i="1"/>
  <c r="D144" i="1"/>
  <c r="C136" i="1"/>
  <c r="C120" i="1"/>
  <c r="C112" i="1"/>
  <c r="C93" i="1"/>
  <c r="C117" i="1"/>
  <c r="D48" i="1"/>
  <c r="D120" i="1"/>
  <c r="C277" i="1"/>
  <c r="C190" i="1"/>
  <c r="C319" i="1"/>
  <c r="C102" i="1"/>
  <c r="C222" i="1"/>
  <c r="C99" i="1"/>
  <c r="D159" i="1"/>
  <c r="C295" i="1"/>
  <c r="C55" i="1"/>
  <c r="B187" i="1"/>
  <c r="C169" i="2"/>
  <c r="C217" i="2"/>
  <c r="P217" i="3" s="1"/>
  <c r="C217" i="3" s="1"/>
  <c r="C265" i="2"/>
  <c r="C270" i="1"/>
  <c r="D246" i="1"/>
  <c r="C182" i="1"/>
  <c r="D175" i="2"/>
  <c r="Q175" i="3" s="1"/>
  <c r="D175" i="3" s="1"/>
  <c r="D196" i="2"/>
  <c r="Q196" i="3" s="1"/>
  <c r="D196" i="3" s="1"/>
  <c r="E329" i="2"/>
  <c r="B107" i="2"/>
  <c r="G40" i="2"/>
  <c r="B61" i="1"/>
  <c r="B301" i="1"/>
  <c r="B270" i="1"/>
  <c r="B6" i="1"/>
  <c r="C78" i="1"/>
  <c r="G11" i="2"/>
  <c r="T11" i="3" s="1"/>
  <c r="G11" i="3" s="1"/>
  <c r="G31" i="2"/>
  <c r="T31" i="3" s="1"/>
  <c r="G31" i="3" s="1"/>
  <c r="G55" i="2"/>
  <c r="G103" i="2"/>
  <c r="T103" i="3" s="1"/>
  <c r="G103" i="3" s="1"/>
  <c r="G155" i="2"/>
  <c r="D40" i="2"/>
  <c r="G61" i="2"/>
  <c r="T61" i="3" s="1"/>
  <c r="G61" i="3" s="1"/>
  <c r="G197" i="2"/>
  <c r="T197" i="3" s="1"/>
  <c r="G197" i="3" s="1"/>
  <c r="G207" i="2"/>
  <c r="G191" i="2"/>
  <c r="G63" i="2"/>
  <c r="T63" i="3" s="1"/>
  <c r="G63" i="3" s="1"/>
  <c r="G246" i="2"/>
  <c r="T246" i="3" s="1"/>
  <c r="G246" i="3" s="1"/>
  <c r="G102" i="2"/>
  <c r="C310" i="1"/>
  <c r="C246" i="1"/>
  <c r="C214" i="1"/>
  <c r="C198" i="1"/>
  <c r="C142" i="1"/>
  <c r="C126" i="1"/>
  <c r="C94" i="1"/>
  <c r="C70" i="1"/>
  <c r="C62" i="1"/>
  <c r="C38" i="1"/>
  <c r="B129" i="1"/>
  <c r="G166" i="2"/>
  <c r="T166" i="3" s="1"/>
  <c r="G166" i="3" s="1"/>
  <c r="B319" i="1"/>
  <c r="G59" i="2"/>
  <c r="G83" i="2"/>
  <c r="T83" i="3" s="1"/>
  <c r="G83" i="3" s="1"/>
  <c r="G109" i="2"/>
  <c r="G173" i="2"/>
  <c r="C301" i="1"/>
  <c r="C261" i="1"/>
  <c r="C253" i="1"/>
  <c r="C237" i="1"/>
  <c r="C221" i="1"/>
  <c r="C197" i="1"/>
  <c r="C173" i="1"/>
  <c r="C149" i="1"/>
  <c r="C133" i="1"/>
  <c r="D109" i="1"/>
  <c r="D93" i="1"/>
  <c r="C85" i="1"/>
  <c r="C77" i="1"/>
  <c r="C53" i="1"/>
  <c r="B21" i="1"/>
  <c r="C13" i="1"/>
  <c r="G325" i="2"/>
  <c r="T325" i="3" s="1"/>
  <c r="G325" i="3" s="1"/>
  <c r="G285" i="2"/>
  <c r="T285" i="3" s="1"/>
  <c r="G285" i="3" s="1"/>
  <c r="G269" i="2"/>
  <c r="G237" i="2"/>
  <c r="T237" i="3" s="1"/>
  <c r="G237" i="3" s="1"/>
  <c r="G205" i="2"/>
  <c r="G181" i="2"/>
  <c r="T181" i="3" s="1"/>
  <c r="G181" i="3" s="1"/>
  <c r="G157" i="2"/>
  <c r="G141" i="2"/>
  <c r="C59" i="2"/>
  <c r="F35" i="2"/>
  <c r="S35" i="3" s="1"/>
  <c r="F35" i="3" s="1"/>
  <c r="F11" i="2"/>
  <c r="C308" i="1"/>
  <c r="D308" i="1"/>
  <c r="C211" i="1"/>
  <c r="B211" i="1"/>
  <c r="D171" i="1"/>
  <c r="B171" i="1"/>
  <c r="C163" i="1"/>
  <c r="B163" i="1"/>
  <c r="D275" i="2"/>
  <c r="Q275" i="3" s="1"/>
  <c r="D275" i="3" s="1"/>
  <c r="D67" i="2"/>
  <c r="D19" i="2"/>
  <c r="Q19" i="3" s="1"/>
  <c r="D19" i="3" s="1"/>
  <c r="B252" i="1"/>
  <c r="C252" i="1"/>
  <c r="C180" i="1"/>
  <c r="B180" i="1"/>
  <c r="C132" i="1"/>
  <c r="B132" i="1"/>
  <c r="C108" i="1"/>
  <c r="B108" i="1"/>
  <c r="G292" i="2"/>
  <c r="T292" i="3" s="1"/>
  <c r="G292" i="3" s="1"/>
  <c r="C292" i="2"/>
  <c r="G68" i="2"/>
  <c r="F68" i="2"/>
  <c r="S68" i="3" s="1"/>
  <c r="F68" i="3" s="1"/>
  <c r="D137" i="2"/>
  <c r="D311" i="2"/>
  <c r="Q311" i="3" s="1"/>
  <c r="D311" i="3" s="1"/>
  <c r="D79" i="2"/>
  <c r="D23" i="2"/>
  <c r="Q23" i="3" s="1"/>
  <c r="D23" i="3" s="1"/>
  <c r="D29" i="2"/>
  <c r="D31" i="2"/>
  <c r="D167" i="2"/>
  <c r="Q167" i="3" s="1"/>
  <c r="D167" i="3" s="1"/>
  <c r="D293" i="2"/>
  <c r="Q293" i="3" s="1"/>
  <c r="D293" i="3" s="1"/>
  <c r="D11" i="2"/>
  <c r="Q11" i="3" s="1"/>
  <c r="D11" i="3" s="1"/>
  <c r="D43" i="2"/>
  <c r="Q43" i="3" s="1"/>
  <c r="D43" i="3" s="1"/>
  <c r="D7" i="2"/>
  <c r="Q7" i="3" s="1"/>
  <c r="D7" i="3" s="1"/>
  <c r="D179" i="2"/>
  <c r="D151" i="2"/>
  <c r="D156" i="1"/>
  <c r="C315" i="1"/>
  <c r="B315" i="1"/>
  <c r="C259" i="1"/>
  <c r="D131" i="1"/>
  <c r="D83" i="2"/>
  <c r="Q83" i="3" s="1"/>
  <c r="D83" i="3" s="1"/>
  <c r="D155" i="2"/>
  <c r="Q155" i="3" s="1"/>
  <c r="D155" i="3" s="1"/>
  <c r="G52" i="2"/>
  <c r="T52" i="3" s="1"/>
  <c r="G52" i="3" s="1"/>
  <c r="D124" i="2"/>
  <c r="D244" i="2"/>
  <c r="B68" i="1"/>
  <c r="D108" i="1"/>
  <c r="C276" i="1"/>
  <c r="C171" i="1"/>
  <c r="C139" i="1"/>
  <c r="D115" i="2"/>
  <c r="D47" i="2"/>
  <c r="D64" i="2"/>
  <c r="Q64" i="3" s="1"/>
  <c r="D64" i="3" s="1"/>
  <c r="C124" i="2"/>
  <c r="P124" i="3" s="1"/>
  <c r="C124" i="3" s="1"/>
  <c r="D73" i="2"/>
  <c r="C228" i="1"/>
  <c r="D228" i="1"/>
  <c r="C12" i="1"/>
  <c r="B12" i="1"/>
  <c r="C291" i="1"/>
  <c r="D131" i="2"/>
  <c r="D95" i="2"/>
  <c r="Q95" i="3" s="1"/>
  <c r="D95" i="3" s="1"/>
  <c r="D283" i="2"/>
  <c r="D28" i="2"/>
  <c r="Q28" i="3" s="1"/>
  <c r="D28" i="3" s="1"/>
  <c r="D288" i="2"/>
  <c r="D160" i="2"/>
  <c r="D172" i="2"/>
  <c r="G172" i="2"/>
  <c r="G148" i="2"/>
  <c r="T148" i="3" s="1"/>
  <c r="G148" i="3" s="1"/>
  <c r="C148" i="2"/>
  <c r="P148" i="3" s="1"/>
  <c r="C148" i="3" s="1"/>
  <c r="D100" i="2"/>
  <c r="G100" i="2"/>
  <c r="T100" i="3" s="1"/>
  <c r="G100" i="3" s="1"/>
  <c r="C100" i="2"/>
  <c r="F76" i="2"/>
  <c r="S76" i="3" s="1"/>
  <c r="F76" i="3" s="1"/>
  <c r="D76" i="2"/>
  <c r="D119" i="2"/>
  <c r="D35" i="2"/>
  <c r="Q35" i="3" s="1"/>
  <c r="D35" i="3" s="1"/>
  <c r="D139" i="2"/>
  <c r="Q139" i="3" s="1"/>
  <c r="D139" i="3" s="1"/>
  <c r="D235" i="2"/>
  <c r="C52" i="2"/>
  <c r="P52" i="3" s="1"/>
  <c r="C52" i="3" s="1"/>
  <c r="C219" i="1"/>
  <c r="B219" i="1"/>
  <c r="C60" i="1"/>
  <c r="D100" i="1"/>
  <c r="D180" i="1"/>
  <c r="B36" i="1"/>
  <c r="B75" i="1"/>
  <c r="D163" i="1"/>
  <c r="C307" i="1"/>
  <c r="D163" i="2"/>
  <c r="Q163" i="3" s="1"/>
  <c r="D163" i="3" s="1"/>
  <c r="D127" i="2"/>
  <c r="Q127" i="3" s="1"/>
  <c r="D127" i="3" s="1"/>
  <c r="D49" i="2"/>
  <c r="D113" i="2"/>
  <c r="Q113" i="3" s="1"/>
  <c r="D113" i="3" s="1"/>
  <c r="D55" i="2"/>
  <c r="Q55" i="3" s="1"/>
  <c r="D55" i="3" s="1"/>
  <c r="D143" i="2"/>
  <c r="Q143" i="3" s="1"/>
  <c r="D143" i="3" s="1"/>
  <c r="D88" i="2"/>
  <c r="Q88" i="3" s="1"/>
  <c r="D88" i="3" s="1"/>
  <c r="D81" i="2"/>
  <c r="D121" i="2"/>
  <c r="Q121" i="3" s="1"/>
  <c r="D121" i="3" s="1"/>
  <c r="C318" i="1"/>
  <c r="D318" i="1"/>
  <c r="B318" i="1"/>
  <c r="D294" i="1"/>
  <c r="C294" i="1"/>
  <c r="D46" i="2"/>
  <c r="Q46" i="3" s="1"/>
  <c r="D46" i="3" s="1"/>
  <c r="D221" i="2"/>
  <c r="D173" i="2"/>
  <c r="Q173" i="3" s="1"/>
  <c r="D173" i="3" s="1"/>
  <c r="D178" i="2"/>
  <c r="D10" i="2"/>
  <c r="B73" i="5"/>
  <c r="D130" i="1"/>
  <c r="C283" i="2"/>
  <c r="B282" i="1"/>
  <c r="B258" i="1"/>
  <c r="B234" i="1"/>
  <c r="B18" i="1"/>
  <c r="C109" i="1"/>
  <c r="B49" i="1"/>
  <c r="D96" i="1"/>
  <c r="C144" i="1"/>
  <c r="D240" i="1"/>
  <c r="D102" i="1"/>
  <c r="D174" i="1"/>
  <c r="D127" i="1"/>
  <c r="D50" i="1"/>
  <c r="C11" i="2"/>
  <c r="P11" i="3" s="1"/>
  <c r="C11" i="3" s="1"/>
  <c r="D59" i="2"/>
  <c r="Q59" i="3" s="1"/>
  <c r="D59" i="3" s="1"/>
  <c r="D329" i="1"/>
  <c r="C305" i="1"/>
  <c r="C185" i="1"/>
  <c r="C41" i="1"/>
  <c r="B201" i="2"/>
  <c r="C81" i="2"/>
  <c r="D136" i="2"/>
  <c r="Q136" i="3" s="1"/>
  <c r="D136" i="3" s="1"/>
  <c r="D16" i="2"/>
  <c r="Q16" i="3" s="1"/>
  <c r="D16" i="3" s="1"/>
  <c r="D307" i="1"/>
  <c r="D256" i="2"/>
  <c r="Q256" i="3" s="1"/>
  <c r="D256" i="3" s="1"/>
  <c r="D208" i="2"/>
  <c r="D112" i="2"/>
  <c r="Q112" i="3" s="1"/>
  <c r="D112" i="3" s="1"/>
  <c r="D25" i="1"/>
  <c r="B57" i="1"/>
  <c r="C48" i="1"/>
  <c r="C192" i="1"/>
  <c r="D153" i="1"/>
  <c r="D177" i="1"/>
  <c r="D201" i="1"/>
  <c r="D225" i="1"/>
  <c r="D135" i="1"/>
  <c r="C18" i="1"/>
  <c r="B175" i="1"/>
  <c r="B231" i="1"/>
  <c r="D107" i="2"/>
  <c r="Q107" i="3" s="1"/>
  <c r="D107" i="3" s="1"/>
  <c r="C112" i="2"/>
  <c r="P112" i="3" s="1"/>
  <c r="C112" i="3" s="1"/>
  <c r="C311" i="1"/>
  <c r="C287" i="1"/>
  <c r="C239" i="1"/>
  <c r="C143" i="1"/>
  <c r="C95" i="1"/>
  <c r="C71" i="1"/>
  <c r="E327" i="2"/>
  <c r="E303" i="2"/>
  <c r="R303" i="3" s="1"/>
  <c r="E303" i="3" s="1"/>
  <c r="E279" i="2"/>
  <c r="E255" i="2"/>
  <c r="E231" i="2"/>
  <c r="C159" i="2"/>
  <c r="P159" i="3" s="1"/>
  <c r="C159" i="3" s="1"/>
  <c r="C135" i="2"/>
  <c r="P135" i="3" s="1"/>
  <c r="C135" i="3" s="1"/>
  <c r="C39" i="2"/>
  <c r="P39" i="3" s="1"/>
  <c r="C39" i="3" s="1"/>
  <c r="B254" i="5"/>
  <c r="B283" i="1"/>
  <c r="D310" i="2"/>
  <c r="B301" i="5"/>
  <c r="B181" i="5"/>
  <c r="B157" i="5"/>
  <c r="B61" i="5"/>
  <c r="B317" i="1"/>
  <c r="E6" i="2"/>
  <c r="R6" i="3" s="1"/>
  <c r="E6" i="3" s="1"/>
  <c r="E213" i="2"/>
  <c r="R213" i="3" s="1"/>
  <c r="E213" i="3" s="1"/>
  <c r="E117" i="2"/>
  <c r="D271" i="1"/>
  <c r="D55" i="1"/>
  <c r="B228" i="1"/>
  <c r="G46" i="2"/>
  <c r="T46" i="3" s="1"/>
  <c r="G46" i="3" s="1"/>
  <c r="G22" i="2"/>
  <c r="T22" i="3" s="1"/>
  <c r="G22" i="3" s="1"/>
  <c r="G21" i="2"/>
  <c r="G15" i="2"/>
  <c r="T15" i="3" s="1"/>
  <c r="G15" i="3" s="1"/>
  <c r="C72" i="2"/>
  <c r="D219" i="1"/>
  <c r="D42" i="1"/>
  <c r="D66" i="1"/>
  <c r="D19" i="1"/>
  <c r="D47" i="1"/>
  <c r="D79" i="1"/>
  <c r="D115" i="1"/>
  <c r="D187" i="1"/>
  <c r="D223" i="1"/>
  <c r="D6" i="1"/>
  <c r="B240" i="1"/>
  <c r="D306" i="1"/>
  <c r="D300" i="1"/>
  <c r="D288" i="1"/>
  <c r="D264" i="1"/>
  <c r="D222" i="1"/>
  <c r="D198" i="1"/>
  <c r="D186" i="1"/>
  <c r="D168" i="1"/>
  <c r="D162" i="1"/>
  <c r="D150" i="1"/>
  <c r="D126" i="1"/>
  <c r="D114" i="1"/>
  <c r="D72" i="1"/>
  <c r="D30" i="1"/>
  <c r="D24" i="1"/>
  <c r="C118" i="2"/>
  <c r="C106" i="2"/>
  <c r="P106" i="3" s="1"/>
  <c r="C106" i="3" s="1"/>
  <c r="C94" i="2"/>
  <c r="P94" i="3" s="1"/>
  <c r="C94" i="3" s="1"/>
  <c r="C82" i="2"/>
  <c r="C76" i="2"/>
  <c r="P76" i="3" s="1"/>
  <c r="C76" i="3" s="1"/>
  <c r="C64" i="2"/>
  <c r="C28" i="2"/>
  <c r="P28" i="3" s="1"/>
  <c r="C28" i="3" s="1"/>
  <c r="D251" i="2"/>
  <c r="B300" i="3"/>
  <c r="B288" i="3"/>
  <c r="B276" i="3"/>
  <c r="B264" i="3"/>
  <c r="B252" i="3"/>
  <c r="B240" i="3"/>
  <c r="B228" i="3"/>
  <c r="B216" i="3"/>
  <c r="B204" i="3"/>
  <c r="B192" i="3"/>
  <c r="D274" i="1"/>
  <c r="D27" i="1"/>
  <c r="D111" i="1"/>
  <c r="D243" i="1"/>
  <c r="D90" i="1"/>
  <c r="D63" i="1"/>
  <c r="D211" i="1"/>
  <c r="D327" i="1"/>
  <c r="D267" i="1"/>
  <c r="B180" i="3"/>
  <c r="B168" i="3"/>
  <c r="B156" i="3"/>
  <c r="B150" i="3"/>
  <c r="B144" i="3"/>
  <c r="B132" i="3"/>
  <c r="B126" i="3"/>
  <c r="B120" i="3"/>
  <c r="B108" i="3"/>
  <c r="B96" i="3"/>
  <c r="B84" i="3"/>
  <c r="B72" i="3"/>
  <c r="B60" i="3"/>
  <c r="B54" i="3"/>
  <c r="B48" i="3"/>
  <c r="B42" i="3"/>
  <c r="B36" i="3"/>
  <c r="B30" i="3"/>
  <c r="B24" i="3"/>
  <c r="D328" i="2"/>
  <c r="Q328" i="3" s="1"/>
  <c r="D328" i="3" s="1"/>
  <c r="D326" i="1"/>
  <c r="D314" i="1"/>
  <c r="D278" i="1"/>
  <c r="B272" i="1"/>
  <c r="D266" i="1"/>
  <c r="B260" i="1"/>
  <c r="D242" i="1"/>
  <c r="D236" i="1"/>
  <c r="D224" i="1"/>
  <c r="D218" i="1"/>
  <c r="D206" i="1"/>
  <c r="D200" i="1"/>
  <c r="D188" i="1"/>
  <c r="D176" i="1"/>
  <c r="D170" i="1"/>
  <c r="D164" i="1"/>
  <c r="D152" i="1"/>
  <c r="D146" i="1"/>
  <c r="B140" i="1"/>
  <c r="D134" i="1"/>
  <c r="D128" i="1"/>
  <c r="D122" i="1"/>
  <c r="D116" i="1"/>
  <c r="D104" i="1"/>
  <c r="D92" i="1"/>
  <c r="D80" i="1"/>
  <c r="B56" i="1"/>
  <c r="B32" i="1"/>
  <c r="D20" i="1"/>
  <c r="D8" i="1"/>
  <c r="D234" i="2"/>
  <c r="Q234" i="3" s="1"/>
  <c r="D234" i="3" s="1"/>
  <c r="D180" i="2"/>
  <c r="Q180" i="3" s="1"/>
  <c r="D180" i="3" s="1"/>
  <c r="D13" i="1"/>
  <c r="B29" i="1"/>
  <c r="B45" i="1"/>
  <c r="D57" i="1"/>
  <c r="D81" i="1"/>
  <c r="D117" i="1"/>
  <c r="B162" i="1"/>
  <c r="B285" i="1"/>
  <c r="D32" i="1"/>
  <c r="D60" i="1"/>
  <c r="D132" i="1"/>
  <c r="D141" i="1"/>
  <c r="D169" i="1"/>
  <c r="D213" i="1"/>
  <c r="D249" i="1"/>
  <c r="D265" i="1"/>
  <c r="D285" i="1"/>
  <c r="D309" i="1"/>
  <c r="B98" i="1"/>
  <c r="C258" i="1"/>
  <c r="D322" i="1"/>
  <c r="B259" i="1"/>
  <c r="D303" i="1"/>
  <c r="D234" i="1"/>
  <c r="D43" i="1"/>
  <c r="B67" i="1"/>
  <c r="B91" i="1"/>
  <c r="B111" i="1"/>
  <c r="B135" i="1"/>
  <c r="B159" i="1"/>
  <c r="B183" i="1"/>
  <c r="D207" i="1"/>
  <c r="D235" i="1"/>
  <c r="D255" i="1"/>
  <c r="D295" i="1"/>
  <c r="D18" i="1"/>
  <c r="D54" i="1"/>
  <c r="D78" i="1"/>
  <c r="D15" i="1"/>
  <c r="D31" i="1"/>
  <c r="B55" i="1"/>
  <c r="B79" i="1"/>
  <c r="D95" i="1"/>
  <c r="D123" i="1"/>
  <c r="B223" i="1"/>
  <c r="D251" i="1"/>
  <c r="B139" i="1"/>
  <c r="B291" i="1"/>
  <c r="P7" i="3"/>
  <c r="C7" i="3" s="1"/>
  <c r="D303" i="2"/>
  <c r="Q303" i="3" s="1"/>
  <c r="D303" i="3" s="1"/>
  <c r="G64" i="2"/>
  <c r="G76" i="2"/>
  <c r="G112" i="2"/>
  <c r="T112" i="3" s="1"/>
  <c r="G112" i="3" s="1"/>
  <c r="D148" i="2"/>
  <c r="D184" i="2"/>
  <c r="Q184" i="3" s="1"/>
  <c r="D184" i="3" s="1"/>
  <c r="C268" i="2"/>
  <c r="P268" i="3" s="1"/>
  <c r="C268" i="3" s="1"/>
  <c r="B81" i="1"/>
  <c r="D85" i="2"/>
  <c r="Q85" i="3" s="1"/>
  <c r="D85" i="3" s="1"/>
  <c r="D197" i="2"/>
  <c r="Q197" i="3" s="1"/>
  <c r="D197" i="3" s="1"/>
  <c r="D233" i="2"/>
  <c r="D311" i="1"/>
  <c r="D293" i="1"/>
  <c r="D281" i="1"/>
  <c r="D269" i="1"/>
  <c r="B263" i="1"/>
  <c r="D257" i="1"/>
  <c r="D245" i="1"/>
  <c r="D233" i="1"/>
  <c r="D227" i="1"/>
  <c r="D221" i="1"/>
  <c r="B215" i="1"/>
  <c r="D209" i="1"/>
  <c r="D197" i="1"/>
  <c r="D191" i="1"/>
  <c r="D185" i="1"/>
  <c r="B179" i="1"/>
  <c r="D173" i="1"/>
  <c r="D167" i="1"/>
  <c r="D161" i="1"/>
  <c r="B155" i="1"/>
  <c r="D149" i="1"/>
  <c r="D137" i="1"/>
  <c r="D125" i="1"/>
  <c r="B119" i="1"/>
  <c r="D113" i="1"/>
  <c r="D101" i="1"/>
  <c r="D89" i="1"/>
  <c r="B83" i="1"/>
  <c r="D65" i="1"/>
  <c r="D59" i="1"/>
  <c r="D53" i="1"/>
  <c r="B47" i="1"/>
  <c r="B35" i="1"/>
  <c r="D29" i="1"/>
  <c r="B23" i="1"/>
  <c r="D17" i="1"/>
  <c r="D177" i="2"/>
  <c r="D165" i="2"/>
  <c r="Q165" i="3" s="1"/>
  <c r="D165" i="3" s="1"/>
  <c r="D111" i="2"/>
  <c r="Q111" i="3" s="1"/>
  <c r="D111" i="3" s="1"/>
  <c r="D99" i="2"/>
  <c r="Q99" i="3" s="1"/>
  <c r="D99" i="3" s="1"/>
  <c r="F87" i="2"/>
  <c r="S87" i="3" s="1"/>
  <c r="F87" i="3" s="1"/>
  <c r="D27" i="2"/>
  <c r="Q27" i="3" s="1"/>
  <c r="D27" i="3" s="1"/>
  <c r="E301" i="2"/>
  <c r="B316" i="1"/>
  <c r="B304" i="1"/>
  <c r="D298" i="1"/>
  <c r="B292" i="1"/>
  <c r="D286" i="1"/>
  <c r="B274" i="1"/>
  <c r="D262" i="1"/>
  <c r="B220" i="1"/>
  <c r="B208" i="1"/>
  <c r="B196" i="1"/>
  <c r="A1" i="5"/>
  <c r="O4" i="17"/>
  <c r="K4" i="17"/>
  <c r="G2" i="17"/>
  <c r="G1" i="17"/>
  <c r="D9" i="1"/>
  <c r="B25" i="1"/>
  <c r="D37" i="1"/>
  <c r="B53" i="1"/>
  <c r="D69" i="1"/>
  <c r="D105" i="1"/>
  <c r="B146" i="1"/>
  <c r="B205" i="1"/>
  <c r="B328" i="1"/>
  <c r="D44" i="1"/>
  <c r="B92" i="1"/>
  <c r="D148" i="1"/>
  <c r="D252" i="1"/>
  <c r="B297" i="1"/>
  <c r="D165" i="1"/>
  <c r="D193" i="1"/>
  <c r="C209" i="1"/>
  <c r="D241" i="1"/>
  <c r="D261" i="1"/>
  <c r="D277" i="1"/>
  <c r="D297" i="1"/>
  <c r="D321" i="1"/>
  <c r="C282" i="1"/>
  <c r="B303" i="1"/>
  <c r="D325" i="1"/>
  <c r="D51" i="1"/>
  <c r="B207" i="1"/>
  <c r="B235" i="1"/>
  <c r="B255" i="1"/>
  <c r="B295" i="1"/>
  <c r="B106" i="1"/>
  <c r="D7" i="1"/>
  <c r="D39" i="1"/>
  <c r="B63" i="1"/>
  <c r="B123" i="1"/>
  <c r="D151" i="1"/>
  <c r="D175" i="1"/>
  <c r="B103" i="1"/>
  <c r="D319" i="2"/>
  <c r="Q319" i="3" s="1"/>
  <c r="D319" i="3" s="1"/>
  <c r="C136" i="2"/>
  <c r="P136" i="3" s="1"/>
  <c r="C136" i="3" s="1"/>
  <c r="C172" i="2"/>
  <c r="P172" i="3" s="1"/>
  <c r="C172" i="3" s="1"/>
  <c r="C212" i="2"/>
  <c r="P212" i="3" s="1"/>
  <c r="C212" i="3" s="1"/>
  <c r="C328" i="2"/>
  <c r="D37" i="2"/>
  <c r="Q37" i="3" s="1"/>
  <c r="D37" i="3" s="1"/>
  <c r="D61" i="2"/>
  <c r="Q61" i="3" s="1"/>
  <c r="D61" i="3" s="1"/>
  <c r="D97" i="2"/>
  <c r="D245" i="2"/>
  <c r="Q245" i="3" s="1"/>
  <c r="D245" i="3" s="1"/>
  <c r="D305" i="1"/>
  <c r="C23" i="1"/>
  <c r="C83" i="1"/>
  <c r="D143" i="1"/>
  <c r="C167" i="1"/>
  <c r="E35" i="2"/>
  <c r="R35" i="3" s="1"/>
  <c r="E35" i="3" s="1"/>
  <c r="E67" i="2"/>
  <c r="G87" i="2"/>
  <c r="T87" i="3" s="1"/>
  <c r="G87" i="3" s="1"/>
  <c r="E111" i="2"/>
  <c r="R111" i="3" s="1"/>
  <c r="E111" i="3" s="1"/>
  <c r="E147" i="2"/>
  <c r="R147" i="3" s="1"/>
  <c r="E147" i="3" s="1"/>
  <c r="E41" i="2"/>
  <c r="R41" i="3" s="1"/>
  <c r="E41" i="3" s="1"/>
  <c r="E216" i="2"/>
  <c r="R216" i="3" s="1"/>
  <c r="E216" i="3" s="1"/>
  <c r="D30" i="2"/>
  <c r="D24" i="2"/>
  <c r="Q24" i="3" s="1"/>
  <c r="D24" i="3" s="1"/>
  <c r="B101" i="2"/>
  <c r="D239" i="1"/>
  <c r="D275" i="1"/>
  <c r="D35" i="1"/>
  <c r="C119" i="1"/>
  <c r="C323" i="1"/>
  <c r="D71" i="1"/>
  <c r="D107" i="1"/>
  <c r="D135" i="2"/>
  <c r="Q135" i="3" s="1"/>
  <c r="D135" i="3" s="1"/>
  <c r="C75" i="2"/>
  <c r="P75" i="3" s="1"/>
  <c r="C75" i="3" s="1"/>
  <c r="C51" i="2"/>
  <c r="P51" i="3" s="1"/>
  <c r="C51" i="3" s="1"/>
  <c r="E99" i="2"/>
  <c r="R99" i="3" s="1"/>
  <c r="E99" i="3" s="1"/>
  <c r="C65" i="1"/>
  <c r="C29" i="1"/>
  <c r="D77" i="1"/>
  <c r="C245" i="1"/>
  <c r="C257" i="1"/>
  <c r="C269" i="1"/>
  <c r="C281" i="1"/>
  <c r="C293" i="1"/>
  <c r="C329" i="1"/>
  <c r="B287" i="1"/>
  <c r="D23" i="1"/>
  <c r="C35" i="1"/>
  <c r="D83" i="1"/>
  <c r="D119" i="1"/>
  <c r="D323" i="1"/>
  <c r="C170" i="1"/>
  <c r="C47" i="1"/>
  <c r="B95" i="1"/>
  <c r="B131" i="1"/>
  <c r="B203" i="1"/>
  <c r="B251" i="1"/>
  <c r="D279" i="1"/>
  <c r="D103" i="1"/>
  <c r="C227" i="1"/>
  <c r="D39" i="2"/>
  <c r="Q39" i="3" s="1"/>
  <c r="D39" i="3" s="1"/>
  <c r="D15" i="2"/>
  <c r="Q15" i="3" s="1"/>
  <c r="D15" i="3" s="1"/>
  <c r="D123" i="2"/>
  <c r="Q123" i="3" s="1"/>
  <c r="D123" i="3" s="1"/>
  <c r="E59" i="2"/>
  <c r="R59" i="3" s="1"/>
  <c r="E59" i="3" s="1"/>
  <c r="E91" i="2"/>
  <c r="R91" i="3" s="1"/>
  <c r="E91" i="3" s="1"/>
  <c r="G111" i="2"/>
  <c r="T111" i="3" s="1"/>
  <c r="G111" i="3" s="1"/>
  <c r="G135" i="2"/>
  <c r="T135" i="3" s="1"/>
  <c r="G135" i="3" s="1"/>
  <c r="F147" i="2"/>
  <c r="S147" i="3" s="1"/>
  <c r="F147" i="3" s="1"/>
  <c r="E167" i="2"/>
  <c r="R167" i="3" s="1"/>
  <c r="E167" i="3" s="1"/>
  <c r="C6" i="2"/>
  <c r="P6" i="3" s="1"/>
  <c r="C6" i="3" s="1"/>
  <c r="G244" i="2"/>
  <c r="D316" i="2"/>
  <c r="Q316" i="3" s="1"/>
  <c r="D316" i="3" s="1"/>
  <c r="E153" i="2"/>
  <c r="D289" i="2"/>
  <c r="Q289" i="3" s="1"/>
  <c r="D289" i="3" s="1"/>
  <c r="D325" i="2"/>
  <c r="Q325" i="3" s="1"/>
  <c r="D325" i="3" s="1"/>
  <c r="B221" i="1"/>
  <c r="B269" i="1"/>
  <c r="C17" i="1"/>
  <c r="B329" i="1"/>
  <c r="C317" i="1"/>
  <c r="B11" i="1"/>
  <c r="C59" i="1"/>
  <c r="B191" i="1"/>
  <c r="B311" i="1"/>
  <c r="E83" i="2"/>
  <c r="R83" i="3" s="1"/>
  <c r="E83" i="3" s="1"/>
  <c r="E115" i="2"/>
  <c r="R115" i="3" s="1"/>
  <c r="E115" i="3" s="1"/>
  <c r="E139" i="2"/>
  <c r="R139" i="3" s="1"/>
  <c r="E139" i="3" s="1"/>
  <c r="E64" i="2"/>
  <c r="R64" i="3" s="1"/>
  <c r="E64" i="3" s="1"/>
  <c r="E125" i="2"/>
  <c r="B89" i="1"/>
  <c r="C113" i="1"/>
  <c r="D41" i="1"/>
  <c r="B233" i="1"/>
  <c r="B239" i="1"/>
  <c r="B275" i="1"/>
  <c r="B71" i="1"/>
  <c r="B107" i="1"/>
  <c r="B143" i="1"/>
  <c r="E19" i="2"/>
  <c r="R19" i="3" s="1"/>
  <c r="E19" i="3" s="1"/>
  <c r="G39" i="2"/>
  <c r="F63" i="2"/>
  <c r="S63" i="3" s="1"/>
  <c r="F63" i="3" s="1"/>
  <c r="E131" i="2"/>
  <c r="R131" i="3" s="1"/>
  <c r="E131" i="3" s="1"/>
  <c r="E179" i="2"/>
  <c r="E235" i="2"/>
  <c r="R235" i="3" s="1"/>
  <c r="E235" i="3" s="1"/>
  <c r="E52" i="2"/>
  <c r="C117" i="2"/>
  <c r="E285" i="2"/>
  <c r="R285" i="3" s="1"/>
  <c r="E285" i="3" s="1"/>
  <c r="E274" i="2"/>
  <c r="D250" i="1"/>
  <c r="D238" i="1"/>
  <c r="D226" i="1"/>
  <c r="D202" i="1"/>
  <c r="D190" i="1"/>
  <c r="D184" i="1"/>
  <c r="B172" i="1"/>
  <c r="D166" i="1"/>
  <c r="D154" i="1"/>
  <c r="B130" i="1"/>
  <c r="B124" i="1"/>
  <c r="B82" i="1"/>
  <c r="B76" i="1"/>
  <c r="C89" i="1"/>
  <c r="D315" i="1"/>
  <c r="D199" i="1"/>
  <c r="D247" i="1"/>
  <c r="D283" i="1"/>
  <c r="C63" i="2"/>
  <c r="P63" i="3" s="1"/>
  <c r="C63" i="3" s="1"/>
  <c r="E11" i="2"/>
  <c r="R11" i="3" s="1"/>
  <c r="E11" i="3" s="1"/>
  <c r="E43" i="2"/>
  <c r="R43" i="3" s="1"/>
  <c r="E43" i="3" s="1"/>
  <c r="C184" i="2"/>
  <c r="P184" i="3" s="1"/>
  <c r="C184" i="3" s="1"/>
  <c r="D220" i="2"/>
  <c r="Q220" i="3" s="1"/>
  <c r="D220" i="3" s="1"/>
  <c r="D292" i="2"/>
  <c r="B105" i="1"/>
  <c r="E21" i="2"/>
  <c r="R21" i="3" s="1"/>
  <c r="E21" i="3" s="1"/>
  <c r="E53" i="2"/>
  <c r="E73" i="2"/>
  <c r="R73" i="3" s="1"/>
  <c r="E73" i="3" s="1"/>
  <c r="E85" i="2"/>
  <c r="D230" i="1"/>
  <c r="C230" i="1"/>
  <c r="D38" i="1"/>
  <c r="B38" i="1"/>
  <c r="D26" i="1"/>
  <c r="B26" i="1"/>
  <c r="C14" i="1"/>
  <c r="B14" i="1"/>
  <c r="G324" i="2"/>
  <c r="T324" i="3" s="1"/>
  <c r="G324" i="3" s="1"/>
  <c r="E324" i="2"/>
  <c r="R324" i="3" s="1"/>
  <c r="E324" i="3" s="1"/>
  <c r="G288" i="2"/>
  <c r="C288" i="2"/>
  <c r="P288" i="3" s="1"/>
  <c r="C288" i="3" s="1"/>
  <c r="B288" i="2"/>
  <c r="G270" i="2"/>
  <c r="T270" i="3" s="1"/>
  <c r="G270" i="3" s="1"/>
  <c r="B270" i="2"/>
  <c r="C228" i="2"/>
  <c r="P228" i="3" s="1"/>
  <c r="C228" i="3" s="1"/>
  <c r="E228" i="2"/>
  <c r="R228" i="3" s="1"/>
  <c r="E228" i="3" s="1"/>
  <c r="D228" i="2"/>
  <c r="Q228" i="3" s="1"/>
  <c r="D228" i="3" s="1"/>
  <c r="B222" i="2"/>
  <c r="E222" i="2"/>
  <c r="R222" i="3" s="1"/>
  <c r="E222" i="3" s="1"/>
  <c r="C204" i="2"/>
  <c r="P204" i="3" s="1"/>
  <c r="C204" i="3" s="1"/>
  <c r="D204" i="2"/>
  <c r="Q204" i="3" s="1"/>
  <c r="D204" i="3" s="1"/>
  <c r="G204" i="2"/>
  <c r="T204" i="3" s="1"/>
  <c r="G204" i="3" s="1"/>
  <c r="B204" i="2"/>
  <c r="G36" i="2"/>
  <c r="T36" i="3" s="1"/>
  <c r="G36" i="3" s="1"/>
  <c r="C36" i="2"/>
  <c r="P36" i="3" s="1"/>
  <c r="C36" i="3" s="1"/>
  <c r="D36" i="2"/>
  <c r="Q36" i="3" s="1"/>
  <c r="D36" i="3" s="1"/>
  <c r="B36" i="2"/>
  <c r="G18" i="2"/>
  <c r="T18" i="3" s="1"/>
  <c r="G18" i="3" s="1"/>
  <c r="B18" i="2"/>
  <c r="B242" i="1"/>
  <c r="D56" i="1"/>
  <c r="B80" i="1"/>
  <c r="C92" i="1"/>
  <c r="C116" i="1"/>
  <c r="B314" i="1"/>
  <c r="C326" i="1"/>
  <c r="P143" i="3"/>
  <c r="C143" i="3" s="1"/>
  <c r="P119" i="3"/>
  <c r="C119" i="3" s="1"/>
  <c r="R27" i="3"/>
  <c r="E27" i="3" s="1"/>
  <c r="T47" i="3"/>
  <c r="G47" i="3" s="1"/>
  <c r="S71" i="3"/>
  <c r="F71" i="3" s="1"/>
  <c r="R107" i="3"/>
  <c r="E107" i="3" s="1"/>
  <c r="T175" i="3"/>
  <c r="G175" i="3" s="1"/>
  <c r="B46" i="2"/>
  <c r="B322" i="2"/>
  <c r="B40" i="2"/>
  <c r="E204" i="2"/>
  <c r="R204" i="3" s="1"/>
  <c r="E204" i="3" s="1"/>
  <c r="G228" i="2"/>
  <c r="B190" i="2"/>
  <c r="G114" i="2"/>
  <c r="D302" i="1"/>
  <c r="C302" i="1"/>
  <c r="B302" i="1"/>
  <c r="D194" i="1"/>
  <c r="C194" i="1"/>
  <c r="D158" i="1"/>
  <c r="C158" i="1"/>
  <c r="B158" i="1"/>
  <c r="D110" i="1"/>
  <c r="B110" i="1"/>
  <c r="C192" i="2"/>
  <c r="P192" i="3" s="1"/>
  <c r="C192" i="3" s="1"/>
  <c r="G192" i="2"/>
  <c r="D186" i="2"/>
  <c r="Q186" i="3" s="1"/>
  <c r="D186" i="3" s="1"/>
  <c r="B186" i="2"/>
  <c r="C174" i="2"/>
  <c r="P174" i="3" s="1"/>
  <c r="C174" i="3" s="1"/>
  <c r="B174" i="2"/>
  <c r="G168" i="2"/>
  <c r="T168" i="3" s="1"/>
  <c r="G168" i="3" s="1"/>
  <c r="E168" i="2"/>
  <c r="R168" i="3" s="1"/>
  <c r="E168" i="3" s="1"/>
  <c r="C168" i="2"/>
  <c r="P168" i="3" s="1"/>
  <c r="C168" i="3" s="1"/>
  <c r="G156" i="2"/>
  <c r="E156" i="2"/>
  <c r="C156" i="2"/>
  <c r="P156" i="3" s="1"/>
  <c r="C156" i="3" s="1"/>
  <c r="B156" i="2"/>
  <c r="B78" i="2"/>
  <c r="G78" i="2"/>
  <c r="T78" i="3" s="1"/>
  <c r="G78" i="3" s="1"/>
  <c r="D48" i="2"/>
  <c r="Q48" i="3" s="1"/>
  <c r="D48" i="3" s="1"/>
  <c r="G48" i="2"/>
  <c r="T48" i="3" s="1"/>
  <c r="G48" i="3" s="1"/>
  <c r="C48" i="2"/>
  <c r="P48" i="3" s="1"/>
  <c r="C48" i="3" s="1"/>
  <c r="B165" i="2"/>
  <c r="B89" i="2"/>
  <c r="B73" i="2"/>
  <c r="B61" i="2"/>
  <c r="B179" i="2"/>
  <c r="B103" i="2"/>
  <c r="B47" i="2"/>
  <c r="B316" i="2"/>
  <c r="B268" i="2"/>
  <c r="B226" i="2"/>
  <c r="B178" i="2"/>
  <c r="B130" i="2"/>
  <c r="B94" i="2"/>
  <c r="B23" i="2"/>
  <c r="B262" i="2"/>
  <c r="B187" i="2"/>
  <c r="B139" i="2"/>
  <c r="B91" i="2"/>
  <c r="B35" i="2"/>
  <c r="B202" i="2"/>
  <c r="B125" i="2"/>
  <c r="B57" i="2"/>
  <c r="B49" i="2"/>
  <c r="B37" i="2"/>
  <c r="B25" i="2"/>
  <c r="B13" i="2"/>
  <c r="B259" i="2"/>
  <c r="B95" i="2"/>
  <c r="B11" i="2"/>
  <c r="B263" i="2"/>
  <c r="B220" i="2"/>
  <c r="B172" i="2"/>
  <c r="B124" i="2"/>
  <c r="B86" i="2"/>
  <c r="B256" i="2"/>
  <c r="B166" i="2"/>
  <c r="B128" i="2"/>
  <c r="B83" i="2"/>
  <c r="B19" i="2"/>
  <c r="B313" i="2"/>
  <c r="B301" i="2"/>
  <c r="B109" i="2"/>
  <c r="B97" i="2"/>
  <c r="B77" i="2"/>
  <c r="B9" i="2"/>
  <c r="B238" i="2"/>
  <c r="B163" i="2"/>
  <c r="B79" i="2"/>
  <c r="B100" i="2"/>
  <c r="B76" i="2"/>
  <c r="B64" i="2"/>
  <c r="B52" i="2"/>
  <c r="B28" i="2"/>
  <c r="B215" i="2"/>
  <c r="B167" i="2"/>
  <c r="B119" i="2"/>
  <c r="B326" i="2"/>
  <c r="B251" i="2"/>
  <c r="B160" i="2"/>
  <c r="B123" i="2"/>
  <c r="B75" i="2"/>
  <c r="B154" i="2"/>
  <c r="B181" i="2"/>
  <c r="B145" i="2"/>
  <c r="B65" i="2"/>
  <c r="B21" i="2"/>
  <c r="B131" i="2"/>
  <c r="B71" i="2"/>
  <c r="B295" i="2"/>
  <c r="B70" i="2"/>
  <c r="B219" i="2"/>
  <c r="B155" i="2"/>
  <c r="B118" i="2"/>
  <c r="B67" i="2"/>
  <c r="B205" i="2"/>
  <c r="B169" i="2"/>
  <c r="B133" i="2"/>
  <c r="B85" i="2"/>
  <c r="B53" i="2"/>
  <c r="B41" i="2"/>
  <c r="B29" i="2"/>
  <c r="B211" i="2"/>
  <c r="B63" i="2"/>
  <c r="B279" i="2"/>
  <c r="B247" i="2"/>
  <c r="B112" i="2"/>
  <c r="B59" i="2"/>
  <c r="C272" i="1"/>
  <c r="B248" i="1"/>
  <c r="B290" i="1"/>
  <c r="B104" i="1"/>
  <c r="B116" i="1"/>
  <c r="C128" i="1"/>
  <c r="C140" i="1"/>
  <c r="C152" i="1"/>
  <c r="C164" i="1"/>
  <c r="C236" i="1"/>
  <c r="D272" i="1"/>
  <c r="D296" i="1"/>
  <c r="B206" i="1"/>
  <c r="C110" i="1"/>
  <c r="C26" i="1"/>
  <c r="C206" i="1"/>
  <c r="B192" i="2"/>
  <c r="B102" i="2"/>
  <c r="B307" i="2"/>
  <c r="B214" i="2"/>
  <c r="D86" i="1"/>
  <c r="B86" i="1"/>
  <c r="G312" i="2"/>
  <c r="D312" i="2"/>
  <c r="Q312" i="3" s="1"/>
  <c r="D312" i="3" s="1"/>
  <c r="B312" i="2"/>
  <c r="C312" i="2"/>
  <c r="B306" i="2"/>
  <c r="D306" i="2"/>
  <c r="Q306" i="3" s="1"/>
  <c r="D306" i="3" s="1"/>
  <c r="G252" i="2"/>
  <c r="T252" i="3" s="1"/>
  <c r="G252" i="3" s="1"/>
  <c r="E252" i="2"/>
  <c r="R252" i="3" s="1"/>
  <c r="E252" i="3" s="1"/>
  <c r="B252" i="2"/>
  <c r="G240" i="2"/>
  <c r="T240" i="3" s="1"/>
  <c r="G240" i="3" s="1"/>
  <c r="E240" i="2"/>
  <c r="R240" i="3" s="1"/>
  <c r="E240" i="3" s="1"/>
  <c r="C240" i="2"/>
  <c r="P240" i="3" s="1"/>
  <c r="C240" i="3" s="1"/>
  <c r="D240" i="2"/>
  <c r="Q240" i="3" s="1"/>
  <c r="D240" i="3" s="1"/>
  <c r="G180" i="2"/>
  <c r="T180" i="3" s="1"/>
  <c r="G180" i="3" s="1"/>
  <c r="E180" i="2"/>
  <c r="D162" i="2"/>
  <c r="Q162" i="3" s="1"/>
  <c r="D162" i="3" s="1"/>
  <c r="B162" i="2"/>
  <c r="G108" i="2"/>
  <c r="T108" i="3" s="1"/>
  <c r="G108" i="3" s="1"/>
  <c r="C108" i="2"/>
  <c r="P108" i="3" s="1"/>
  <c r="C108" i="3" s="1"/>
  <c r="D108" i="2"/>
  <c r="Q108" i="3" s="1"/>
  <c r="D108" i="3" s="1"/>
  <c r="B108" i="2"/>
  <c r="D96" i="2"/>
  <c r="Q96" i="3" s="1"/>
  <c r="D96" i="3" s="1"/>
  <c r="G96" i="2"/>
  <c r="T96" i="3" s="1"/>
  <c r="G96" i="3" s="1"/>
  <c r="E96" i="2"/>
  <c r="R96" i="3" s="1"/>
  <c r="E96" i="3" s="1"/>
  <c r="G84" i="2"/>
  <c r="T84" i="3" s="1"/>
  <c r="G84" i="3" s="1"/>
  <c r="C84" i="2"/>
  <c r="P84" i="3" s="1"/>
  <c r="C84" i="3" s="1"/>
  <c r="D84" i="2"/>
  <c r="Q84" i="3" s="1"/>
  <c r="D84" i="3" s="1"/>
  <c r="B84" i="2"/>
  <c r="D72" i="2"/>
  <c r="Q72" i="3" s="1"/>
  <c r="D72" i="3" s="1"/>
  <c r="B72" i="2"/>
  <c r="G72" i="2"/>
  <c r="T72" i="3" s="1"/>
  <c r="G72" i="3" s="1"/>
  <c r="F72" i="2"/>
  <c r="S72" i="3" s="1"/>
  <c r="F72" i="3" s="1"/>
  <c r="E60" i="2"/>
  <c r="R60" i="3" s="1"/>
  <c r="E60" i="3" s="1"/>
  <c r="C60" i="2"/>
  <c r="D60" i="2"/>
  <c r="Q60" i="3" s="1"/>
  <c r="D60" i="3" s="1"/>
  <c r="B60" i="2"/>
  <c r="G60" i="2"/>
  <c r="T60" i="3" s="1"/>
  <c r="G60" i="3" s="1"/>
  <c r="B24" i="2"/>
  <c r="G24" i="2"/>
  <c r="T24" i="3" s="1"/>
  <c r="G24" i="3" s="1"/>
  <c r="C24" i="2"/>
  <c r="P24" i="3" s="1"/>
  <c r="C24" i="3" s="1"/>
  <c r="D68" i="1"/>
  <c r="C104" i="1"/>
  <c r="B170" i="1"/>
  <c r="B296" i="1"/>
  <c r="B8" i="1"/>
  <c r="B20" i="1"/>
  <c r="B164" i="1"/>
  <c r="C260" i="1"/>
  <c r="D320" i="1"/>
  <c r="B74" i="1"/>
  <c r="C122" i="1"/>
  <c r="C266" i="1"/>
  <c r="D14" i="1"/>
  <c r="C218" i="1"/>
  <c r="B283" i="2"/>
  <c r="B151" i="2"/>
  <c r="B16" i="2"/>
  <c r="G300" i="2"/>
  <c r="T300" i="3" s="1"/>
  <c r="G300" i="3" s="1"/>
  <c r="B330" i="2"/>
  <c r="B284" i="1"/>
  <c r="C284" i="1"/>
  <c r="D254" i="1"/>
  <c r="C254" i="1"/>
  <c r="B254" i="1"/>
  <c r="B182" i="1"/>
  <c r="D182" i="1"/>
  <c r="G276" i="2"/>
  <c r="C276" i="2"/>
  <c r="P276" i="3" s="1"/>
  <c r="C276" i="3" s="1"/>
  <c r="G144" i="2"/>
  <c r="T144" i="3" s="1"/>
  <c r="G144" i="3" s="1"/>
  <c r="E144" i="2"/>
  <c r="R144" i="3" s="1"/>
  <c r="E144" i="3" s="1"/>
  <c r="D144" i="2"/>
  <c r="Q144" i="3" s="1"/>
  <c r="D144" i="3" s="1"/>
  <c r="D138" i="2"/>
  <c r="Q138" i="3" s="1"/>
  <c r="D138" i="3" s="1"/>
  <c r="B138" i="2"/>
  <c r="G132" i="2"/>
  <c r="T132" i="3" s="1"/>
  <c r="G132" i="3" s="1"/>
  <c r="E132" i="2"/>
  <c r="R132" i="3" s="1"/>
  <c r="E132" i="3" s="1"/>
  <c r="C132" i="2"/>
  <c r="P132" i="3" s="1"/>
  <c r="C132" i="3" s="1"/>
  <c r="D132" i="2"/>
  <c r="Q132" i="3" s="1"/>
  <c r="D132" i="3" s="1"/>
  <c r="G120" i="2"/>
  <c r="T120" i="3" s="1"/>
  <c r="G120" i="3" s="1"/>
  <c r="E120" i="2"/>
  <c r="C120" i="2"/>
  <c r="P120" i="3" s="1"/>
  <c r="C120" i="3" s="1"/>
  <c r="G12" i="2"/>
  <c r="T12" i="3" s="1"/>
  <c r="G12" i="3" s="1"/>
  <c r="C12" i="2"/>
  <c r="P12" i="3" s="1"/>
  <c r="C12" i="3" s="1"/>
  <c r="D12" i="2"/>
  <c r="Q12" i="3" s="1"/>
  <c r="D12" i="3" s="1"/>
  <c r="B12" i="2"/>
  <c r="D212" i="1"/>
  <c r="D98" i="1"/>
  <c r="B128" i="1"/>
  <c r="D140" i="1"/>
  <c r="B152" i="1"/>
  <c r="C176" i="1"/>
  <c r="B188" i="1"/>
  <c r="C200" i="1"/>
  <c r="B122" i="1"/>
  <c r="C8" i="1"/>
  <c r="C20" i="1"/>
  <c r="C32" i="1"/>
  <c r="B44" i="1"/>
  <c r="B176" i="1"/>
  <c r="C188" i="1"/>
  <c r="C224" i="1"/>
  <c r="D260" i="1"/>
  <c r="D74" i="1"/>
  <c r="C134" i="1"/>
  <c r="D290" i="1"/>
  <c r="C278" i="1"/>
  <c r="B62" i="1"/>
  <c r="C242" i="1"/>
  <c r="B199" i="2"/>
  <c r="D168" i="2"/>
  <c r="Q168" i="3" s="1"/>
  <c r="D168" i="3" s="1"/>
  <c r="E192" i="2"/>
  <c r="R192" i="3" s="1"/>
  <c r="E192" i="3" s="1"/>
  <c r="D284" i="1"/>
  <c r="C86" i="1"/>
  <c r="B218" i="1"/>
  <c r="B50" i="1"/>
  <c r="D62" i="1"/>
  <c r="C146" i="1"/>
  <c r="Q151" i="3"/>
  <c r="D151" i="3" s="1"/>
  <c r="P91" i="3"/>
  <c r="C91" i="3" s="1"/>
  <c r="Q31" i="3"/>
  <c r="D31" i="3" s="1"/>
  <c r="P67" i="3"/>
  <c r="C67" i="3" s="1"/>
  <c r="S23" i="3"/>
  <c r="F23" i="3" s="1"/>
  <c r="B43" i="2"/>
  <c r="B231" i="2"/>
  <c r="F60" i="2"/>
  <c r="S60" i="3" s="1"/>
  <c r="F60" i="3" s="1"/>
  <c r="B96" i="2"/>
  <c r="G216" i="2"/>
  <c r="T216" i="3" s="1"/>
  <c r="G216" i="3" s="1"/>
  <c r="C324" i="2"/>
  <c r="P324" i="3" s="1"/>
  <c r="C324" i="3" s="1"/>
  <c r="B55" i="2"/>
  <c r="B217" i="2"/>
  <c r="P47" i="3"/>
  <c r="C47" i="3" s="1"/>
  <c r="P23" i="3"/>
  <c r="C23" i="3" s="1"/>
  <c r="S31" i="3"/>
  <c r="F31" i="3" s="1"/>
  <c r="T39" i="3"/>
  <c r="G39" i="3" s="1"/>
  <c r="R51" i="3"/>
  <c r="E51" i="3" s="1"/>
  <c r="T71" i="3"/>
  <c r="G71" i="3" s="1"/>
  <c r="S95" i="3"/>
  <c r="F95" i="3" s="1"/>
  <c r="P8" i="3"/>
  <c r="C8" i="3" s="1"/>
  <c r="P104" i="3"/>
  <c r="C104" i="3" s="1"/>
  <c r="D268" i="2"/>
  <c r="Q268" i="3" s="1"/>
  <c r="D268" i="3" s="1"/>
  <c r="D281" i="2"/>
  <c r="B10" i="2"/>
  <c r="B323" i="2"/>
  <c r="B317" i="2"/>
  <c r="B275" i="2"/>
  <c r="B227" i="2"/>
  <c r="I12" i="2"/>
  <c r="P175" i="3"/>
  <c r="C175" i="3" s="1"/>
  <c r="P171" i="3"/>
  <c r="C171" i="3" s="1"/>
  <c r="P35" i="3"/>
  <c r="C35" i="3" s="1"/>
  <c r="P147" i="3"/>
  <c r="C147" i="3" s="1"/>
  <c r="S55" i="3"/>
  <c r="F55" i="3" s="1"/>
  <c r="R75" i="3"/>
  <c r="E75" i="3" s="1"/>
  <c r="T95" i="3"/>
  <c r="G95" i="3" s="1"/>
  <c r="P40" i="3"/>
  <c r="C40" i="3" s="1"/>
  <c r="B286" i="2"/>
  <c r="B250" i="2"/>
  <c r="B58" i="2"/>
  <c r="P79" i="3"/>
  <c r="C79" i="3" s="1"/>
  <c r="P163" i="3"/>
  <c r="C163" i="3" s="1"/>
  <c r="T55" i="3"/>
  <c r="G55" i="3" s="1"/>
  <c r="R67" i="3"/>
  <c r="E67" i="3" s="1"/>
  <c r="T79" i="3"/>
  <c r="G79" i="3" s="1"/>
  <c r="T119" i="3"/>
  <c r="G119" i="3" s="1"/>
  <c r="T163" i="3"/>
  <c r="G163" i="3" s="1"/>
  <c r="B227" i="1"/>
  <c r="B167" i="1"/>
  <c r="B137" i="1"/>
  <c r="B113" i="1"/>
  <c r="B101" i="1"/>
  <c r="B195" i="2"/>
  <c r="E293" i="2"/>
  <c r="R293" i="3" s="1"/>
  <c r="E293" i="3" s="1"/>
  <c r="S79" i="3"/>
  <c r="F79" i="3" s="1"/>
  <c r="R123" i="3"/>
  <c r="E123" i="3" s="1"/>
  <c r="P20" i="3"/>
  <c r="C20" i="3" s="1"/>
  <c r="D118" i="1"/>
  <c r="D106" i="1"/>
  <c r="D88" i="1"/>
  <c r="D46" i="1"/>
  <c r="B40" i="1"/>
  <c r="B28" i="1"/>
  <c r="D22" i="1"/>
  <c r="D16" i="1"/>
  <c r="B320" i="2"/>
  <c r="B284" i="2"/>
  <c r="B230" i="2"/>
  <c r="B146" i="2"/>
  <c r="B134" i="2"/>
  <c r="B26" i="2"/>
  <c r="F108" i="2"/>
  <c r="S108" i="3" s="1"/>
  <c r="F108" i="3" s="1"/>
  <c r="Q67" i="3"/>
  <c r="D67" i="3" s="1"/>
  <c r="Q179" i="3"/>
  <c r="D179" i="3" s="1"/>
  <c r="P103" i="3"/>
  <c r="C103" i="3" s="1"/>
  <c r="T23" i="3"/>
  <c r="G23" i="3" s="1"/>
  <c r="B12" i="3"/>
  <c r="E205" i="2"/>
  <c r="R205" i="3" s="1"/>
  <c r="E205" i="3" s="1"/>
  <c r="E265" i="2"/>
  <c r="B321" i="2"/>
  <c r="E195" i="2"/>
  <c r="R195" i="3" s="1"/>
  <c r="E195" i="3" s="1"/>
  <c r="D299" i="1"/>
  <c r="C299" i="1"/>
  <c r="D263" i="1"/>
  <c r="C263" i="1"/>
  <c r="D215" i="1"/>
  <c r="C215" i="1"/>
  <c r="D179" i="1"/>
  <c r="C179" i="1"/>
  <c r="D155" i="1"/>
  <c r="C155" i="1"/>
  <c r="G6" i="2"/>
  <c r="D6" i="2"/>
  <c r="Q6" i="3" s="1"/>
  <c r="D6" i="3" s="1"/>
  <c r="G327" i="2"/>
  <c r="T327" i="3" s="1"/>
  <c r="G327" i="3" s="1"/>
  <c r="D327" i="2"/>
  <c r="Q327" i="3" s="1"/>
  <c r="D327" i="3" s="1"/>
  <c r="C327" i="2"/>
  <c r="P327" i="3" s="1"/>
  <c r="C327" i="3" s="1"/>
  <c r="E315" i="2"/>
  <c r="B315" i="2"/>
  <c r="B309" i="2"/>
  <c r="E309" i="2"/>
  <c r="R309" i="3" s="1"/>
  <c r="E309" i="3" s="1"/>
  <c r="D309" i="2"/>
  <c r="Q309" i="3" s="1"/>
  <c r="D309" i="3" s="1"/>
  <c r="G303" i="2"/>
  <c r="T303" i="3" s="1"/>
  <c r="G303" i="3" s="1"/>
  <c r="C303" i="2"/>
  <c r="P303" i="3" s="1"/>
  <c r="C303" i="3" s="1"/>
  <c r="E297" i="2"/>
  <c r="G297" i="2"/>
  <c r="T297" i="3" s="1"/>
  <c r="G297" i="3" s="1"/>
  <c r="B297" i="2"/>
  <c r="E291" i="2"/>
  <c r="R291" i="3" s="1"/>
  <c r="E291" i="3" s="1"/>
  <c r="B291" i="2"/>
  <c r="D273" i="2"/>
  <c r="Q273" i="3" s="1"/>
  <c r="D273" i="3" s="1"/>
  <c r="E273" i="2"/>
  <c r="R273" i="3" s="1"/>
  <c r="E273" i="3" s="1"/>
  <c r="E261" i="2"/>
  <c r="B261" i="2"/>
  <c r="G261" i="2"/>
  <c r="T261" i="3" s="1"/>
  <c r="G261" i="3" s="1"/>
  <c r="D225" i="2"/>
  <c r="Q225" i="3" s="1"/>
  <c r="D225" i="3" s="1"/>
  <c r="B225" i="2"/>
  <c r="E225" i="2"/>
  <c r="R225" i="3" s="1"/>
  <c r="E225" i="3" s="1"/>
  <c r="B213" i="2"/>
  <c r="D213" i="2"/>
  <c r="Q213" i="3" s="1"/>
  <c r="D213" i="3" s="1"/>
  <c r="G201" i="2"/>
  <c r="T201" i="3" s="1"/>
  <c r="G201" i="3" s="1"/>
  <c r="E201" i="2"/>
  <c r="D201" i="2"/>
  <c r="Q201" i="3" s="1"/>
  <c r="D201" i="3" s="1"/>
  <c r="E189" i="2"/>
  <c r="D189" i="2"/>
  <c r="B189" i="2"/>
  <c r="G189" i="2"/>
  <c r="T189" i="3" s="1"/>
  <c r="G189" i="3" s="1"/>
  <c r="E183" i="2"/>
  <c r="R183" i="3" s="1"/>
  <c r="E183" i="3" s="1"/>
  <c r="C183" i="2"/>
  <c r="P183" i="3" s="1"/>
  <c r="C183" i="3" s="1"/>
  <c r="D183" i="2"/>
  <c r="Q183" i="3" s="1"/>
  <c r="D183" i="3" s="1"/>
  <c r="B183" i="2"/>
  <c r="G183" i="2"/>
  <c r="T183" i="3" s="1"/>
  <c r="G183" i="3" s="1"/>
  <c r="G177" i="2"/>
  <c r="T177" i="3" s="1"/>
  <c r="G177" i="3" s="1"/>
  <c r="B177" i="2"/>
  <c r="G171" i="2"/>
  <c r="T171" i="3" s="1"/>
  <c r="G171" i="3" s="1"/>
  <c r="B171" i="2"/>
  <c r="E171" i="2"/>
  <c r="R171" i="3" s="1"/>
  <c r="E171" i="3" s="1"/>
  <c r="D171" i="2"/>
  <c r="Q171" i="3" s="1"/>
  <c r="D171" i="3" s="1"/>
  <c r="G165" i="2"/>
  <c r="T165" i="3" s="1"/>
  <c r="G165" i="3" s="1"/>
  <c r="E165" i="2"/>
  <c r="R165" i="3" s="1"/>
  <c r="E165" i="3" s="1"/>
  <c r="G159" i="2"/>
  <c r="T159" i="3" s="1"/>
  <c r="G159" i="3" s="1"/>
  <c r="D159" i="2"/>
  <c r="Q159" i="3" s="1"/>
  <c r="D159" i="3" s="1"/>
  <c r="E159" i="2"/>
  <c r="R159" i="3" s="1"/>
  <c r="E159" i="3" s="1"/>
  <c r="C153" i="2"/>
  <c r="P153" i="3" s="1"/>
  <c r="C153" i="3" s="1"/>
  <c r="B153" i="2"/>
  <c r="D153" i="2"/>
  <c r="Q153" i="3" s="1"/>
  <c r="D153" i="3" s="1"/>
  <c r="D147" i="2"/>
  <c r="Q147" i="3" s="1"/>
  <c r="D147" i="3" s="1"/>
  <c r="B147" i="2"/>
  <c r="G147" i="2"/>
  <c r="T147" i="3" s="1"/>
  <c r="G147" i="3" s="1"/>
  <c r="B135" i="2"/>
  <c r="E135" i="2"/>
  <c r="R135" i="3" s="1"/>
  <c r="E135" i="3" s="1"/>
  <c r="F135" i="2"/>
  <c r="S135" i="3" s="1"/>
  <c r="F135" i="3" s="1"/>
  <c r="E129" i="2"/>
  <c r="R129" i="3" s="1"/>
  <c r="E129" i="3" s="1"/>
  <c r="D129" i="2"/>
  <c r="G129" i="2"/>
  <c r="T129" i="3" s="1"/>
  <c r="G129" i="3" s="1"/>
  <c r="G123" i="2"/>
  <c r="T123" i="3" s="1"/>
  <c r="G123" i="3" s="1"/>
  <c r="F123" i="2"/>
  <c r="S123" i="3" s="1"/>
  <c r="F123" i="3" s="1"/>
  <c r="C123" i="2"/>
  <c r="P123" i="3" s="1"/>
  <c r="C123" i="3" s="1"/>
  <c r="G117" i="2"/>
  <c r="T117" i="3" s="1"/>
  <c r="G117" i="3" s="1"/>
  <c r="B117" i="2"/>
  <c r="F111" i="2"/>
  <c r="S111" i="3" s="1"/>
  <c r="F111" i="3" s="1"/>
  <c r="C111" i="2"/>
  <c r="P111" i="3" s="1"/>
  <c r="C111" i="3" s="1"/>
  <c r="D105" i="2"/>
  <c r="Q105" i="3" s="1"/>
  <c r="D105" i="3" s="1"/>
  <c r="E105" i="2"/>
  <c r="R105" i="3" s="1"/>
  <c r="E105" i="3" s="1"/>
  <c r="B99" i="2"/>
  <c r="G99" i="2"/>
  <c r="T99" i="3" s="1"/>
  <c r="G99" i="3" s="1"/>
  <c r="C99" i="2"/>
  <c r="P99" i="3" s="1"/>
  <c r="C99" i="3" s="1"/>
  <c r="F99" i="2"/>
  <c r="S99" i="3" s="1"/>
  <c r="F99" i="3" s="1"/>
  <c r="G93" i="2"/>
  <c r="T93" i="3" s="1"/>
  <c r="G93" i="3" s="1"/>
  <c r="B93" i="2"/>
  <c r="E87" i="2"/>
  <c r="R87" i="3" s="1"/>
  <c r="E87" i="3" s="1"/>
  <c r="C87" i="2"/>
  <c r="P87" i="3" s="1"/>
  <c r="C87" i="3" s="1"/>
  <c r="B87" i="2"/>
  <c r="D87" i="2"/>
  <c r="Q87" i="3" s="1"/>
  <c r="D87" i="3" s="1"/>
  <c r="G81" i="2"/>
  <c r="E81" i="2"/>
  <c r="R81" i="3" s="1"/>
  <c r="E81" i="3" s="1"/>
  <c r="B81" i="2"/>
  <c r="G75" i="2"/>
  <c r="T75" i="3" s="1"/>
  <c r="G75" i="3" s="1"/>
  <c r="D75" i="2"/>
  <c r="Q75" i="3" s="1"/>
  <c r="D75" i="3" s="1"/>
  <c r="F75" i="2"/>
  <c r="S75" i="3" s="1"/>
  <c r="F75" i="3" s="1"/>
  <c r="G69" i="2"/>
  <c r="T69" i="3" s="1"/>
  <c r="G69" i="3" s="1"/>
  <c r="E69" i="2"/>
  <c r="R69" i="3" s="1"/>
  <c r="E69" i="3" s="1"/>
  <c r="E63" i="2"/>
  <c r="R63" i="3" s="1"/>
  <c r="E63" i="3" s="1"/>
  <c r="D63" i="2"/>
  <c r="Q63" i="3" s="1"/>
  <c r="D63" i="3" s="1"/>
  <c r="E57" i="2"/>
  <c r="R57" i="3" s="1"/>
  <c r="E57" i="3" s="1"/>
  <c r="D57" i="2"/>
  <c r="Q57" i="3" s="1"/>
  <c r="D57" i="3" s="1"/>
  <c r="C57" i="2"/>
  <c r="P57" i="3" s="1"/>
  <c r="C57" i="3" s="1"/>
  <c r="G57" i="2"/>
  <c r="T57" i="3" s="1"/>
  <c r="G57" i="3" s="1"/>
  <c r="D51" i="2"/>
  <c r="Q51" i="3" s="1"/>
  <c r="D51" i="3" s="1"/>
  <c r="B51" i="2"/>
  <c r="F51" i="2"/>
  <c r="S51" i="3" s="1"/>
  <c r="F51" i="3" s="1"/>
  <c r="G51" i="2"/>
  <c r="T51" i="3" s="1"/>
  <c r="G51" i="3" s="1"/>
  <c r="E45" i="2"/>
  <c r="R45" i="3" s="1"/>
  <c r="E45" i="3" s="1"/>
  <c r="C45" i="2"/>
  <c r="P45" i="3" s="1"/>
  <c r="C45" i="3" s="1"/>
  <c r="B45" i="2"/>
  <c r="G45" i="2"/>
  <c r="T45" i="3" s="1"/>
  <c r="G45" i="3" s="1"/>
  <c r="E39" i="2"/>
  <c r="R39" i="3" s="1"/>
  <c r="E39" i="3" s="1"/>
  <c r="B39" i="2"/>
  <c r="D33" i="2"/>
  <c r="Q33" i="3" s="1"/>
  <c r="D33" i="3" s="1"/>
  <c r="C33" i="2"/>
  <c r="P33" i="3" s="1"/>
  <c r="C33" i="3" s="1"/>
  <c r="E33" i="2"/>
  <c r="R33" i="3" s="1"/>
  <c r="E33" i="3" s="1"/>
  <c r="G27" i="2"/>
  <c r="T27" i="3" s="1"/>
  <c r="G27" i="3" s="1"/>
  <c r="B27" i="2"/>
  <c r="F27" i="2"/>
  <c r="S27" i="3" s="1"/>
  <c r="F27" i="3" s="1"/>
  <c r="C27" i="2"/>
  <c r="P27" i="3" s="1"/>
  <c r="C27" i="3" s="1"/>
  <c r="E15" i="2"/>
  <c r="R15" i="3" s="1"/>
  <c r="E15" i="3" s="1"/>
  <c r="C15" i="2"/>
  <c r="P15" i="3" s="1"/>
  <c r="C15" i="3" s="1"/>
  <c r="D9" i="2"/>
  <c r="Q9" i="3" s="1"/>
  <c r="D9" i="3" s="1"/>
  <c r="E9" i="2"/>
  <c r="R9" i="3" s="1"/>
  <c r="E9" i="3" s="1"/>
  <c r="C9" i="2"/>
  <c r="P9" i="3" s="1"/>
  <c r="C9" i="3" s="1"/>
  <c r="G9" i="2"/>
  <c r="E289" i="2"/>
  <c r="R289" i="3" s="1"/>
  <c r="E289" i="3" s="1"/>
  <c r="E241" i="2"/>
  <c r="R241" i="3" s="1"/>
  <c r="E241" i="3" s="1"/>
  <c r="E233" i="2"/>
  <c r="R233" i="3" s="1"/>
  <c r="E233" i="3" s="1"/>
  <c r="E217" i="2"/>
  <c r="E181" i="2"/>
  <c r="R181" i="3" s="1"/>
  <c r="E181" i="3" s="1"/>
  <c r="E121" i="2"/>
  <c r="R121" i="3" s="1"/>
  <c r="E121" i="3" s="1"/>
  <c r="E77" i="2"/>
  <c r="R77" i="3" s="1"/>
  <c r="E77" i="3" s="1"/>
  <c r="E17" i="2"/>
  <c r="R17" i="3" s="1"/>
  <c r="E17" i="3" s="1"/>
  <c r="E276" i="2"/>
  <c r="R276" i="3" s="1"/>
  <c r="E276" i="3" s="1"/>
  <c r="E256" i="2"/>
  <c r="R256" i="3" s="1"/>
  <c r="E256" i="3" s="1"/>
  <c r="E208" i="2"/>
  <c r="R208" i="3" s="1"/>
  <c r="E208" i="3" s="1"/>
  <c r="E172" i="2"/>
  <c r="R172" i="3" s="1"/>
  <c r="E172" i="3" s="1"/>
  <c r="E136" i="2"/>
  <c r="R136" i="3" s="1"/>
  <c r="E136" i="3" s="1"/>
  <c r="E24" i="2"/>
  <c r="R24" i="3" s="1"/>
  <c r="E24" i="3" s="1"/>
  <c r="E16" i="2"/>
  <c r="R16" i="3" s="1"/>
  <c r="E16" i="3" s="1"/>
  <c r="E311" i="2"/>
  <c r="R311" i="3" s="1"/>
  <c r="E311" i="3" s="1"/>
  <c r="E283" i="2"/>
  <c r="R283" i="3" s="1"/>
  <c r="E283" i="3" s="1"/>
  <c r="E163" i="2"/>
  <c r="R163" i="3" s="1"/>
  <c r="E163" i="3" s="1"/>
  <c r="E143" i="2"/>
  <c r="R143" i="3" s="1"/>
  <c r="E143" i="3" s="1"/>
  <c r="E127" i="2"/>
  <c r="R127" i="3" s="1"/>
  <c r="E127" i="3" s="1"/>
  <c r="E119" i="2"/>
  <c r="R119" i="3" s="1"/>
  <c r="E119" i="3" s="1"/>
  <c r="E103" i="2"/>
  <c r="R103" i="3" s="1"/>
  <c r="E103" i="3" s="1"/>
  <c r="E95" i="2"/>
  <c r="R95" i="3" s="1"/>
  <c r="E95" i="3" s="1"/>
  <c r="E79" i="2"/>
  <c r="R79" i="3" s="1"/>
  <c r="E79" i="3" s="1"/>
  <c r="E71" i="2"/>
  <c r="R71" i="3" s="1"/>
  <c r="E71" i="3" s="1"/>
  <c r="E55" i="2"/>
  <c r="R55" i="3" s="1"/>
  <c r="E55" i="3" s="1"/>
  <c r="E47" i="2"/>
  <c r="R47" i="3" s="1"/>
  <c r="E47" i="3" s="1"/>
  <c r="E31" i="2"/>
  <c r="R31" i="3" s="1"/>
  <c r="E31" i="3" s="1"/>
  <c r="E23" i="2"/>
  <c r="R23" i="3" s="1"/>
  <c r="E23" i="3" s="1"/>
  <c r="E306" i="2"/>
  <c r="R306" i="3" s="1"/>
  <c r="E306" i="3" s="1"/>
  <c r="E325" i="2"/>
  <c r="R325" i="3" s="1"/>
  <c r="E325" i="3" s="1"/>
  <c r="E269" i="2"/>
  <c r="R269" i="3" s="1"/>
  <c r="E269" i="3" s="1"/>
  <c r="E101" i="2"/>
  <c r="R101" i="3" s="1"/>
  <c r="E101" i="3" s="1"/>
  <c r="E89" i="2"/>
  <c r="R89" i="3" s="1"/>
  <c r="E89" i="3" s="1"/>
  <c r="E37" i="2"/>
  <c r="R37" i="3" s="1"/>
  <c r="E37" i="3" s="1"/>
  <c r="E300" i="2"/>
  <c r="R300" i="3" s="1"/>
  <c r="E300" i="3" s="1"/>
  <c r="E288" i="2"/>
  <c r="R288" i="3" s="1"/>
  <c r="E288" i="3" s="1"/>
  <c r="E232" i="2"/>
  <c r="R232" i="3" s="1"/>
  <c r="E232" i="3" s="1"/>
  <c r="E112" i="2"/>
  <c r="R112" i="3" s="1"/>
  <c r="E112" i="3" s="1"/>
  <c r="E84" i="2"/>
  <c r="R84" i="3" s="1"/>
  <c r="E84" i="3" s="1"/>
  <c r="E76" i="2"/>
  <c r="R76" i="3" s="1"/>
  <c r="E76" i="3" s="1"/>
  <c r="E72" i="2"/>
  <c r="R72" i="3" s="1"/>
  <c r="E72" i="3" s="1"/>
  <c r="E56" i="2"/>
  <c r="R56" i="3" s="1"/>
  <c r="E56" i="3" s="1"/>
  <c r="E36" i="2"/>
  <c r="R36" i="3" s="1"/>
  <c r="E36" i="3" s="1"/>
  <c r="E28" i="2"/>
  <c r="R28" i="3" s="1"/>
  <c r="E28" i="3" s="1"/>
  <c r="E319" i="2"/>
  <c r="E151" i="2"/>
  <c r="R151" i="3" s="1"/>
  <c r="E151" i="3" s="1"/>
  <c r="E7" i="2"/>
  <c r="R7" i="3" s="1"/>
  <c r="E7" i="3" s="1"/>
  <c r="E239" i="2"/>
  <c r="E277" i="2"/>
  <c r="R277" i="3" s="1"/>
  <c r="E277" i="3" s="1"/>
  <c r="E229" i="2"/>
  <c r="R229" i="3" s="1"/>
  <c r="E229" i="3" s="1"/>
  <c r="E193" i="2"/>
  <c r="R193" i="3" s="1"/>
  <c r="E193" i="3" s="1"/>
  <c r="E157" i="2"/>
  <c r="R157" i="3" s="1"/>
  <c r="E157" i="3" s="1"/>
  <c r="E149" i="2"/>
  <c r="R149" i="3" s="1"/>
  <c r="E149" i="3" s="1"/>
  <c r="E133" i="2"/>
  <c r="R133" i="3" s="1"/>
  <c r="E133" i="3" s="1"/>
  <c r="E109" i="2"/>
  <c r="R109" i="3" s="1"/>
  <c r="E109" i="3" s="1"/>
  <c r="E61" i="2"/>
  <c r="R61" i="3" s="1"/>
  <c r="E61" i="3" s="1"/>
  <c r="E49" i="2"/>
  <c r="R49" i="3" s="1"/>
  <c r="E49" i="3" s="1"/>
  <c r="E13" i="2"/>
  <c r="R13" i="3" s="1"/>
  <c r="E13" i="3" s="1"/>
  <c r="E312" i="2"/>
  <c r="R312" i="3" s="1"/>
  <c r="E312" i="3" s="1"/>
  <c r="E268" i="2"/>
  <c r="R268" i="3" s="1"/>
  <c r="E268" i="3" s="1"/>
  <c r="E104" i="2"/>
  <c r="R104" i="3" s="1"/>
  <c r="E104" i="3" s="1"/>
  <c r="E88" i="2"/>
  <c r="R88" i="3" s="1"/>
  <c r="E88" i="3" s="1"/>
  <c r="E48" i="2"/>
  <c r="R48" i="3" s="1"/>
  <c r="E48" i="3" s="1"/>
  <c r="E40" i="2"/>
  <c r="R40" i="3" s="1"/>
  <c r="E40" i="3" s="1"/>
  <c r="E323" i="2"/>
  <c r="R323" i="3" s="1"/>
  <c r="E323" i="3" s="1"/>
  <c r="E282" i="2"/>
  <c r="R282" i="3" s="1"/>
  <c r="E282" i="3" s="1"/>
  <c r="E313" i="2"/>
  <c r="R313" i="3" s="1"/>
  <c r="E313" i="3" s="1"/>
  <c r="E210" i="2"/>
  <c r="R210" i="3" s="1"/>
  <c r="E210" i="3" s="1"/>
  <c r="E317" i="2"/>
  <c r="R317" i="3" s="1"/>
  <c r="E317" i="3" s="1"/>
  <c r="E145" i="2"/>
  <c r="R145" i="3" s="1"/>
  <c r="E145" i="3" s="1"/>
  <c r="E97" i="2"/>
  <c r="R97" i="3" s="1"/>
  <c r="E97" i="3" s="1"/>
  <c r="E65" i="2"/>
  <c r="E25" i="2"/>
  <c r="R25" i="3" s="1"/>
  <c r="E25" i="3" s="1"/>
  <c r="E304" i="2"/>
  <c r="R304" i="3" s="1"/>
  <c r="E304" i="3" s="1"/>
  <c r="E264" i="2"/>
  <c r="R264" i="3" s="1"/>
  <c r="E264" i="3" s="1"/>
  <c r="E244" i="2"/>
  <c r="R244" i="3" s="1"/>
  <c r="E244" i="3" s="1"/>
  <c r="E184" i="2"/>
  <c r="R184" i="3" s="1"/>
  <c r="E184" i="3" s="1"/>
  <c r="E148" i="2"/>
  <c r="R148" i="3" s="1"/>
  <c r="E148" i="3" s="1"/>
  <c r="E108" i="2"/>
  <c r="R108" i="3" s="1"/>
  <c r="E108" i="3" s="1"/>
  <c r="E12" i="2"/>
  <c r="R12" i="3" s="1"/>
  <c r="E12" i="3" s="1"/>
  <c r="E175" i="2"/>
  <c r="R175" i="3" s="1"/>
  <c r="E175" i="3" s="1"/>
  <c r="E155" i="2"/>
  <c r="R155" i="3" s="1"/>
  <c r="E155" i="3" s="1"/>
  <c r="B75" i="3"/>
  <c r="B107" i="3"/>
  <c r="D237" i="2"/>
  <c r="Q237" i="3" s="1"/>
  <c r="D237" i="3" s="1"/>
  <c r="E90" i="2"/>
  <c r="E154" i="2"/>
  <c r="R154" i="3" s="1"/>
  <c r="E154" i="3" s="1"/>
  <c r="B243" i="2"/>
  <c r="E169" i="2"/>
  <c r="R169" i="3" s="1"/>
  <c r="E169" i="3" s="1"/>
  <c r="E177" i="2"/>
  <c r="R177" i="3" s="1"/>
  <c r="E177" i="3" s="1"/>
  <c r="G213" i="2"/>
  <c r="T213" i="3" s="1"/>
  <c r="G213" i="3" s="1"/>
  <c r="E237" i="2"/>
  <c r="R237" i="3" s="1"/>
  <c r="E237" i="3" s="1"/>
  <c r="S119" i="3"/>
  <c r="F119" i="3" s="1"/>
  <c r="T143" i="3"/>
  <c r="G143" i="3" s="1"/>
  <c r="S163" i="3"/>
  <c r="F163" i="3" s="1"/>
  <c r="P235" i="3"/>
  <c r="C235" i="3" s="1"/>
  <c r="P32" i="3"/>
  <c r="C32" i="3" s="1"/>
  <c r="T68" i="3"/>
  <c r="G68" i="3" s="1"/>
  <c r="T76" i="3"/>
  <c r="G76" i="3" s="1"/>
  <c r="P100" i="3"/>
  <c r="C100" i="3" s="1"/>
  <c r="B125" i="1"/>
  <c r="E238" i="2"/>
  <c r="R238" i="3" s="1"/>
  <c r="E238" i="3" s="1"/>
  <c r="E124" i="2"/>
  <c r="R124" i="3" s="1"/>
  <c r="E124" i="3" s="1"/>
  <c r="E100" i="2"/>
  <c r="R100" i="3" s="1"/>
  <c r="E100" i="3" s="1"/>
  <c r="E34" i="2"/>
  <c r="R34" i="3" s="1"/>
  <c r="E34" i="3" s="1"/>
  <c r="E22" i="2"/>
  <c r="R22" i="3" s="1"/>
  <c r="E22" i="3" s="1"/>
  <c r="D318" i="2"/>
  <c r="Q318" i="3" s="1"/>
  <c r="D318" i="3" s="1"/>
  <c r="E290" i="2"/>
  <c r="R290" i="3" s="1"/>
  <c r="E290" i="3" s="1"/>
  <c r="E194" i="2"/>
  <c r="R194" i="3" s="1"/>
  <c r="E194" i="3" s="1"/>
  <c r="E182" i="2"/>
  <c r="R182" i="3" s="1"/>
  <c r="E182" i="3" s="1"/>
  <c r="E170" i="2"/>
  <c r="R170" i="3" s="1"/>
  <c r="E170" i="3" s="1"/>
  <c r="E44" i="2"/>
  <c r="R44" i="3" s="1"/>
  <c r="E44" i="3" s="1"/>
  <c r="E32" i="2"/>
  <c r="R32" i="3" s="1"/>
  <c r="E32" i="3" s="1"/>
  <c r="E20" i="2"/>
  <c r="R20" i="3" s="1"/>
  <c r="E20" i="3" s="1"/>
  <c r="E8" i="2"/>
  <c r="R8" i="3" s="1"/>
  <c r="E8" i="3" s="1"/>
  <c r="B197" i="3"/>
  <c r="P95" i="3"/>
  <c r="C95" i="3" s="1"/>
  <c r="Q115" i="3"/>
  <c r="D115" i="3" s="1"/>
  <c r="Q47" i="3"/>
  <c r="D47" i="3" s="1"/>
  <c r="P55" i="3"/>
  <c r="C55" i="3" s="1"/>
  <c r="P151" i="3"/>
  <c r="C151" i="3" s="1"/>
  <c r="P83" i="3"/>
  <c r="C83" i="3" s="1"/>
  <c r="P179" i="3"/>
  <c r="C179" i="3" s="1"/>
  <c r="S11" i="3"/>
  <c r="F11" i="3" s="1"/>
  <c r="T67" i="3"/>
  <c r="G67" i="3" s="1"/>
  <c r="S83" i="3"/>
  <c r="F83" i="3" s="1"/>
  <c r="S91" i="3"/>
  <c r="F91" i="3" s="1"/>
  <c r="S107" i="3"/>
  <c r="F107" i="3" s="1"/>
  <c r="S139" i="3"/>
  <c r="F139" i="3" s="1"/>
  <c r="T167" i="3"/>
  <c r="G167" i="3" s="1"/>
  <c r="S179" i="3"/>
  <c r="F179" i="3" s="1"/>
  <c r="Q283" i="3"/>
  <c r="D283" i="3" s="1"/>
  <c r="C238" i="2"/>
  <c r="P238" i="3" s="1"/>
  <c r="C238" i="3" s="1"/>
  <c r="Q103" i="3"/>
  <c r="D103" i="3" s="1"/>
  <c r="Q131" i="3"/>
  <c r="D131" i="3" s="1"/>
  <c r="P43" i="3"/>
  <c r="C43" i="3" s="1"/>
  <c r="P139" i="3"/>
  <c r="C139" i="3" s="1"/>
  <c r="P71" i="3"/>
  <c r="C71" i="3" s="1"/>
  <c r="P167" i="3"/>
  <c r="C167" i="3" s="1"/>
  <c r="T19" i="3"/>
  <c r="G19" i="3" s="1"/>
  <c r="T35" i="3"/>
  <c r="G35" i="3" s="1"/>
  <c r="T43" i="3"/>
  <c r="G43" i="3" s="1"/>
  <c r="T59" i="3"/>
  <c r="G59" i="3" s="1"/>
  <c r="S67" i="3"/>
  <c r="F67" i="3" s="1"/>
  <c r="T107" i="3"/>
  <c r="G107" i="3" s="1"/>
  <c r="T131" i="3"/>
  <c r="G131" i="3" s="1"/>
  <c r="T139" i="3"/>
  <c r="G139" i="3" s="1"/>
  <c r="P283" i="3"/>
  <c r="C283" i="3" s="1"/>
  <c r="T88" i="3"/>
  <c r="G88" i="3" s="1"/>
  <c r="Q160" i="3"/>
  <c r="D160" i="3" s="1"/>
  <c r="Q119" i="3"/>
  <c r="D119" i="3" s="1"/>
  <c r="P31" i="3"/>
  <c r="C31" i="3" s="1"/>
  <c r="P127" i="3"/>
  <c r="C127" i="3" s="1"/>
  <c r="P59" i="3"/>
  <c r="C59" i="3" s="1"/>
  <c r="Q79" i="3"/>
  <c r="D79" i="3" s="1"/>
  <c r="Q91" i="3"/>
  <c r="D91" i="3" s="1"/>
  <c r="P19" i="3"/>
  <c r="C19" i="3" s="1"/>
  <c r="S7" i="3"/>
  <c r="F7" i="3" s="1"/>
  <c r="Q92" i="3"/>
  <c r="D92" i="3" s="1"/>
  <c r="E305" i="2"/>
  <c r="R305" i="3" s="1"/>
  <c r="E305" i="3" s="1"/>
  <c r="E287" i="2"/>
  <c r="R287" i="3" s="1"/>
  <c r="E287" i="3" s="1"/>
  <c r="C258" i="2"/>
  <c r="P258" i="3" s="1"/>
  <c r="C258" i="3" s="1"/>
  <c r="C30" i="5"/>
  <c r="T30" i="5" s="1"/>
  <c r="G282" i="5"/>
  <c r="B226" i="1"/>
  <c r="B322" i="1"/>
  <c r="C28" i="1"/>
  <c r="B52" i="1"/>
  <c r="C76" i="1"/>
  <c r="B100" i="1"/>
  <c r="C124" i="1"/>
  <c r="B148" i="1"/>
  <c r="C172" i="1"/>
  <c r="D196" i="1"/>
  <c r="D208" i="1"/>
  <c r="D220" i="1"/>
  <c r="D232" i="1"/>
  <c r="D244" i="1"/>
  <c r="D256" i="1"/>
  <c r="D268" i="1"/>
  <c r="D280" i="1"/>
  <c r="D292" i="1"/>
  <c r="D304" i="1"/>
  <c r="D316" i="1"/>
  <c r="D328" i="1"/>
  <c r="B238" i="1"/>
  <c r="B298" i="1"/>
  <c r="D94" i="1"/>
  <c r="D142" i="1"/>
  <c r="D178" i="1"/>
  <c r="D214" i="1"/>
  <c r="D310" i="1"/>
  <c r="C82" i="1"/>
  <c r="D10" i="1"/>
  <c r="D34" i="1"/>
  <c r="D70" i="1"/>
  <c r="C130" i="1"/>
  <c r="C274" i="1"/>
  <c r="D285" i="2"/>
  <c r="Q285" i="3" s="1"/>
  <c r="D285" i="3" s="1"/>
  <c r="D154" i="2"/>
  <c r="Q154" i="3" s="1"/>
  <c r="D154" i="3" s="1"/>
  <c r="D198" i="2"/>
  <c r="Q198" i="3" s="1"/>
  <c r="D198" i="3" s="1"/>
  <c r="G238" i="2"/>
  <c r="T238" i="3" s="1"/>
  <c r="G238" i="3" s="1"/>
  <c r="B207" i="3"/>
  <c r="B15" i="3"/>
  <c r="B172" i="3"/>
  <c r="B28" i="3"/>
  <c r="B296" i="3"/>
  <c r="B148" i="3"/>
  <c r="B26" i="3"/>
  <c r="B268" i="3"/>
  <c r="B124" i="3"/>
  <c r="B196" i="3"/>
  <c r="B52" i="3"/>
  <c r="C16" i="1"/>
  <c r="C106" i="1"/>
  <c r="C250" i="1"/>
  <c r="C286" i="1"/>
  <c r="B76" i="3"/>
  <c r="B69" i="3"/>
  <c r="B275" i="3"/>
  <c r="B179" i="3"/>
  <c r="B143" i="3"/>
  <c r="B47" i="3"/>
  <c r="C88" i="1"/>
  <c r="C22" i="1"/>
  <c r="C46" i="1"/>
  <c r="B16" i="1"/>
  <c r="C40" i="1"/>
  <c r="B64" i="1"/>
  <c r="B88" i="1"/>
  <c r="B112" i="1"/>
  <c r="B136" i="1"/>
  <c r="B160" i="1"/>
  <c r="B184" i="1"/>
  <c r="D58" i="1"/>
  <c r="C166" i="1"/>
  <c r="C202" i="1"/>
  <c r="C238" i="1"/>
  <c r="C298" i="1"/>
  <c r="B118" i="1"/>
  <c r="T155" i="3"/>
  <c r="G155" i="3" s="1"/>
  <c r="R179" i="3"/>
  <c r="E179" i="3" s="1"/>
  <c r="B77" i="1"/>
  <c r="E58" i="2"/>
  <c r="R58" i="3" s="1"/>
  <c r="E58" i="3" s="1"/>
  <c r="B100" i="3"/>
  <c r="C184" i="1"/>
  <c r="B178" i="1"/>
  <c r="B280" i="1"/>
  <c r="D40" i="1"/>
  <c r="D64" i="1"/>
  <c r="D112" i="1"/>
  <c r="D136" i="1"/>
  <c r="D160" i="1"/>
  <c r="B94" i="1"/>
  <c r="B10" i="1"/>
  <c r="B34" i="1"/>
  <c r="B70" i="1"/>
  <c r="C118" i="1"/>
  <c r="C262" i="1"/>
  <c r="B145" i="1"/>
  <c r="B133" i="1"/>
  <c r="B121" i="1"/>
  <c r="B109" i="1"/>
  <c r="B97" i="1"/>
  <c r="B85" i="1"/>
  <c r="B73" i="1"/>
  <c r="D329" i="2"/>
  <c r="Q329" i="3" s="1"/>
  <c r="D329" i="3" s="1"/>
  <c r="B329" i="2"/>
  <c r="G317" i="2"/>
  <c r="T317" i="3" s="1"/>
  <c r="G317" i="3" s="1"/>
  <c r="D317" i="2"/>
  <c r="Q317" i="3" s="1"/>
  <c r="D317" i="3" s="1"/>
  <c r="D305" i="2"/>
  <c r="Q305" i="3" s="1"/>
  <c r="D305" i="3" s="1"/>
  <c r="B305" i="2"/>
  <c r="B293" i="2"/>
  <c r="G293" i="2"/>
  <c r="T293" i="3" s="1"/>
  <c r="G293" i="3" s="1"/>
  <c r="C293" i="2"/>
  <c r="P293" i="3" s="1"/>
  <c r="C293" i="3" s="1"/>
  <c r="E281" i="2"/>
  <c r="R281" i="3" s="1"/>
  <c r="E281" i="3" s="1"/>
  <c r="C281" i="2"/>
  <c r="P281" i="3" s="1"/>
  <c r="C281" i="3" s="1"/>
  <c r="C269" i="2"/>
  <c r="P269" i="3" s="1"/>
  <c r="C269" i="3" s="1"/>
  <c r="D269" i="2"/>
  <c r="Q269" i="3" s="1"/>
  <c r="D269" i="3" s="1"/>
  <c r="C263" i="2"/>
  <c r="P263" i="3" s="1"/>
  <c r="C263" i="3" s="1"/>
  <c r="E263" i="2"/>
  <c r="R263" i="3" s="1"/>
  <c r="E263" i="3" s="1"/>
  <c r="G245" i="2"/>
  <c r="T245" i="3" s="1"/>
  <c r="G245" i="3" s="1"/>
  <c r="E245" i="2"/>
  <c r="R245" i="3" s="1"/>
  <c r="E245" i="3" s="1"/>
  <c r="G233" i="2"/>
  <c r="T233" i="3" s="1"/>
  <c r="G233" i="3" s="1"/>
  <c r="C233" i="2"/>
  <c r="P233" i="3" s="1"/>
  <c r="C233" i="3" s="1"/>
  <c r="E221" i="2"/>
  <c r="B221" i="2"/>
  <c r="D215" i="2"/>
  <c r="Q215" i="3" s="1"/>
  <c r="D215" i="3" s="1"/>
  <c r="E215" i="2"/>
  <c r="R215" i="3" s="1"/>
  <c r="E215" i="3" s="1"/>
  <c r="D209" i="2"/>
  <c r="Q209" i="3" s="1"/>
  <c r="D209" i="3" s="1"/>
  <c r="B209" i="2"/>
  <c r="E209" i="2"/>
  <c r="R209" i="3" s="1"/>
  <c r="E209" i="3" s="1"/>
  <c r="E197" i="2"/>
  <c r="R197" i="3" s="1"/>
  <c r="E197" i="3" s="1"/>
  <c r="B197" i="2"/>
  <c r="D185" i="2"/>
  <c r="Q185" i="3" s="1"/>
  <c r="D185" i="3" s="1"/>
  <c r="B185" i="2"/>
  <c r="E185" i="2"/>
  <c r="R185" i="3" s="1"/>
  <c r="E185" i="3" s="1"/>
  <c r="E173" i="2"/>
  <c r="B173" i="2"/>
  <c r="D161" i="2"/>
  <c r="Q161" i="3" s="1"/>
  <c r="D161" i="3" s="1"/>
  <c r="B161" i="2"/>
  <c r="E161" i="2"/>
  <c r="R161" i="3" s="1"/>
  <c r="E161" i="3" s="1"/>
  <c r="G149" i="2"/>
  <c r="T149" i="3" s="1"/>
  <c r="G149" i="3" s="1"/>
  <c r="D149" i="2"/>
  <c r="Q149" i="3" s="1"/>
  <c r="D149" i="3" s="1"/>
  <c r="E137" i="2"/>
  <c r="R137" i="3" s="1"/>
  <c r="E137" i="3" s="1"/>
  <c r="B137" i="2"/>
  <c r="C125" i="2"/>
  <c r="P125" i="3" s="1"/>
  <c r="C125" i="3" s="1"/>
  <c r="D125" i="2"/>
  <c r="Q125" i="3" s="1"/>
  <c r="D125" i="3" s="1"/>
  <c r="E113" i="2"/>
  <c r="R113" i="3" s="1"/>
  <c r="E113" i="3" s="1"/>
  <c r="C113" i="2"/>
  <c r="P113" i="3" s="1"/>
  <c r="C113" i="3" s="1"/>
  <c r="G113" i="2"/>
  <c r="T113" i="3" s="1"/>
  <c r="G113" i="3" s="1"/>
  <c r="G101" i="2"/>
  <c r="T101" i="3" s="1"/>
  <c r="G101" i="3" s="1"/>
  <c r="D101" i="2"/>
  <c r="Q101" i="3" s="1"/>
  <c r="D101" i="3" s="1"/>
  <c r="C89" i="2"/>
  <c r="D89" i="2"/>
  <c r="Q89" i="3" s="1"/>
  <c r="D89" i="3" s="1"/>
  <c r="G77" i="2"/>
  <c r="T77" i="3" s="1"/>
  <c r="G77" i="3" s="1"/>
  <c r="D77" i="2"/>
  <c r="Q77" i="3" s="1"/>
  <c r="D77" i="3" s="1"/>
  <c r="C65" i="2"/>
  <c r="P65" i="3" s="1"/>
  <c r="C65" i="3" s="1"/>
  <c r="H65" i="2"/>
  <c r="U65" i="3" s="1"/>
  <c r="V65" i="3" s="1"/>
  <c r="W65" i="3" s="1"/>
  <c r="D65" i="2"/>
  <c r="Q65" i="3" s="1"/>
  <c r="D65" i="3" s="1"/>
  <c r="G53" i="2"/>
  <c r="T53" i="3" s="1"/>
  <c r="G53" i="3" s="1"/>
  <c r="D53" i="2"/>
  <c r="Q53" i="3" s="1"/>
  <c r="D53" i="3" s="1"/>
  <c r="C41" i="2"/>
  <c r="P41" i="3" s="1"/>
  <c r="C41" i="3" s="1"/>
  <c r="D41" i="2"/>
  <c r="Q41" i="3" s="1"/>
  <c r="D41" i="3" s="1"/>
  <c r="E29" i="2"/>
  <c r="R29" i="3" s="1"/>
  <c r="E29" i="3" s="1"/>
  <c r="C29" i="2"/>
  <c r="P29" i="3" s="1"/>
  <c r="C29" i="3" s="1"/>
  <c r="G29" i="2"/>
  <c r="T29" i="3" s="1"/>
  <c r="G29" i="3" s="1"/>
  <c r="B17" i="2"/>
  <c r="G17" i="2"/>
  <c r="T17" i="3" s="1"/>
  <c r="G17" i="3" s="1"/>
  <c r="C17" i="2"/>
  <c r="P17" i="3" s="1"/>
  <c r="C17" i="3" s="1"/>
  <c r="C246" i="2"/>
  <c r="P246" i="3" s="1"/>
  <c r="C246" i="3" s="1"/>
  <c r="C66" i="2"/>
  <c r="P66" i="3" s="1"/>
  <c r="C66" i="3" s="1"/>
  <c r="C309" i="2"/>
  <c r="P309" i="3" s="1"/>
  <c r="C309" i="3" s="1"/>
  <c r="C205" i="2"/>
  <c r="P205" i="3" s="1"/>
  <c r="C205" i="3" s="1"/>
  <c r="C181" i="2"/>
  <c r="P181" i="3" s="1"/>
  <c r="C181" i="3" s="1"/>
  <c r="C157" i="2"/>
  <c r="P157" i="3" s="1"/>
  <c r="C157" i="3" s="1"/>
  <c r="C141" i="2"/>
  <c r="P141" i="3" s="1"/>
  <c r="C141" i="3" s="1"/>
  <c r="C109" i="2"/>
  <c r="P109" i="3" s="1"/>
  <c r="C109" i="3" s="1"/>
  <c r="C21" i="2"/>
  <c r="P21" i="3" s="1"/>
  <c r="C21" i="3" s="1"/>
  <c r="C300" i="2"/>
  <c r="P300" i="3" s="1"/>
  <c r="C300" i="3" s="1"/>
  <c r="C252" i="2"/>
  <c r="P252" i="3" s="1"/>
  <c r="C252" i="3" s="1"/>
  <c r="C216" i="2"/>
  <c r="P216" i="3" s="1"/>
  <c r="C216" i="3" s="1"/>
  <c r="C180" i="2"/>
  <c r="P180" i="3" s="1"/>
  <c r="C180" i="3" s="1"/>
  <c r="C144" i="2"/>
  <c r="P144" i="3" s="1"/>
  <c r="C144" i="3" s="1"/>
  <c r="C54" i="2"/>
  <c r="P54" i="3" s="1"/>
  <c r="C54" i="3" s="1"/>
  <c r="C285" i="2"/>
  <c r="P285" i="3" s="1"/>
  <c r="C285" i="3" s="1"/>
  <c r="C273" i="2"/>
  <c r="P273" i="3" s="1"/>
  <c r="C273" i="3" s="1"/>
  <c r="C261" i="2"/>
  <c r="P261" i="3" s="1"/>
  <c r="C261" i="3" s="1"/>
  <c r="C213" i="2"/>
  <c r="P213" i="3" s="1"/>
  <c r="C213" i="3" s="1"/>
  <c r="C189" i="2"/>
  <c r="P189" i="3" s="1"/>
  <c r="C189" i="3" s="1"/>
  <c r="C165" i="2"/>
  <c r="P165" i="3" s="1"/>
  <c r="C165" i="3" s="1"/>
  <c r="C129" i="2"/>
  <c r="P129" i="3" s="1"/>
  <c r="C129" i="3" s="1"/>
  <c r="C97" i="2"/>
  <c r="P97" i="3" s="1"/>
  <c r="C97" i="3" s="1"/>
  <c r="C73" i="2"/>
  <c r="P73" i="3" s="1"/>
  <c r="C73" i="3" s="1"/>
  <c r="C49" i="2"/>
  <c r="P49" i="3" s="1"/>
  <c r="C49" i="3" s="1"/>
  <c r="C294" i="2"/>
  <c r="P294" i="3" s="1"/>
  <c r="C294" i="3" s="1"/>
  <c r="C150" i="2"/>
  <c r="P150" i="3" s="1"/>
  <c r="C150" i="3" s="1"/>
  <c r="C237" i="2"/>
  <c r="P237" i="3" s="1"/>
  <c r="C237" i="3" s="1"/>
  <c r="C225" i="2"/>
  <c r="P225" i="3" s="1"/>
  <c r="C225" i="3" s="1"/>
  <c r="C201" i="2"/>
  <c r="P201" i="3" s="1"/>
  <c r="C201" i="3" s="1"/>
  <c r="C177" i="2"/>
  <c r="P177" i="3" s="1"/>
  <c r="C177" i="3" s="1"/>
  <c r="C121" i="2"/>
  <c r="P121" i="3" s="1"/>
  <c r="C121" i="3" s="1"/>
  <c r="C105" i="2"/>
  <c r="P105" i="3" s="1"/>
  <c r="C105" i="3" s="1"/>
  <c r="C85" i="2"/>
  <c r="P85" i="3" s="1"/>
  <c r="C85" i="3" s="1"/>
  <c r="C61" i="2"/>
  <c r="P61" i="3" s="1"/>
  <c r="C61" i="3" s="1"/>
  <c r="C37" i="2"/>
  <c r="P37" i="3" s="1"/>
  <c r="C37" i="3" s="1"/>
  <c r="C96" i="2"/>
  <c r="P96" i="3" s="1"/>
  <c r="C96" i="3" s="1"/>
  <c r="B220" i="3"/>
  <c r="C196" i="1"/>
  <c r="C208" i="1"/>
  <c r="C220" i="1"/>
  <c r="C292" i="1"/>
  <c r="C304" i="1"/>
  <c r="C316" i="1"/>
  <c r="B141" i="1"/>
  <c r="B117" i="1"/>
  <c r="B93" i="1"/>
  <c r="B69" i="1"/>
  <c r="E328" i="2"/>
  <c r="R328" i="3" s="1"/>
  <c r="E328" i="3" s="1"/>
  <c r="B328" i="2"/>
  <c r="D322" i="2"/>
  <c r="Q322" i="3" s="1"/>
  <c r="D322" i="3" s="1"/>
  <c r="E322" i="2"/>
  <c r="R322" i="3" s="1"/>
  <c r="E322" i="3" s="1"/>
  <c r="C316" i="2"/>
  <c r="P316" i="3" s="1"/>
  <c r="C316" i="3" s="1"/>
  <c r="E316" i="2"/>
  <c r="R316" i="3" s="1"/>
  <c r="E316" i="3" s="1"/>
  <c r="C304" i="2"/>
  <c r="P304" i="3" s="1"/>
  <c r="C304" i="3" s="1"/>
  <c r="D304" i="2"/>
  <c r="Q304" i="3" s="1"/>
  <c r="D304" i="3" s="1"/>
  <c r="G304" i="2"/>
  <c r="T304" i="3" s="1"/>
  <c r="G304" i="3" s="1"/>
  <c r="F292" i="2"/>
  <c r="S292" i="3" s="1"/>
  <c r="F292" i="3" s="1"/>
  <c r="E292" i="2"/>
  <c r="R292" i="3" s="1"/>
  <c r="E292" i="3" s="1"/>
  <c r="D280" i="2"/>
  <c r="Q280" i="3" s="1"/>
  <c r="D280" i="3" s="1"/>
  <c r="E280" i="2"/>
  <c r="R280" i="3" s="1"/>
  <c r="E280" i="3" s="1"/>
  <c r="C256" i="2"/>
  <c r="P256" i="3" s="1"/>
  <c r="C256" i="3" s="1"/>
  <c r="G256" i="2"/>
  <c r="T256" i="3" s="1"/>
  <c r="G256" i="3" s="1"/>
  <c r="C232" i="2"/>
  <c r="P232" i="3" s="1"/>
  <c r="C232" i="3" s="1"/>
  <c r="D232" i="2"/>
  <c r="Q232" i="3" s="1"/>
  <c r="D232" i="3" s="1"/>
  <c r="E220" i="2"/>
  <c r="R220" i="3" s="1"/>
  <c r="E220" i="3" s="1"/>
  <c r="G220" i="2"/>
  <c r="T220" i="3" s="1"/>
  <c r="G220" i="3" s="1"/>
  <c r="C196" i="2"/>
  <c r="P196" i="3" s="1"/>
  <c r="C196" i="3" s="1"/>
  <c r="E196" i="2"/>
  <c r="R196" i="3" s="1"/>
  <c r="E196" i="3" s="1"/>
  <c r="D190" i="2"/>
  <c r="Q190" i="3" s="1"/>
  <c r="D190" i="3" s="1"/>
  <c r="E190" i="2"/>
  <c r="R190" i="3" s="1"/>
  <c r="E190" i="3" s="1"/>
  <c r="D166" i="2"/>
  <c r="Q166" i="3" s="1"/>
  <c r="D166" i="3" s="1"/>
  <c r="E166" i="2"/>
  <c r="R166" i="3" s="1"/>
  <c r="E166" i="3" s="1"/>
  <c r="C160" i="2"/>
  <c r="P160" i="3" s="1"/>
  <c r="C160" i="3" s="1"/>
  <c r="E160" i="2"/>
  <c r="R160" i="3" s="1"/>
  <c r="E160" i="3" s="1"/>
  <c r="D142" i="2"/>
  <c r="Q142" i="3" s="1"/>
  <c r="D142" i="3" s="1"/>
  <c r="B142" i="2"/>
  <c r="G34" i="2"/>
  <c r="T34" i="3" s="1"/>
  <c r="G34" i="3" s="1"/>
  <c r="B34" i="2"/>
  <c r="D313" i="2"/>
  <c r="Q313" i="3" s="1"/>
  <c r="D313" i="3" s="1"/>
  <c r="D297" i="2"/>
  <c r="Q297" i="3" s="1"/>
  <c r="D297" i="3" s="1"/>
  <c r="D261" i="2"/>
  <c r="Q261" i="3" s="1"/>
  <c r="D261" i="3" s="1"/>
  <c r="D241" i="2"/>
  <c r="Q241" i="3" s="1"/>
  <c r="D241" i="3" s="1"/>
  <c r="D229" i="2"/>
  <c r="Q229" i="3" s="1"/>
  <c r="D229" i="3" s="1"/>
  <c r="D145" i="2"/>
  <c r="Q145" i="3" s="1"/>
  <c r="D145" i="3" s="1"/>
  <c r="D93" i="2"/>
  <c r="Q93" i="3" s="1"/>
  <c r="D93" i="3" s="1"/>
  <c r="D69" i="2"/>
  <c r="Q69" i="3" s="1"/>
  <c r="D69" i="3" s="1"/>
  <c r="D45" i="2"/>
  <c r="Q45" i="3" s="1"/>
  <c r="D45" i="3" s="1"/>
  <c r="D25" i="2"/>
  <c r="Q25" i="3" s="1"/>
  <c r="D25" i="3" s="1"/>
  <c r="D210" i="2"/>
  <c r="Q210" i="3" s="1"/>
  <c r="D210" i="3" s="1"/>
  <c r="D301" i="2"/>
  <c r="Q301" i="3" s="1"/>
  <c r="D301" i="3" s="1"/>
  <c r="D277" i="2"/>
  <c r="Q277" i="3" s="1"/>
  <c r="D277" i="3" s="1"/>
  <c r="D265" i="2"/>
  <c r="Q265" i="3" s="1"/>
  <c r="D265" i="3" s="1"/>
  <c r="D217" i="2"/>
  <c r="Q217" i="3" s="1"/>
  <c r="D217" i="3" s="1"/>
  <c r="D193" i="2"/>
  <c r="Q193" i="3" s="1"/>
  <c r="D193" i="3" s="1"/>
  <c r="D169" i="2"/>
  <c r="Q169" i="3" s="1"/>
  <c r="D169" i="3" s="1"/>
  <c r="D133" i="2"/>
  <c r="Q133" i="3" s="1"/>
  <c r="D133" i="3" s="1"/>
  <c r="D117" i="2"/>
  <c r="Q117" i="3" s="1"/>
  <c r="D117" i="3" s="1"/>
  <c r="D13" i="2"/>
  <c r="Q13" i="3" s="1"/>
  <c r="D13" i="3" s="1"/>
  <c r="D324" i="2"/>
  <c r="Q324" i="3" s="1"/>
  <c r="D324" i="3" s="1"/>
  <c r="D78" i="2"/>
  <c r="Q78" i="3" s="1"/>
  <c r="D78" i="3" s="1"/>
  <c r="D42" i="2"/>
  <c r="Q42" i="3" s="1"/>
  <c r="D42" i="3" s="1"/>
  <c r="D249" i="2"/>
  <c r="Q249" i="3" s="1"/>
  <c r="D249" i="3" s="1"/>
  <c r="D205" i="2"/>
  <c r="Q205" i="3" s="1"/>
  <c r="D205" i="3" s="1"/>
  <c r="D181" i="2"/>
  <c r="Q181" i="3" s="1"/>
  <c r="D181" i="3" s="1"/>
  <c r="D157" i="2"/>
  <c r="Q157" i="3" s="1"/>
  <c r="D157" i="3" s="1"/>
  <c r="D141" i="2"/>
  <c r="Q141" i="3" s="1"/>
  <c r="D141" i="3" s="1"/>
  <c r="D109" i="2"/>
  <c r="Q109" i="3" s="1"/>
  <c r="D109" i="3" s="1"/>
  <c r="D21" i="2"/>
  <c r="Q21" i="3" s="1"/>
  <c r="D21" i="3" s="1"/>
  <c r="D300" i="2"/>
  <c r="Q300" i="3" s="1"/>
  <c r="D300" i="3" s="1"/>
  <c r="D276" i="2"/>
  <c r="Q276" i="3" s="1"/>
  <c r="D276" i="3" s="1"/>
  <c r="D252" i="2"/>
  <c r="Q252" i="3" s="1"/>
  <c r="D252" i="3" s="1"/>
  <c r="D216" i="2"/>
  <c r="Q216" i="3" s="1"/>
  <c r="D216" i="3" s="1"/>
  <c r="D192" i="2"/>
  <c r="Q192" i="3" s="1"/>
  <c r="D192" i="3" s="1"/>
  <c r="D156" i="2"/>
  <c r="Q156" i="3" s="1"/>
  <c r="D156" i="3" s="1"/>
  <c r="D120" i="2"/>
  <c r="Q120" i="3" s="1"/>
  <c r="D120" i="3" s="1"/>
  <c r="B244" i="3"/>
  <c r="B295" i="3"/>
  <c r="B223" i="3"/>
  <c r="B199" i="3"/>
  <c r="B97" i="3"/>
  <c r="B79" i="3"/>
  <c r="D321" i="2"/>
  <c r="Q321" i="3" s="1"/>
  <c r="D321" i="3" s="1"/>
  <c r="B15" i="2"/>
  <c r="E275" i="2"/>
  <c r="R275" i="3" s="1"/>
  <c r="E275" i="3" s="1"/>
  <c r="D272" i="2"/>
  <c r="Q272" i="3" s="1"/>
  <c r="D272" i="3" s="1"/>
  <c r="T260" i="3"/>
  <c r="G260" i="3" s="1"/>
  <c r="C248" i="2"/>
  <c r="P248" i="3" s="1"/>
  <c r="C248" i="3" s="1"/>
  <c r="T224" i="3"/>
  <c r="G224" i="3" s="1"/>
  <c r="S212" i="3"/>
  <c r="F212" i="3" s="1"/>
  <c r="T200" i="3"/>
  <c r="G200" i="3" s="1"/>
  <c r="C116" i="2"/>
  <c r="P116" i="3" s="1"/>
  <c r="C116" i="3" s="1"/>
  <c r="S56" i="3"/>
  <c r="F56" i="3" s="1"/>
  <c r="C50" i="2"/>
  <c r="P50" i="3" s="1"/>
  <c r="C50" i="3" s="1"/>
  <c r="C271" i="2"/>
  <c r="P271" i="3" s="1"/>
  <c r="C271" i="3" s="1"/>
  <c r="G323" i="2"/>
  <c r="T323" i="3" s="1"/>
  <c r="G323" i="3" s="1"/>
  <c r="B62" i="3"/>
  <c r="B293" i="3"/>
  <c r="B161" i="3"/>
  <c r="B33" i="3"/>
  <c r="B227" i="3"/>
  <c r="B167" i="3"/>
  <c r="B131" i="3"/>
  <c r="B95" i="3"/>
  <c r="B63" i="3"/>
  <c r="B35" i="3"/>
  <c r="B7" i="3"/>
  <c r="B260" i="3"/>
  <c r="B236" i="3"/>
  <c r="B212" i="3"/>
  <c r="B188" i="3"/>
  <c r="B164" i="3"/>
  <c r="B140" i="3"/>
  <c r="B116" i="3"/>
  <c r="B92" i="3"/>
  <c r="B68" i="3"/>
  <c r="B44" i="3"/>
  <c r="B20" i="3"/>
  <c r="B261" i="3"/>
  <c r="B129" i="3"/>
  <c r="B323" i="3"/>
  <c r="B195" i="3"/>
  <c r="B159" i="3"/>
  <c r="B123" i="3"/>
  <c r="B87" i="3"/>
  <c r="B59" i="3"/>
  <c r="B31" i="3"/>
  <c r="B9" i="3"/>
  <c r="B284" i="3"/>
  <c r="B256" i="3"/>
  <c r="B232" i="3"/>
  <c r="B208" i="3"/>
  <c r="B184" i="3"/>
  <c r="B160" i="3"/>
  <c r="B136" i="3"/>
  <c r="B112" i="3"/>
  <c r="B88" i="3"/>
  <c r="B64" i="3"/>
  <c r="B40" i="3"/>
  <c r="B16" i="3"/>
  <c r="B86" i="3"/>
  <c r="B257" i="3"/>
  <c r="B101" i="3"/>
  <c r="B299" i="3"/>
  <c r="B219" i="3"/>
  <c r="B191" i="3"/>
  <c r="B155" i="3"/>
  <c r="B119" i="3"/>
  <c r="B83" i="3"/>
  <c r="B55" i="3"/>
  <c r="B27" i="3"/>
  <c r="B308" i="3"/>
  <c r="B70" i="3"/>
  <c r="B225" i="3"/>
  <c r="B215" i="3"/>
  <c r="B183" i="3"/>
  <c r="B147" i="3"/>
  <c r="B111" i="3"/>
  <c r="B51" i="3"/>
  <c r="B23" i="3"/>
  <c r="B272" i="3"/>
  <c r="B248" i="3"/>
  <c r="B224" i="3"/>
  <c r="B200" i="3"/>
  <c r="B176" i="3"/>
  <c r="B152" i="3"/>
  <c r="B128" i="3"/>
  <c r="B104" i="3"/>
  <c r="B80" i="3"/>
  <c r="B56" i="3"/>
  <c r="B32" i="3"/>
  <c r="B8" i="3"/>
  <c r="B22" i="3"/>
  <c r="B165" i="3"/>
  <c r="B65" i="3"/>
  <c r="B251" i="3"/>
  <c r="B203" i="3"/>
  <c r="B171" i="3"/>
  <c r="B135" i="3"/>
  <c r="B99" i="3"/>
  <c r="B71" i="3"/>
  <c r="B39" i="3"/>
  <c r="B11" i="3"/>
  <c r="B292" i="3"/>
  <c r="T151" i="3"/>
  <c r="G151" i="3" s="1"/>
  <c r="F171" i="2"/>
  <c r="S171" i="3" s="1"/>
  <c r="F171" i="3" s="1"/>
  <c r="T179" i="3"/>
  <c r="G179" i="3" s="1"/>
  <c r="B224" i="2"/>
  <c r="F311" i="2"/>
  <c r="S311" i="3" s="1"/>
  <c r="F311" i="3" s="1"/>
  <c r="T319" i="3"/>
  <c r="G319" i="3" s="1"/>
  <c r="B38" i="2"/>
  <c r="E242" i="2"/>
  <c r="R242" i="3" s="1"/>
  <c r="E242" i="3" s="1"/>
  <c r="B242" i="2"/>
  <c r="D236" i="2"/>
  <c r="Q236" i="3" s="1"/>
  <c r="D236" i="3" s="1"/>
  <c r="F236" i="2"/>
  <c r="S236" i="3" s="1"/>
  <c r="F236" i="3" s="1"/>
  <c r="B236" i="2"/>
  <c r="E188" i="2"/>
  <c r="R188" i="3" s="1"/>
  <c r="E188" i="3" s="1"/>
  <c r="F188" i="2"/>
  <c r="S188" i="3" s="1"/>
  <c r="F188" i="3" s="1"/>
  <c r="G176" i="2"/>
  <c r="T176" i="3" s="1"/>
  <c r="G176" i="3" s="1"/>
  <c r="D176" i="2"/>
  <c r="Q176" i="3" s="1"/>
  <c r="D176" i="3" s="1"/>
  <c r="C164" i="2"/>
  <c r="P164" i="3" s="1"/>
  <c r="C164" i="3" s="1"/>
  <c r="F164" i="2"/>
  <c r="S164" i="3" s="1"/>
  <c r="F164" i="3" s="1"/>
  <c r="E164" i="2"/>
  <c r="R164" i="3" s="1"/>
  <c r="E164" i="3" s="1"/>
  <c r="G152" i="2"/>
  <c r="T152" i="3" s="1"/>
  <c r="G152" i="3" s="1"/>
  <c r="D152" i="2"/>
  <c r="Q152" i="3" s="1"/>
  <c r="D152" i="3" s="1"/>
  <c r="B140" i="2"/>
  <c r="E140" i="2"/>
  <c r="R140" i="3" s="1"/>
  <c r="E140" i="3" s="1"/>
  <c r="C140" i="2"/>
  <c r="P140" i="3" s="1"/>
  <c r="C140" i="3" s="1"/>
  <c r="C128" i="2"/>
  <c r="P128" i="3" s="1"/>
  <c r="C128" i="3" s="1"/>
  <c r="F128" i="2"/>
  <c r="S128" i="3" s="1"/>
  <c r="F128" i="3" s="1"/>
  <c r="E128" i="2"/>
  <c r="R128" i="3" s="1"/>
  <c r="E128" i="3" s="1"/>
  <c r="E116" i="2"/>
  <c r="R116" i="3" s="1"/>
  <c r="E116" i="3" s="1"/>
  <c r="G116" i="2"/>
  <c r="T116" i="3" s="1"/>
  <c r="G116" i="3" s="1"/>
  <c r="F116" i="2"/>
  <c r="S116" i="3" s="1"/>
  <c r="F116" i="3" s="1"/>
  <c r="B104" i="2"/>
  <c r="D104" i="2"/>
  <c r="Q104" i="3" s="1"/>
  <c r="D104" i="3" s="1"/>
  <c r="G104" i="2"/>
  <c r="T104" i="3" s="1"/>
  <c r="G104" i="3" s="1"/>
  <c r="B92" i="2"/>
  <c r="G92" i="2"/>
  <c r="T92" i="3" s="1"/>
  <c r="G92" i="3" s="1"/>
  <c r="E92" i="2"/>
  <c r="R92" i="3" s="1"/>
  <c r="E92" i="3" s="1"/>
  <c r="C92" i="2"/>
  <c r="P92" i="3" s="1"/>
  <c r="C92" i="3" s="1"/>
  <c r="D80" i="2"/>
  <c r="Q80" i="3" s="1"/>
  <c r="D80" i="3" s="1"/>
  <c r="F80" i="2"/>
  <c r="S80" i="3" s="1"/>
  <c r="F80" i="3" s="1"/>
  <c r="E80" i="2"/>
  <c r="R80" i="3" s="1"/>
  <c r="E80" i="3" s="1"/>
  <c r="C80" i="2"/>
  <c r="P80" i="3" s="1"/>
  <c r="C80" i="3" s="1"/>
  <c r="B80" i="2"/>
  <c r="B68" i="2"/>
  <c r="E68" i="2"/>
  <c r="R68" i="3" s="1"/>
  <c r="E68" i="3" s="1"/>
  <c r="C68" i="2"/>
  <c r="P68" i="3" s="1"/>
  <c r="C68" i="3" s="1"/>
  <c r="D68" i="2"/>
  <c r="Q68" i="3" s="1"/>
  <c r="D68" i="3" s="1"/>
  <c r="D62" i="2"/>
  <c r="Q62" i="3" s="1"/>
  <c r="D62" i="3" s="1"/>
  <c r="B62" i="2"/>
  <c r="B56" i="2"/>
  <c r="C56" i="2"/>
  <c r="P56" i="3" s="1"/>
  <c r="C56" i="3" s="1"/>
  <c r="D56" i="2"/>
  <c r="Q56" i="3" s="1"/>
  <c r="D56" i="3" s="1"/>
  <c r="G56" i="2"/>
  <c r="T56" i="3" s="1"/>
  <c r="G56" i="3" s="1"/>
  <c r="D44" i="2"/>
  <c r="Q44" i="3" s="1"/>
  <c r="D44" i="3" s="1"/>
  <c r="B44" i="2"/>
  <c r="G44" i="2"/>
  <c r="T44" i="3" s="1"/>
  <c r="G44" i="3" s="1"/>
  <c r="F44" i="2"/>
  <c r="S44" i="3" s="1"/>
  <c r="F44" i="3" s="1"/>
  <c r="B32" i="2"/>
  <c r="D32" i="2"/>
  <c r="Q32" i="3" s="1"/>
  <c r="D32" i="3" s="1"/>
  <c r="G32" i="2"/>
  <c r="T32" i="3" s="1"/>
  <c r="G32" i="3" s="1"/>
  <c r="F32" i="2"/>
  <c r="S32" i="3" s="1"/>
  <c r="F32" i="3" s="1"/>
  <c r="D20" i="2"/>
  <c r="Q20" i="3" s="1"/>
  <c r="D20" i="3" s="1"/>
  <c r="B20" i="2"/>
  <c r="G20" i="2"/>
  <c r="T20" i="3" s="1"/>
  <c r="G20" i="3" s="1"/>
  <c r="F20" i="2"/>
  <c r="S20" i="3" s="1"/>
  <c r="F20" i="3" s="1"/>
  <c r="B8" i="2"/>
  <c r="G8" i="2"/>
  <c r="T8" i="3" s="1"/>
  <c r="G8" i="3" s="1"/>
  <c r="F8" i="2"/>
  <c r="S8" i="3" s="1"/>
  <c r="F8" i="3" s="1"/>
  <c r="F168" i="2"/>
  <c r="S168" i="3" s="1"/>
  <c r="F168" i="3" s="1"/>
  <c r="F216" i="2"/>
  <c r="S216" i="3" s="1"/>
  <c r="F216" i="3" s="1"/>
  <c r="F112" i="2"/>
  <c r="S112" i="3" s="1"/>
  <c r="F112" i="3" s="1"/>
  <c r="F88" i="2"/>
  <c r="S88" i="3" s="1"/>
  <c r="F88" i="3" s="1"/>
  <c r="F84" i="2"/>
  <c r="S84" i="3" s="1"/>
  <c r="F84" i="3" s="1"/>
  <c r="F327" i="2"/>
  <c r="S327" i="3" s="1"/>
  <c r="F327" i="3" s="1"/>
  <c r="F220" i="2"/>
  <c r="S220" i="3" s="1"/>
  <c r="F220" i="3" s="1"/>
  <c r="F124" i="2"/>
  <c r="S124" i="3" s="1"/>
  <c r="F124" i="3" s="1"/>
  <c r="F6" i="2"/>
  <c r="S6" i="3" s="1"/>
  <c r="F6" i="3" s="1"/>
  <c r="F235" i="2"/>
  <c r="S235" i="3" s="1"/>
  <c r="F235" i="3" s="1"/>
  <c r="F96" i="2"/>
  <c r="S96" i="3" s="1"/>
  <c r="F96" i="3" s="1"/>
  <c r="F283" i="2"/>
  <c r="S283" i="3" s="1"/>
  <c r="F283" i="3" s="1"/>
  <c r="F183" i="2"/>
  <c r="S183" i="3" s="1"/>
  <c r="F183" i="3" s="1"/>
  <c r="F175" i="2"/>
  <c r="S175" i="3" s="1"/>
  <c r="F175" i="3" s="1"/>
  <c r="F167" i="2"/>
  <c r="S167" i="3" s="1"/>
  <c r="F167" i="3" s="1"/>
  <c r="F159" i="2"/>
  <c r="S159" i="3" s="1"/>
  <c r="F159" i="3" s="1"/>
  <c r="F151" i="2"/>
  <c r="S151" i="3" s="1"/>
  <c r="F151" i="3" s="1"/>
  <c r="F143" i="2"/>
  <c r="S143" i="3" s="1"/>
  <c r="F143" i="3" s="1"/>
  <c r="F172" i="2"/>
  <c r="S172" i="3" s="1"/>
  <c r="F172" i="3" s="1"/>
  <c r="F100" i="2"/>
  <c r="S100" i="3" s="1"/>
  <c r="F100" i="3" s="1"/>
  <c r="F52" i="2"/>
  <c r="S52" i="3" s="1"/>
  <c r="F52" i="3" s="1"/>
  <c r="F48" i="2"/>
  <c r="S48" i="3" s="1"/>
  <c r="F48" i="3" s="1"/>
  <c r="F40" i="2"/>
  <c r="S40" i="3" s="1"/>
  <c r="F40" i="3" s="1"/>
  <c r="F36" i="2"/>
  <c r="S36" i="3" s="1"/>
  <c r="F36" i="3" s="1"/>
  <c r="F28" i="2"/>
  <c r="S28" i="3" s="1"/>
  <c r="F28" i="3" s="1"/>
  <c r="F24" i="2"/>
  <c r="S24" i="3" s="1"/>
  <c r="F24" i="3" s="1"/>
  <c r="F16" i="2"/>
  <c r="S16" i="3" s="1"/>
  <c r="F16" i="3" s="1"/>
  <c r="F12" i="2"/>
  <c r="S12" i="3" s="1"/>
  <c r="F12" i="3" s="1"/>
  <c r="F303" i="2"/>
  <c r="S303" i="3" s="1"/>
  <c r="F303" i="3" s="1"/>
  <c r="F276" i="2"/>
  <c r="S276" i="3" s="1"/>
  <c r="F276" i="3" s="1"/>
  <c r="F144" i="2"/>
  <c r="S144" i="3" s="1"/>
  <c r="F144" i="3" s="1"/>
  <c r="Q235" i="3"/>
  <c r="D235" i="3" s="1"/>
  <c r="B188" i="2"/>
  <c r="R52" i="3"/>
  <c r="E52" i="3" s="1"/>
  <c r="G80" i="2"/>
  <c r="T80" i="3" s="1"/>
  <c r="G80" i="3" s="1"/>
  <c r="Q100" i="3"/>
  <c r="D100" i="3" s="1"/>
  <c r="R120" i="3"/>
  <c r="E120" i="3" s="1"/>
  <c r="D128" i="2"/>
  <c r="Q128" i="3" s="1"/>
  <c r="D128" i="3" s="1"/>
  <c r="E152" i="2"/>
  <c r="R152" i="3" s="1"/>
  <c r="E152" i="3" s="1"/>
  <c r="B319" i="3"/>
  <c r="B313" i="3"/>
  <c r="B307" i="3"/>
  <c r="B289" i="3"/>
  <c r="B283" i="3"/>
  <c r="B277" i="3"/>
  <c r="B271" i="3"/>
  <c r="B265" i="3"/>
  <c r="B259" i="3"/>
  <c r="B247" i="3"/>
  <c r="B241" i="3"/>
  <c r="B235" i="3"/>
  <c r="B229" i="3"/>
  <c r="B217" i="3"/>
  <c r="B211" i="3"/>
  <c r="B193" i="3"/>
  <c r="B187" i="3"/>
  <c r="B181" i="3"/>
  <c r="B175" i="3"/>
  <c r="B169" i="3"/>
  <c r="B163" i="3"/>
  <c r="B151" i="3"/>
  <c r="B145" i="3"/>
  <c r="B139" i="3"/>
  <c r="B133" i="3"/>
  <c r="B127" i="3"/>
  <c r="B121" i="3"/>
  <c r="B115" i="3"/>
  <c r="B103" i="3"/>
  <c r="B91" i="3"/>
  <c r="B85" i="3"/>
  <c r="B73" i="3"/>
  <c r="B67" i="3"/>
  <c r="B49" i="3"/>
  <c r="B43" i="3"/>
  <c r="B37" i="3"/>
  <c r="T311" i="3"/>
  <c r="G311" i="3" s="1"/>
  <c r="T64" i="3"/>
  <c r="G64" i="3" s="1"/>
  <c r="Q124" i="3"/>
  <c r="D124" i="3" s="1"/>
  <c r="E258" i="2"/>
  <c r="R258" i="3" s="1"/>
  <c r="E258" i="3" s="1"/>
  <c r="E286" i="2"/>
  <c r="R286" i="3" s="1"/>
  <c r="E286" i="3" s="1"/>
  <c r="E203" i="2"/>
  <c r="R203" i="3" s="1"/>
  <c r="E203" i="3" s="1"/>
  <c r="D267" i="2"/>
  <c r="Q267" i="3" s="1"/>
  <c r="D267" i="3" s="1"/>
  <c r="E307" i="2"/>
  <c r="R307" i="3" s="1"/>
  <c r="E307" i="3" s="1"/>
  <c r="E259" i="2"/>
  <c r="R259" i="3" s="1"/>
  <c r="E259" i="3" s="1"/>
  <c r="E247" i="2"/>
  <c r="R247" i="3" s="1"/>
  <c r="E247" i="3" s="1"/>
  <c r="E223" i="2"/>
  <c r="R223" i="3" s="1"/>
  <c r="E223" i="3" s="1"/>
  <c r="E199" i="2"/>
  <c r="R199" i="3" s="1"/>
  <c r="E199" i="3" s="1"/>
  <c r="E187" i="2"/>
  <c r="R187" i="3" s="1"/>
  <c r="E187" i="3" s="1"/>
  <c r="B204" i="5"/>
  <c r="T16" i="3"/>
  <c r="G16" i="3" s="1"/>
  <c r="T28" i="3"/>
  <c r="G28" i="3" s="1"/>
  <c r="T40" i="3"/>
  <c r="G40" i="3" s="1"/>
  <c r="Q76" i="3"/>
  <c r="D76" i="3" s="1"/>
  <c r="C297" i="2"/>
  <c r="P297" i="3" s="1"/>
  <c r="C297" i="3" s="1"/>
  <c r="G309" i="2"/>
  <c r="T309" i="3" s="1"/>
  <c r="G309" i="3" s="1"/>
  <c r="C321" i="2"/>
  <c r="P321" i="3" s="1"/>
  <c r="C321" i="3" s="1"/>
  <c r="E42" i="2"/>
  <c r="R42" i="3" s="1"/>
  <c r="E42" i="3" s="1"/>
  <c r="E66" i="2"/>
  <c r="R66" i="3" s="1"/>
  <c r="E66" i="3" s="1"/>
  <c r="E102" i="2"/>
  <c r="R102" i="3" s="1"/>
  <c r="E102" i="3" s="1"/>
  <c r="E130" i="2"/>
  <c r="R130" i="3" s="1"/>
  <c r="E130" i="3" s="1"/>
  <c r="E246" i="2"/>
  <c r="R246" i="3" s="1"/>
  <c r="E246" i="3" s="1"/>
  <c r="E262" i="2"/>
  <c r="R262" i="3" s="1"/>
  <c r="E262" i="3" s="1"/>
  <c r="E310" i="2"/>
  <c r="R310" i="3" s="1"/>
  <c r="E310" i="3" s="1"/>
  <c r="E330" i="2"/>
  <c r="R330" i="3" s="1"/>
  <c r="E330" i="3" s="1"/>
  <c r="E207" i="2"/>
  <c r="R207" i="3" s="1"/>
  <c r="E207" i="3" s="1"/>
  <c r="E227" i="2"/>
  <c r="R227" i="3" s="1"/>
  <c r="E227" i="3" s="1"/>
  <c r="E251" i="2"/>
  <c r="R251" i="3" s="1"/>
  <c r="E251" i="3" s="1"/>
  <c r="E299" i="2"/>
  <c r="R299" i="3" s="1"/>
  <c r="E299" i="3" s="1"/>
  <c r="E138" i="2"/>
  <c r="R138" i="3" s="1"/>
  <c r="E138" i="3" s="1"/>
  <c r="T283" i="3"/>
  <c r="G283" i="3" s="1"/>
  <c r="R319" i="3"/>
  <c r="E319" i="3" s="1"/>
  <c r="P72" i="3"/>
  <c r="C72" i="3" s="1"/>
  <c r="T160" i="3"/>
  <c r="G160" i="3" s="1"/>
  <c r="E321" i="2"/>
  <c r="R321" i="3" s="1"/>
  <c r="E321" i="3" s="1"/>
  <c r="E30" i="2"/>
  <c r="R30" i="3" s="1"/>
  <c r="E30" i="3" s="1"/>
  <c r="E178" i="2"/>
  <c r="R178" i="3" s="1"/>
  <c r="E178" i="3" s="1"/>
  <c r="E202" i="2"/>
  <c r="R202" i="3" s="1"/>
  <c r="E202" i="3" s="1"/>
  <c r="E234" i="2"/>
  <c r="R234" i="3" s="1"/>
  <c r="E234" i="3" s="1"/>
  <c r="E270" i="2"/>
  <c r="R270" i="3" s="1"/>
  <c r="E270" i="3" s="1"/>
  <c r="E294" i="2"/>
  <c r="R294" i="3" s="1"/>
  <c r="E294" i="3" s="1"/>
  <c r="D231" i="2"/>
  <c r="Q231" i="3" s="1"/>
  <c r="D231" i="3" s="1"/>
  <c r="D255" i="2"/>
  <c r="Q255" i="3" s="1"/>
  <c r="D255" i="3" s="1"/>
  <c r="C307" i="2"/>
  <c r="P307" i="3" s="1"/>
  <c r="C307" i="3" s="1"/>
  <c r="T235" i="3"/>
  <c r="G235" i="3" s="1"/>
  <c r="P311" i="3"/>
  <c r="C311" i="3" s="1"/>
  <c r="P319" i="3"/>
  <c r="C319" i="3" s="1"/>
  <c r="P16" i="3"/>
  <c r="C16" i="3" s="1"/>
  <c r="Q40" i="3"/>
  <c r="D40" i="3" s="1"/>
  <c r="Q52" i="3"/>
  <c r="D52" i="3" s="1"/>
  <c r="P60" i="3"/>
  <c r="C60" i="3" s="1"/>
  <c r="P64" i="3"/>
  <c r="C64" i="3" s="1"/>
  <c r="T25" i="3"/>
  <c r="G25" i="3" s="1"/>
  <c r="E18" i="2"/>
  <c r="R18" i="3" s="1"/>
  <c r="E18" i="3" s="1"/>
  <c r="E250" i="2"/>
  <c r="R250" i="3" s="1"/>
  <c r="E250" i="3" s="1"/>
  <c r="E298" i="2"/>
  <c r="R298" i="3" s="1"/>
  <c r="E298" i="3" s="1"/>
  <c r="E318" i="2"/>
  <c r="R318" i="3" s="1"/>
  <c r="E318" i="3" s="1"/>
  <c r="E191" i="2"/>
  <c r="R191" i="3" s="1"/>
  <c r="E191" i="3" s="1"/>
  <c r="F92" i="2"/>
  <c r="S92" i="3" s="1"/>
  <c r="F92" i="3" s="1"/>
  <c r="F104" i="2"/>
  <c r="S104" i="3" s="1"/>
  <c r="F104" i="3" s="1"/>
  <c r="D116" i="2"/>
  <c r="Q116" i="3" s="1"/>
  <c r="D116" i="3" s="1"/>
  <c r="G128" i="2"/>
  <c r="T128" i="3" s="1"/>
  <c r="G128" i="3" s="1"/>
  <c r="F192" i="2"/>
  <c r="S192" i="3" s="1"/>
  <c r="F192" i="3" s="1"/>
  <c r="T196" i="3"/>
  <c r="G196" i="3" s="1"/>
  <c r="F280" i="2"/>
  <c r="S280" i="3" s="1"/>
  <c r="F280" i="3" s="1"/>
  <c r="F304" i="2"/>
  <c r="S304" i="3" s="1"/>
  <c r="F304" i="3" s="1"/>
  <c r="C188" i="2"/>
  <c r="P188" i="3" s="1"/>
  <c r="C188" i="3" s="1"/>
  <c r="D200" i="2"/>
  <c r="Q200" i="3" s="1"/>
  <c r="D200" i="3" s="1"/>
  <c r="Q208" i="3"/>
  <c r="D208" i="3" s="1"/>
  <c r="T280" i="3"/>
  <c r="G280" i="3" s="1"/>
  <c r="F77" i="2"/>
  <c r="S77" i="3" s="1"/>
  <c r="F77" i="3" s="1"/>
  <c r="F81" i="2"/>
  <c r="S81" i="3" s="1"/>
  <c r="F81" i="3" s="1"/>
  <c r="F85" i="2"/>
  <c r="S85" i="3" s="1"/>
  <c r="F85" i="3" s="1"/>
  <c r="T89" i="3"/>
  <c r="G89" i="3" s="1"/>
  <c r="F125" i="2"/>
  <c r="S125" i="3" s="1"/>
  <c r="F125" i="3" s="1"/>
  <c r="P137" i="3"/>
  <c r="C137" i="3" s="1"/>
  <c r="P173" i="3"/>
  <c r="C173" i="3" s="1"/>
  <c r="R327" i="3"/>
  <c r="E327" i="3" s="1"/>
  <c r="B194" i="2"/>
  <c r="B290" i="2"/>
  <c r="F120" i="2"/>
  <c r="S120" i="3" s="1"/>
  <c r="F120" i="3" s="1"/>
  <c r="T124" i="3"/>
  <c r="G124" i="3" s="1"/>
  <c r="T136" i="3"/>
  <c r="G136" i="3" s="1"/>
  <c r="R156" i="3"/>
  <c r="E156" i="3" s="1"/>
  <c r="T172" i="3"/>
  <c r="G172" i="3" s="1"/>
  <c r="T192" i="3"/>
  <c r="G192" i="3" s="1"/>
  <c r="P208" i="3"/>
  <c r="C208" i="3" s="1"/>
  <c r="T268" i="3"/>
  <c r="G268" i="3" s="1"/>
  <c r="E320" i="2"/>
  <c r="R320" i="3" s="1"/>
  <c r="E320" i="3" s="1"/>
  <c r="D320" i="2"/>
  <c r="Q320" i="3" s="1"/>
  <c r="D320" i="3" s="1"/>
  <c r="G308" i="2"/>
  <c r="T308" i="3" s="1"/>
  <c r="G308" i="3" s="1"/>
  <c r="F308" i="2"/>
  <c r="S308" i="3" s="1"/>
  <c r="F308" i="3" s="1"/>
  <c r="E308" i="2"/>
  <c r="R308" i="3" s="1"/>
  <c r="E308" i="3" s="1"/>
  <c r="D296" i="2"/>
  <c r="Q296" i="3" s="1"/>
  <c r="D296" i="3" s="1"/>
  <c r="C296" i="2"/>
  <c r="P296" i="3" s="1"/>
  <c r="C296" i="3" s="1"/>
  <c r="G284" i="2"/>
  <c r="T284" i="3" s="1"/>
  <c r="G284" i="3" s="1"/>
  <c r="F284" i="2"/>
  <c r="S284" i="3" s="1"/>
  <c r="F284" i="3" s="1"/>
  <c r="E284" i="2"/>
  <c r="R284" i="3" s="1"/>
  <c r="E284" i="3" s="1"/>
  <c r="E272" i="2"/>
  <c r="R272" i="3" s="1"/>
  <c r="E272" i="3" s="1"/>
  <c r="C272" i="2"/>
  <c r="P272" i="3" s="1"/>
  <c r="C272" i="3" s="1"/>
  <c r="D260" i="2"/>
  <c r="Q260" i="3" s="1"/>
  <c r="D260" i="3" s="1"/>
  <c r="E260" i="2"/>
  <c r="R260" i="3" s="1"/>
  <c r="E260" i="3" s="1"/>
  <c r="G248" i="2"/>
  <c r="T248" i="3" s="1"/>
  <c r="G248" i="3" s="1"/>
  <c r="F248" i="2"/>
  <c r="S248" i="3" s="1"/>
  <c r="F248" i="3" s="1"/>
  <c r="E248" i="2"/>
  <c r="R248" i="3" s="1"/>
  <c r="E248" i="3" s="1"/>
  <c r="D248" i="2"/>
  <c r="Q248" i="3" s="1"/>
  <c r="D248" i="3" s="1"/>
  <c r="E236" i="2"/>
  <c r="R236" i="3" s="1"/>
  <c r="E236" i="3" s="1"/>
  <c r="C236" i="2"/>
  <c r="P236" i="3" s="1"/>
  <c r="C236" i="3" s="1"/>
  <c r="G236" i="2"/>
  <c r="T236" i="3" s="1"/>
  <c r="G236" i="3" s="1"/>
  <c r="E224" i="2"/>
  <c r="R224" i="3" s="1"/>
  <c r="E224" i="3" s="1"/>
  <c r="F224" i="2"/>
  <c r="S224" i="3" s="1"/>
  <c r="F224" i="3" s="1"/>
  <c r="C224" i="2"/>
  <c r="P224" i="3" s="1"/>
  <c r="C224" i="3" s="1"/>
  <c r="D224" i="2"/>
  <c r="Q224" i="3" s="1"/>
  <c r="D224" i="3" s="1"/>
  <c r="D212" i="2"/>
  <c r="Q212" i="3" s="1"/>
  <c r="D212" i="3" s="1"/>
  <c r="G212" i="2"/>
  <c r="T212" i="3" s="1"/>
  <c r="G212" i="3" s="1"/>
  <c r="E212" i="2"/>
  <c r="R212" i="3" s="1"/>
  <c r="E212" i="3" s="1"/>
  <c r="F200" i="2"/>
  <c r="S200" i="3" s="1"/>
  <c r="F200" i="3" s="1"/>
  <c r="E200" i="2"/>
  <c r="R200" i="3" s="1"/>
  <c r="E200" i="3" s="1"/>
  <c r="C200" i="2"/>
  <c r="P200" i="3" s="1"/>
  <c r="C200" i="3" s="1"/>
  <c r="D188" i="2"/>
  <c r="Q188" i="3" s="1"/>
  <c r="D188" i="3" s="1"/>
  <c r="G188" i="2"/>
  <c r="T188" i="3" s="1"/>
  <c r="G188" i="3" s="1"/>
  <c r="E176" i="2"/>
  <c r="R176" i="3" s="1"/>
  <c r="E176" i="3" s="1"/>
  <c r="F176" i="2"/>
  <c r="S176" i="3" s="1"/>
  <c r="F176" i="3" s="1"/>
  <c r="C176" i="2"/>
  <c r="P176" i="3" s="1"/>
  <c r="C176" i="3" s="1"/>
  <c r="D164" i="2"/>
  <c r="Q164" i="3" s="1"/>
  <c r="D164" i="3" s="1"/>
  <c r="G164" i="2"/>
  <c r="T164" i="3" s="1"/>
  <c r="G164" i="3" s="1"/>
  <c r="F152" i="2"/>
  <c r="S152" i="3" s="1"/>
  <c r="F152" i="3" s="1"/>
  <c r="C152" i="2"/>
  <c r="P152" i="3" s="1"/>
  <c r="C152" i="3" s="1"/>
  <c r="D140" i="2"/>
  <c r="Q140" i="3" s="1"/>
  <c r="D140" i="3" s="1"/>
  <c r="G140" i="2"/>
  <c r="T140" i="3" s="1"/>
  <c r="G140" i="3" s="1"/>
  <c r="F29" i="2"/>
  <c r="S29" i="3" s="1"/>
  <c r="F29" i="3" s="1"/>
  <c r="F268" i="2"/>
  <c r="S268" i="3" s="1"/>
  <c r="F268" i="3" s="1"/>
  <c r="F244" i="2"/>
  <c r="S244" i="3" s="1"/>
  <c r="F244" i="3" s="1"/>
  <c r="F240" i="2"/>
  <c r="S240" i="3" s="1"/>
  <c r="F240" i="3" s="1"/>
  <c r="F196" i="2"/>
  <c r="S196" i="3" s="1"/>
  <c r="F196" i="3" s="1"/>
  <c r="F148" i="2"/>
  <c r="S148" i="3" s="1"/>
  <c r="F148" i="3" s="1"/>
  <c r="F228" i="2"/>
  <c r="S228" i="3" s="1"/>
  <c r="F228" i="3" s="1"/>
  <c r="F204" i="2"/>
  <c r="S204" i="3" s="1"/>
  <c r="F204" i="3" s="1"/>
  <c r="F324" i="2"/>
  <c r="S324" i="3" s="1"/>
  <c r="F324" i="3" s="1"/>
  <c r="F312" i="2"/>
  <c r="S312" i="3" s="1"/>
  <c r="F312" i="3" s="1"/>
  <c r="F252" i="2"/>
  <c r="S252" i="3" s="1"/>
  <c r="F252" i="3" s="1"/>
  <c r="F232" i="2"/>
  <c r="S232" i="3" s="1"/>
  <c r="F232" i="3" s="1"/>
  <c r="F184" i="2"/>
  <c r="S184" i="3" s="1"/>
  <c r="F184" i="3" s="1"/>
  <c r="F180" i="2"/>
  <c r="S180" i="3" s="1"/>
  <c r="F180" i="3" s="1"/>
  <c r="F160" i="2"/>
  <c r="S160" i="3" s="1"/>
  <c r="F160" i="3" s="1"/>
  <c r="F156" i="2"/>
  <c r="S156" i="3" s="1"/>
  <c r="F156" i="3" s="1"/>
  <c r="F136" i="2"/>
  <c r="S136" i="3" s="1"/>
  <c r="F136" i="3" s="1"/>
  <c r="F132" i="2"/>
  <c r="S132" i="3" s="1"/>
  <c r="F132" i="3" s="1"/>
  <c r="F229" i="2"/>
  <c r="S229" i="3" s="1"/>
  <c r="F229" i="3" s="1"/>
  <c r="F209" i="2"/>
  <c r="S209" i="3" s="1"/>
  <c r="F209" i="3" s="1"/>
  <c r="F205" i="2"/>
  <c r="S205" i="3" s="1"/>
  <c r="F205" i="3" s="1"/>
  <c r="F197" i="2"/>
  <c r="S197" i="3" s="1"/>
  <c r="F197" i="3" s="1"/>
  <c r="F65" i="2"/>
  <c r="S65" i="3" s="1"/>
  <c r="F65" i="3" s="1"/>
  <c r="F328" i="2"/>
  <c r="S328" i="3" s="1"/>
  <c r="F328" i="3" s="1"/>
  <c r="F316" i="2"/>
  <c r="S316" i="3" s="1"/>
  <c r="F316" i="3" s="1"/>
  <c r="F300" i="2"/>
  <c r="S300" i="3" s="1"/>
  <c r="F300" i="3" s="1"/>
  <c r="F288" i="2"/>
  <c r="S288" i="3" s="1"/>
  <c r="F288" i="3" s="1"/>
  <c r="F256" i="2"/>
  <c r="S256" i="3" s="1"/>
  <c r="F256" i="3" s="1"/>
  <c r="F208" i="2"/>
  <c r="S208" i="3" s="1"/>
  <c r="F208" i="3" s="1"/>
  <c r="F17" i="2"/>
  <c r="S17" i="3" s="1"/>
  <c r="F17" i="3" s="1"/>
  <c r="F13" i="2"/>
  <c r="S13" i="3" s="1"/>
  <c r="F13" i="3" s="1"/>
  <c r="F9" i="2"/>
  <c r="S9" i="3" s="1"/>
  <c r="F9" i="3" s="1"/>
  <c r="B218" i="5"/>
  <c r="B178" i="5"/>
  <c r="B146" i="5"/>
  <c r="B58" i="5"/>
  <c r="B112" i="5"/>
  <c r="T21" i="3"/>
  <c r="G21" i="3" s="1"/>
  <c r="R65" i="3"/>
  <c r="E65" i="3" s="1"/>
  <c r="T73" i="3"/>
  <c r="G73" i="3" s="1"/>
  <c r="T81" i="3"/>
  <c r="G81" i="3" s="1"/>
  <c r="T85" i="3"/>
  <c r="G85" i="3" s="1"/>
  <c r="T121" i="3"/>
  <c r="G121" i="3" s="1"/>
  <c r="T125" i="3"/>
  <c r="G125" i="3" s="1"/>
  <c r="P133" i="3"/>
  <c r="C133" i="3" s="1"/>
  <c r="P169" i="3"/>
  <c r="C169" i="3" s="1"/>
  <c r="T265" i="3"/>
  <c r="G265" i="3" s="1"/>
  <c r="T277" i="3"/>
  <c r="G277" i="3" s="1"/>
  <c r="T289" i="3"/>
  <c r="G289" i="3" s="1"/>
  <c r="T313" i="3"/>
  <c r="G313" i="3" s="1"/>
  <c r="P130" i="3"/>
  <c r="C130" i="3" s="1"/>
  <c r="Q244" i="3"/>
  <c r="D244" i="3" s="1"/>
  <c r="T41" i="3"/>
  <c r="G41" i="3" s="1"/>
  <c r="P53" i="3"/>
  <c r="C53" i="3" s="1"/>
  <c r="R117" i="3"/>
  <c r="E117" i="3" s="1"/>
  <c r="R153" i="3"/>
  <c r="E153" i="3" s="1"/>
  <c r="R201" i="3"/>
  <c r="E201" i="3" s="1"/>
  <c r="G286" i="2"/>
  <c r="T286" i="3" s="1"/>
  <c r="G286" i="3" s="1"/>
  <c r="E211" i="2"/>
  <c r="R211" i="3" s="1"/>
  <c r="E211" i="3" s="1"/>
  <c r="C223" i="2"/>
  <c r="G239" i="2"/>
  <c r="T239" i="3" s="1"/>
  <c r="G239" i="3" s="1"/>
  <c r="B231" i="3"/>
  <c r="B255" i="3"/>
  <c r="B279" i="3"/>
  <c r="B303" i="3"/>
  <c r="B6" i="3"/>
  <c r="B41" i="3"/>
  <c r="B105" i="3"/>
  <c r="B137" i="3"/>
  <c r="B201" i="3"/>
  <c r="B233" i="3"/>
  <c r="B297" i="3"/>
  <c r="Q148" i="3"/>
  <c r="D148" i="3" s="1"/>
  <c r="Q172" i="3"/>
  <c r="D172" i="3" s="1"/>
  <c r="P220" i="3"/>
  <c r="C220" i="3" s="1"/>
  <c r="P244" i="3"/>
  <c r="C244" i="3" s="1"/>
  <c r="T288" i="3"/>
  <c r="G288" i="3" s="1"/>
  <c r="T316" i="3"/>
  <c r="G316" i="3" s="1"/>
  <c r="T37" i="3"/>
  <c r="G37" i="3" s="1"/>
  <c r="T153" i="3"/>
  <c r="G153" i="3" s="1"/>
  <c r="P161" i="3"/>
  <c r="C161" i="3" s="1"/>
  <c r="P185" i="3"/>
  <c r="C185" i="3" s="1"/>
  <c r="Q189" i="3"/>
  <c r="D189" i="3" s="1"/>
  <c r="C199" i="2"/>
  <c r="P199" i="3" s="1"/>
  <c r="C199" i="3" s="1"/>
  <c r="B280" i="3"/>
  <c r="B304" i="3"/>
  <c r="B19" i="3"/>
  <c r="B17" i="3"/>
  <c r="B81" i="3"/>
  <c r="B113" i="3"/>
  <c r="B177" i="3"/>
  <c r="B209" i="3"/>
  <c r="B273" i="3"/>
  <c r="B305" i="3"/>
  <c r="B106" i="3"/>
  <c r="B94" i="3"/>
  <c r="B46" i="3"/>
  <c r="R180" i="3"/>
  <c r="E180" i="3" s="1"/>
  <c r="T184" i="3"/>
  <c r="G184" i="3" s="1"/>
  <c r="T208" i="3"/>
  <c r="G208" i="3" s="1"/>
  <c r="T232" i="3"/>
  <c r="G232" i="3" s="1"/>
  <c r="T312" i="3"/>
  <c r="G312" i="3" s="1"/>
  <c r="T33" i="3"/>
  <c r="G33" i="3" s="1"/>
  <c r="Q49" i="3"/>
  <c r="D49" i="3" s="1"/>
  <c r="T97" i="3"/>
  <c r="G97" i="3" s="1"/>
  <c r="G243" i="2"/>
  <c r="T243" i="3" s="1"/>
  <c r="G243" i="3" s="1"/>
  <c r="D259" i="2"/>
  <c r="Q259" i="3" s="1"/>
  <c r="D259" i="3" s="1"/>
  <c r="E271" i="2"/>
  <c r="R271" i="3" s="1"/>
  <c r="E271" i="3" s="1"/>
  <c r="G287" i="2"/>
  <c r="T287" i="3" s="1"/>
  <c r="G287" i="3" s="1"/>
  <c r="B239" i="3"/>
  <c r="B263" i="3"/>
  <c r="B287" i="3"/>
  <c r="B315" i="3"/>
  <c r="B21" i="3"/>
  <c r="B53" i="3"/>
  <c r="B117" i="3"/>
  <c r="B149" i="3"/>
  <c r="B213" i="3"/>
  <c r="B245" i="3"/>
  <c r="B309" i="3"/>
  <c r="T156" i="3"/>
  <c r="G156" i="3" s="1"/>
  <c r="T228" i="3"/>
  <c r="G228" i="3" s="1"/>
  <c r="B243" i="3"/>
  <c r="B267" i="3"/>
  <c r="B291" i="3"/>
  <c r="B25" i="3"/>
  <c r="B57" i="3"/>
  <c r="B89" i="3"/>
  <c r="B153" i="3"/>
  <c r="B185" i="3"/>
  <c r="B249" i="3"/>
  <c r="B281" i="3"/>
  <c r="B10" i="3"/>
  <c r="B74" i="3"/>
  <c r="B38" i="3"/>
  <c r="B14" i="3"/>
  <c r="E326" i="2"/>
  <c r="R326" i="3" s="1"/>
  <c r="E326" i="3" s="1"/>
  <c r="F326" i="2"/>
  <c r="S326" i="3" s="1"/>
  <c r="F326" i="3" s="1"/>
  <c r="D326" i="2"/>
  <c r="Q326" i="3" s="1"/>
  <c r="D326" i="3" s="1"/>
  <c r="G320" i="2"/>
  <c r="T320" i="3" s="1"/>
  <c r="G320" i="3" s="1"/>
  <c r="F320" i="2"/>
  <c r="S320" i="3" s="1"/>
  <c r="F320" i="3" s="1"/>
  <c r="C320" i="2"/>
  <c r="P320" i="3" s="1"/>
  <c r="C320" i="3" s="1"/>
  <c r="E314" i="2"/>
  <c r="R314" i="3" s="1"/>
  <c r="E314" i="3" s="1"/>
  <c r="D314" i="2"/>
  <c r="Q314" i="3" s="1"/>
  <c r="D314" i="3" s="1"/>
  <c r="C308" i="2"/>
  <c r="P308" i="3" s="1"/>
  <c r="C308" i="3" s="1"/>
  <c r="D308" i="2"/>
  <c r="Q308" i="3" s="1"/>
  <c r="D308" i="3" s="1"/>
  <c r="E302" i="2"/>
  <c r="R302" i="3" s="1"/>
  <c r="E302" i="3" s="1"/>
  <c r="D302" i="2"/>
  <c r="Q302" i="3" s="1"/>
  <c r="D302" i="3" s="1"/>
  <c r="B302" i="2"/>
  <c r="G296" i="2"/>
  <c r="T296" i="3" s="1"/>
  <c r="G296" i="3" s="1"/>
  <c r="F296" i="2"/>
  <c r="S296" i="3" s="1"/>
  <c r="F296" i="3" s="1"/>
  <c r="E296" i="2"/>
  <c r="R296" i="3" s="1"/>
  <c r="E296" i="3" s="1"/>
  <c r="D284" i="2"/>
  <c r="Q284" i="3" s="1"/>
  <c r="D284" i="3" s="1"/>
  <c r="C284" i="2"/>
  <c r="P284" i="3" s="1"/>
  <c r="C284" i="3" s="1"/>
  <c r="E278" i="2"/>
  <c r="R278" i="3" s="1"/>
  <c r="E278" i="3" s="1"/>
  <c r="C278" i="2"/>
  <c r="P278" i="3" s="1"/>
  <c r="C278" i="3" s="1"/>
  <c r="G272" i="2"/>
  <c r="T272" i="3" s="1"/>
  <c r="G272" i="3" s="1"/>
  <c r="F272" i="2"/>
  <c r="S272" i="3" s="1"/>
  <c r="F272" i="3" s="1"/>
  <c r="E266" i="2"/>
  <c r="R266" i="3" s="1"/>
  <c r="E266" i="3" s="1"/>
  <c r="B266" i="2"/>
  <c r="F266" i="2"/>
  <c r="S266" i="3" s="1"/>
  <c r="F266" i="3" s="1"/>
  <c r="F260" i="2"/>
  <c r="S260" i="3" s="1"/>
  <c r="F260" i="3" s="1"/>
  <c r="C260" i="2"/>
  <c r="P260" i="3" s="1"/>
  <c r="C260" i="3" s="1"/>
  <c r="E254" i="2"/>
  <c r="R254" i="3" s="1"/>
  <c r="E254" i="3" s="1"/>
  <c r="B254" i="2"/>
  <c r="G230" i="2"/>
  <c r="T230" i="3" s="1"/>
  <c r="G230" i="3" s="1"/>
  <c r="E230" i="2"/>
  <c r="R230" i="3" s="1"/>
  <c r="E230" i="3" s="1"/>
  <c r="D230" i="2"/>
  <c r="Q230" i="3" s="1"/>
  <c r="D230" i="3" s="1"/>
  <c r="F218" i="2"/>
  <c r="S218" i="3" s="1"/>
  <c r="F218" i="3" s="1"/>
  <c r="C218" i="2"/>
  <c r="P218" i="3" s="1"/>
  <c r="C218" i="3" s="1"/>
  <c r="B218" i="2"/>
  <c r="F206" i="2"/>
  <c r="S206" i="3" s="1"/>
  <c r="F206" i="3" s="1"/>
  <c r="C206" i="2"/>
  <c r="P206" i="3" s="1"/>
  <c r="C206" i="3" s="1"/>
  <c r="B206" i="2"/>
  <c r="G158" i="2"/>
  <c r="T158" i="3" s="1"/>
  <c r="G158" i="3" s="1"/>
  <c r="E158" i="2"/>
  <c r="R158" i="3" s="1"/>
  <c r="E158" i="3" s="1"/>
  <c r="B158" i="2"/>
  <c r="F146" i="2"/>
  <c r="S146" i="3" s="1"/>
  <c r="F146" i="3" s="1"/>
  <c r="E146" i="2"/>
  <c r="R146" i="3" s="1"/>
  <c r="E146" i="3" s="1"/>
  <c r="F134" i="2"/>
  <c r="S134" i="3" s="1"/>
  <c r="F134" i="3" s="1"/>
  <c r="C134" i="2"/>
  <c r="P134" i="3" s="1"/>
  <c r="C134" i="3" s="1"/>
  <c r="G122" i="2"/>
  <c r="T122" i="3" s="1"/>
  <c r="G122" i="3" s="1"/>
  <c r="E122" i="2"/>
  <c r="R122" i="3" s="1"/>
  <c r="E122" i="3" s="1"/>
  <c r="B122" i="2"/>
  <c r="D122" i="2"/>
  <c r="Q122" i="3" s="1"/>
  <c r="D122" i="3" s="1"/>
  <c r="F110" i="2"/>
  <c r="S110" i="3" s="1"/>
  <c r="F110" i="3" s="1"/>
  <c r="E110" i="2"/>
  <c r="R110" i="3" s="1"/>
  <c r="E110" i="3" s="1"/>
  <c r="C110" i="2"/>
  <c r="P110" i="3" s="1"/>
  <c r="C110" i="3" s="1"/>
  <c r="B110" i="2"/>
  <c r="G98" i="2"/>
  <c r="T98" i="3" s="1"/>
  <c r="G98" i="3" s="1"/>
  <c r="D98" i="2"/>
  <c r="Q98" i="3" s="1"/>
  <c r="D98" i="3" s="1"/>
  <c r="F86" i="2"/>
  <c r="S86" i="3" s="1"/>
  <c r="F86" i="3" s="1"/>
  <c r="C86" i="2"/>
  <c r="P86" i="3" s="1"/>
  <c r="C86" i="3" s="1"/>
  <c r="F74" i="2"/>
  <c r="S74" i="3" s="1"/>
  <c r="F74" i="3" s="1"/>
  <c r="E74" i="2"/>
  <c r="R74" i="3" s="1"/>
  <c r="E74" i="3" s="1"/>
  <c r="D74" i="2"/>
  <c r="Q74" i="3" s="1"/>
  <c r="D74" i="3" s="1"/>
  <c r="B74" i="2"/>
  <c r="P325" i="3"/>
  <c r="C325" i="3" s="1"/>
  <c r="R329" i="3"/>
  <c r="E329" i="3" s="1"/>
  <c r="F14" i="2"/>
  <c r="S14" i="3" s="1"/>
  <c r="F14" i="3" s="1"/>
  <c r="B14" i="2"/>
  <c r="C14" i="2"/>
  <c r="P14" i="3" s="1"/>
  <c r="C14" i="3" s="1"/>
  <c r="F275" i="2"/>
  <c r="S275" i="3" s="1"/>
  <c r="F275" i="3" s="1"/>
  <c r="F234" i="2"/>
  <c r="S234" i="3" s="1"/>
  <c r="F234" i="3" s="1"/>
  <c r="F226" i="2"/>
  <c r="S226" i="3" s="1"/>
  <c r="F226" i="3" s="1"/>
  <c r="F138" i="2"/>
  <c r="S138" i="3" s="1"/>
  <c r="F138" i="3" s="1"/>
  <c r="F126" i="2"/>
  <c r="S126" i="3" s="1"/>
  <c r="F126" i="3" s="1"/>
  <c r="F321" i="2"/>
  <c r="S321" i="3" s="1"/>
  <c r="F321" i="3" s="1"/>
  <c r="F317" i="2"/>
  <c r="S317" i="3" s="1"/>
  <c r="F317" i="3" s="1"/>
  <c r="F313" i="2"/>
  <c r="S313" i="3" s="1"/>
  <c r="F313" i="3" s="1"/>
  <c r="F309" i="2"/>
  <c r="S309" i="3" s="1"/>
  <c r="F309" i="3" s="1"/>
  <c r="F305" i="2"/>
  <c r="S305" i="3" s="1"/>
  <c r="F305" i="3" s="1"/>
  <c r="F301" i="2"/>
  <c r="S301" i="3" s="1"/>
  <c r="F301" i="3" s="1"/>
  <c r="F297" i="2"/>
  <c r="S297" i="3" s="1"/>
  <c r="F297" i="3" s="1"/>
  <c r="F293" i="2"/>
  <c r="S293" i="3" s="1"/>
  <c r="F293" i="3" s="1"/>
  <c r="F193" i="2"/>
  <c r="S193" i="3" s="1"/>
  <c r="F193" i="3" s="1"/>
  <c r="F189" i="2"/>
  <c r="S189" i="3" s="1"/>
  <c r="F189" i="3" s="1"/>
  <c r="F295" i="2"/>
  <c r="S295" i="3" s="1"/>
  <c r="F295" i="3" s="1"/>
  <c r="F211" i="2"/>
  <c r="S211" i="3" s="1"/>
  <c r="F211" i="3" s="1"/>
  <c r="F298" i="2"/>
  <c r="S298" i="3" s="1"/>
  <c r="F298" i="3" s="1"/>
  <c r="F174" i="2"/>
  <c r="S174" i="3" s="1"/>
  <c r="F174" i="3" s="1"/>
  <c r="F58" i="2"/>
  <c r="S58" i="3" s="1"/>
  <c r="F58" i="3" s="1"/>
  <c r="F186" i="2"/>
  <c r="S186" i="3" s="1"/>
  <c r="F186" i="3" s="1"/>
  <c r="F94" i="2"/>
  <c r="S94" i="3" s="1"/>
  <c r="F94" i="3" s="1"/>
  <c r="F82" i="2"/>
  <c r="S82" i="3" s="1"/>
  <c r="F82" i="3" s="1"/>
  <c r="F70" i="2"/>
  <c r="S70" i="3" s="1"/>
  <c r="F70" i="3" s="1"/>
  <c r="F329" i="2"/>
  <c r="S329" i="3" s="1"/>
  <c r="F329" i="3" s="1"/>
  <c r="F250" i="2"/>
  <c r="S250" i="3" s="1"/>
  <c r="F250" i="3" s="1"/>
  <c r="F214" i="2"/>
  <c r="S214" i="3" s="1"/>
  <c r="F214" i="3" s="1"/>
  <c r="F198" i="2"/>
  <c r="S198" i="3" s="1"/>
  <c r="F198" i="3" s="1"/>
  <c r="F66" i="2"/>
  <c r="S66" i="3" s="1"/>
  <c r="F66" i="3" s="1"/>
  <c r="F54" i="2"/>
  <c r="S54" i="3" s="1"/>
  <c r="F54" i="3" s="1"/>
  <c r="F225" i="2"/>
  <c r="S225" i="3" s="1"/>
  <c r="F225" i="3" s="1"/>
  <c r="B52" i="5"/>
  <c r="B38" i="5"/>
  <c r="B156" i="5"/>
  <c r="B314" i="5"/>
  <c r="B278" i="5"/>
  <c r="B246" i="5"/>
  <c r="B210" i="5"/>
  <c r="B136" i="5"/>
  <c r="B143" i="5"/>
  <c r="B185" i="5"/>
  <c r="B174" i="5"/>
  <c r="B142" i="5"/>
  <c r="B320" i="5"/>
  <c r="B292" i="5"/>
  <c r="B260" i="5"/>
  <c r="B232" i="5"/>
  <c r="B200" i="5"/>
  <c r="B32" i="5"/>
  <c r="B10" i="5"/>
  <c r="B141" i="5"/>
  <c r="B124" i="5"/>
  <c r="B310" i="5"/>
  <c r="B274" i="5"/>
  <c r="B242" i="5"/>
  <c r="B206" i="5"/>
  <c r="B120" i="5"/>
  <c r="B131" i="5"/>
  <c r="B177" i="5"/>
  <c r="B170" i="5"/>
  <c r="B138" i="5"/>
  <c r="B316" i="5"/>
  <c r="B284" i="5"/>
  <c r="B256" i="5"/>
  <c r="B228" i="5"/>
  <c r="B196" i="5"/>
  <c r="B150" i="5"/>
  <c r="B117" i="5"/>
  <c r="B89" i="5"/>
  <c r="B306" i="5"/>
  <c r="B270" i="5"/>
  <c r="B238" i="5"/>
  <c r="B202" i="5"/>
  <c r="B104" i="5"/>
  <c r="B164" i="5"/>
  <c r="B162" i="5"/>
  <c r="B130" i="5"/>
  <c r="B312" i="5"/>
  <c r="B280" i="5"/>
  <c r="B252" i="5"/>
  <c r="B220" i="5"/>
  <c r="B190" i="5"/>
  <c r="B106" i="5"/>
  <c r="B41" i="5"/>
  <c r="B93" i="5"/>
  <c r="B330" i="5"/>
  <c r="B298" i="5"/>
  <c r="B262" i="5"/>
  <c r="B226" i="5"/>
  <c r="B188" i="5"/>
  <c r="B183" i="5"/>
  <c r="B119" i="5"/>
  <c r="B221" i="5"/>
  <c r="B132" i="5"/>
  <c r="B158" i="5"/>
  <c r="B126" i="5"/>
  <c r="B308" i="5"/>
  <c r="B276" i="5"/>
  <c r="B248" i="5"/>
  <c r="B216" i="5"/>
  <c r="B184" i="5"/>
  <c r="B9" i="5"/>
  <c r="B78" i="5"/>
  <c r="B194" i="5"/>
  <c r="B326" i="5"/>
  <c r="B290" i="5"/>
  <c r="B258" i="5"/>
  <c r="B222" i="5"/>
  <c r="B180" i="5"/>
  <c r="B111" i="5"/>
  <c r="B201" i="5"/>
  <c r="B99" i="5"/>
  <c r="B154" i="5"/>
  <c r="B328" i="5"/>
  <c r="B300" i="5"/>
  <c r="B268" i="5"/>
  <c r="B244" i="5"/>
  <c r="B212" i="5"/>
  <c r="B128" i="5"/>
  <c r="P93" i="3"/>
  <c r="C93" i="3" s="1"/>
  <c r="P101" i="3"/>
  <c r="C101" i="3" s="1"/>
  <c r="F117" i="2"/>
  <c r="S117" i="3" s="1"/>
  <c r="F117" i="3" s="1"/>
  <c r="Q137" i="3"/>
  <c r="D137" i="3" s="1"/>
  <c r="R141" i="3"/>
  <c r="E141" i="3" s="1"/>
  <c r="F145" i="2"/>
  <c r="S145" i="3" s="1"/>
  <c r="F145" i="3" s="1"/>
  <c r="Q177" i="3"/>
  <c r="D177" i="3" s="1"/>
  <c r="F185" i="2"/>
  <c r="S185" i="3" s="1"/>
  <c r="F185" i="3" s="1"/>
  <c r="R189" i="3"/>
  <c r="E189" i="3" s="1"/>
  <c r="T193" i="3"/>
  <c r="G193" i="3" s="1"/>
  <c r="Q221" i="3"/>
  <c r="D221" i="3" s="1"/>
  <c r="F261" i="2"/>
  <c r="S261" i="3" s="1"/>
  <c r="F261" i="3" s="1"/>
  <c r="F50" i="2"/>
  <c r="S50" i="3" s="1"/>
  <c r="F50" i="3" s="1"/>
  <c r="T102" i="3"/>
  <c r="G102" i="3" s="1"/>
  <c r="F243" i="2"/>
  <c r="S243" i="3" s="1"/>
  <c r="F243" i="3" s="1"/>
  <c r="B236" i="5"/>
  <c r="B192" i="5"/>
  <c r="B286" i="5"/>
  <c r="B240" i="5"/>
  <c r="Q288" i="3"/>
  <c r="D288" i="3" s="1"/>
  <c r="Q292" i="3"/>
  <c r="D292" i="3" s="1"/>
  <c r="P312" i="3"/>
  <c r="C312" i="3" s="1"/>
  <c r="T328" i="3"/>
  <c r="G328" i="3" s="1"/>
  <c r="T13" i="3"/>
  <c r="G13" i="3" s="1"/>
  <c r="F21" i="2"/>
  <c r="S21" i="3" s="1"/>
  <c r="F21" i="3" s="1"/>
  <c r="R53" i="3"/>
  <c r="E53" i="3" s="1"/>
  <c r="F57" i="2"/>
  <c r="S57" i="3" s="1"/>
  <c r="F57" i="3" s="1"/>
  <c r="T65" i="3"/>
  <c r="G65" i="3" s="1"/>
  <c r="P77" i="3"/>
  <c r="C77" i="3" s="1"/>
  <c r="P81" i="3"/>
  <c r="C81" i="3" s="1"/>
  <c r="P89" i="3"/>
  <c r="C89" i="3" s="1"/>
  <c r="Q97" i="3"/>
  <c r="D97" i="3" s="1"/>
  <c r="F109" i="2"/>
  <c r="S109" i="3" s="1"/>
  <c r="F109" i="3" s="1"/>
  <c r="Q129" i="3"/>
  <c r="D129" i="3" s="1"/>
  <c r="F137" i="2"/>
  <c r="S137" i="3" s="1"/>
  <c r="F137" i="3" s="1"/>
  <c r="T141" i="3"/>
  <c r="G141" i="3" s="1"/>
  <c r="T145" i="3"/>
  <c r="G145" i="3" s="1"/>
  <c r="F169" i="2"/>
  <c r="S169" i="3" s="1"/>
  <c r="F169" i="3" s="1"/>
  <c r="R173" i="3"/>
  <c r="E173" i="3" s="1"/>
  <c r="P209" i="3"/>
  <c r="C209" i="3" s="1"/>
  <c r="R221" i="3"/>
  <c r="E221" i="3" s="1"/>
  <c r="F26" i="2"/>
  <c r="S26" i="3" s="1"/>
  <c r="F26" i="3" s="1"/>
  <c r="B264" i="5"/>
  <c r="B95" i="5"/>
  <c r="B322" i="5"/>
  <c r="T244" i="3"/>
  <c r="G244" i="3" s="1"/>
  <c r="T276" i="3"/>
  <c r="G276" i="3" s="1"/>
  <c r="P292" i="3"/>
  <c r="C292" i="3" s="1"/>
  <c r="F49" i="2"/>
  <c r="S49" i="3" s="1"/>
  <c r="F49" i="3" s="1"/>
  <c r="Q81" i="3"/>
  <c r="D81" i="3" s="1"/>
  <c r="T105" i="3"/>
  <c r="G105" i="3" s="1"/>
  <c r="T109" i="3"/>
  <c r="G109" i="3" s="1"/>
  <c r="P117" i="3"/>
  <c r="C117" i="3" s="1"/>
  <c r="F133" i="2"/>
  <c r="S133" i="3" s="1"/>
  <c r="F133" i="3" s="1"/>
  <c r="P149" i="3"/>
  <c r="C149" i="3" s="1"/>
  <c r="F161" i="2"/>
  <c r="S161" i="3" s="1"/>
  <c r="F161" i="3" s="1"/>
  <c r="F165" i="2"/>
  <c r="S165" i="3" s="1"/>
  <c r="F165" i="3" s="1"/>
  <c r="F173" i="2"/>
  <c r="S173" i="3" s="1"/>
  <c r="F173" i="3" s="1"/>
  <c r="F177" i="2"/>
  <c r="S177" i="3" s="1"/>
  <c r="F177" i="3" s="1"/>
  <c r="T185" i="3"/>
  <c r="G185" i="3" s="1"/>
  <c r="P197" i="3"/>
  <c r="C197" i="3" s="1"/>
  <c r="R217" i="3"/>
  <c r="E217" i="3" s="1"/>
  <c r="F221" i="2"/>
  <c r="S221" i="3" s="1"/>
  <c r="F221" i="3" s="1"/>
  <c r="T225" i="3"/>
  <c r="G225" i="3" s="1"/>
  <c r="T301" i="3"/>
  <c r="G301" i="3" s="1"/>
  <c r="Q30" i="3"/>
  <c r="D30" i="3" s="1"/>
  <c r="R90" i="3"/>
  <c r="E90" i="3" s="1"/>
  <c r="T114" i="3"/>
  <c r="G114" i="3" s="1"/>
  <c r="F142" i="2"/>
  <c r="S142" i="3" s="1"/>
  <c r="F142" i="3" s="1"/>
  <c r="B296" i="5"/>
  <c r="B147" i="5"/>
  <c r="P328" i="3"/>
  <c r="C328" i="3" s="1"/>
  <c r="P13" i="3"/>
  <c r="C13" i="3" s="1"/>
  <c r="P25" i="3"/>
  <c r="C25" i="3" s="1"/>
  <c r="Q29" i="3"/>
  <c r="D29" i="3" s="1"/>
  <c r="F37" i="2"/>
  <c r="S37" i="3" s="1"/>
  <c r="F37" i="3" s="1"/>
  <c r="F41" i="2"/>
  <c r="S41" i="3" s="1"/>
  <c r="F41" i="3" s="1"/>
  <c r="T49" i="3"/>
  <c r="G49" i="3" s="1"/>
  <c r="P69" i="3"/>
  <c r="C69" i="3" s="1"/>
  <c r="Q73" i="3"/>
  <c r="D73" i="3" s="1"/>
  <c r="R85" i="3"/>
  <c r="E85" i="3" s="1"/>
  <c r="F93" i="2"/>
  <c r="S93" i="3" s="1"/>
  <c r="F93" i="3" s="1"/>
  <c r="F97" i="2"/>
  <c r="S97" i="3" s="1"/>
  <c r="F97" i="3" s="1"/>
  <c r="F101" i="2"/>
  <c r="S101" i="3" s="1"/>
  <c r="F101" i="3" s="1"/>
  <c r="F121" i="2"/>
  <c r="S121" i="3" s="1"/>
  <c r="F121" i="3" s="1"/>
  <c r="R125" i="3"/>
  <c r="E125" i="3" s="1"/>
  <c r="T133" i="3"/>
  <c r="G133" i="3" s="1"/>
  <c r="T137" i="3"/>
  <c r="G137" i="3" s="1"/>
  <c r="P145" i="3"/>
  <c r="C145" i="3" s="1"/>
  <c r="F153" i="2"/>
  <c r="S153" i="3" s="1"/>
  <c r="F153" i="3" s="1"/>
  <c r="T157" i="3"/>
  <c r="G157" i="3" s="1"/>
  <c r="T161" i="3"/>
  <c r="G161" i="3" s="1"/>
  <c r="T169" i="3"/>
  <c r="G169" i="3" s="1"/>
  <c r="T173" i="3"/>
  <c r="G173" i="3" s="1"/>
  <c r="P193" i="3"/>
  <c r="C193" i="3" s="1"/>
  <c r="T217" i="3"/>
  <c r="G217" i="3" s="1"/>
  <c r="T221" i="3"/>
  <c r="G221" i="3" s="1"/>
  <c r="P229" i="3"/>
  <c r="C229" i="3" s="1"/>
  <c r="T321" i="3"/>
  <c r="G321" i="3" s="1"/>
  <c r="P329" i="3"/>
  <c r="C329" i="3" s="1"/>
  <c r="F90" i="2"/>
  <c r="S90" i="3" s="1"/>
  <c r="F90" i="3" s="1"/>
  <c r="P118" i="3"/>
  <c r="C118" i="3" s="1"/>
  <c r="B324" i="5"/>
  <c r="B168" i="5"/>
  <c r="B173" i="5"/>
  <c r="T229" i="3"/>
  <c r="G229" i="3" s="1"/>
  <c r="T241" i="3"/>
  <c r="G241" i="3" s="1"/>
  <c r="T253" i="3"/>
  <c r="G253" i="3" s="1"/>
  <c r="T273" i="3"/>
  <c r="G273" i="3" s="1"/>
  <c r="P301" i="3"/>
  <c r="C301" i="3" s="1"/>
  <c r="P317" i="3"/>
  <c r="C317" i="3" s="1"/>
  <c r="Q10" i="3"/>
  <c r="D10" i="3" s="1"/>
  <c r="P82" i="3"/>
  <c r="C82" i="3" s="1"/>
  <c r="F162" i="2"/>
  <c r="S162" i="3" s="1"/>
  <c r="F162" i="3" s="1"/>
  <c r="F150" i="2"/>
  <c r="S150" i="3" s="1"/>
  <c r="F150" i="3" s="1"/>
  <c r="F42" i="2"/>
  <c r="S42" i="3" s="1"/>
  <c r="F42" i="3" s="1"/>
  <c r="B323" i="5"/>
  <c r="B311" i="5"/>
  <c r="B299" i="5"/>
  <c r="B287" i="5"/>
  <c r="B275" i="5"/>
  <c r="B263" i="5"/>
  <c r="B251" i="5"/>
  <c r="B239" i="5"/>
  <c r="B227" i="5"/>
  <c r="B215" i="5"/>
  <c r="B203" i="5"/>
  <c r="B191" i="5"/>
  <c r="B179" i="5"/>
  <c r="B167" i="5"/>
  <c r="B155" i="5"/>
  <c r="B11" i="5"/>
  <c r="P245" i="3"/>
  <c r="C245" i="3" s="1"/>
  <c r="P265" i="3"/>
  <c r="C265" i="3" s="1"/>
  <c r="P277" i="3"/>
  <c r="C277" i="3" s="1"/>
  <c r="Q281" i="3"/>
  <c r="D281" i="3" s="1"/>
  <c r="P289" i="3"/>
  <c r="C289" i="3" s="1"/>
  <c r="R297" i="3"/>
  <c r="E297" i="3" s="1"/>
  <c r="P305" i="3"/>
  <c r="C305" i="3" s="1"/>
  <c r="P313" i="3"/>
  <c r="C313" i="3" s="1"/>
  <c r="P202" i="3"/>
  <c r="C202" i="3" s="1"/>
  <c r="P330" i="3"/>
  <c r="C330" i="3" s="1"/>
  <c r="B160" i="5"/>
  <c r="R265" i="3"/>
  <c r="E265" i="3" s="1"/>
  <c r="T269" i="3"/>
  <c r="G269" i="3" s="1"/>
  <c r="T281" i="3"/>
  <c r="G281" i="3" s="1"/>
  <c r="R301" i="3"/>
  <c r="E301" i="3" s="1"/>
  <c r="T329" i="3"/>
  <c r="G329" i="3" s="1"/>
  <c r="T250" i="3"/>
  <c r="G250" i="3" s="1"/>
  <c r="Q310" i="3"/>
  <c r="D310" i="3" s="1"/>
  <c r="P223" i="3"/>
  <c r="C223" i="3" s="1"/>
  <c r="F118" i="2"/>
  <c r="S118" i="3" s="1"/>
  <c r="F118" i="3" s="1"/>
  <c r="B327" i="5"/>
  <c r="B315" i="5"/>
  <c r="B303" i="5"/>
  <c r="B291" i="5"/>
  <c r="B279" i="5"/>
  <c r="B267" i="5"/>
  <c r="B255" i="5"/>
  <c r="B243" i="5"/>
  <c r="B231" i="5"/>
  <c r="B219" i="5"/>
  <c r="B207" i="5"/>
  <c r="B195" i="5"/>
  <c r="B135" i="5"/>
  <c r="B39" i="5"/>
  <c r="T205" i="3"/>
  <c r="G205" i="3" s="1"/>
  <c r="T209" i="3"/>
  <c r="G209" i="3" s="1"/>
  <c r="P221" i="3"/>
  <c r="C221" i="3" s="1"/>
  <c r="Q233" i="3"/>
  <c r="D233" i="3" s="1"/>
  <c r="P241" i="3"/>
  <c r="C241" i="3" s="1"/>
  <c r="R261" i="3"/>
  <c r="E261" i="3" s="1"/>
  <c r="Q178" i="3"/>
  <c r="D178" i="3" s="1"/>
  <c r="C315" i="2"/>
  <c r="P315" i="3" s="1"/>
  <c r="C315" i="3" s="1"/>
  <c r="B261" i="1"/>
  <c r="B320" i="1"/>
  <c r="B76" i="5"/>
  <c r="B12" i="5"/>
  <c r="B329" i="3"/>
  <c r="B325" i="3"/>
  <c r="B321" i="3"/>
  <c r="B25" i="5"/>
  <c r="B324" i="3"/>
  <c r="B316" i="3"/>
  <c r="B276" i="1"/>
  <c r="B330" i="3"/>
  <c r="B326" i="3"/>
  <c r="B318" i="3"/>
  <c r="B314" i="3"/>
  <c r="B302" i="3"/>
  <c r="B298" i="3"/>
  <c r="B294" i="3"/>
  <c r="B286" i="3"/>
  <c r="B282" i="3"/>
  <c r="B278" i="3"/>
  <c r="B274" i="3"/>
  <c r="B270" i="3"/>
  <c r="B262" i="3"/>
  <c r="B258" i="3"/>
  <c r="B246" i="3"/>
  <c r="B242" i="3"/>
  <c r="B238" i="3"/>
  <c r="B230" i="3"/>
  <c r="B226" i="3"/>
  <c r="B222" i="3"/>
  <c r="B218" i="3"/>
  <c r="B214" i="3"/>
  <c r="B206" i="3"/>
  <c r="B198" i="3"/>
  <c r="B194" i="3"/>
  <c r="B190" i="3"/>
  <c r="B182" i="3"/>
  <c r="B178" i="3"/>
  <c r="B170" i="3"/>
  <c r="B158" i="3"/>
  <c r="B146" i="3"/>
  <c r="B138" i="3"/>
  <c r="B130" i="3"/>
  <c r="B118" i="3"/>
  <c r="B114" i="3"/>
  <c r="B98" i="3"/>
  <c r="B82" i="3"/>
  <c r="B66" i="3"/>
  <c r="B50" i="3"/>
  <c r="B34" i="3"/>
  <c r="B18" i="3"/>
  <c r="F104" i="5"/>
  <c r="Q251" i="3"/>
  <c r="D251" i="3" s="1"/>
  <c r="B212" i="1"/>
  <c r="G206" i="2"/>
  <c r="T206" i="3" s="1"/>
  <c r="G206" i="3" s="1"/>
  <c r="G214" i="2"/>
  <c r="T214" i="3" s="1"/>
  <c r="G214" i="3" s="1"/>
  <c r="G242" i="2"/>
  <c r="T242" i="3" s="1"/>
  <c r="G242" i="3" s="1"/>
  <c r="C250" i="2"/>
  <c r="P250" i="3" s="1"/>
  <c r="C250" i="3" s="1"/>
  <c r="C254" i="2"/>
  <c r="P254" i="3" s="1"/>
  <c r="C254" i="3" s="1"/>
  <c r="G262" i="2"/>
  <c r="T262" i="3" s="1"/>
  <c r="G262" i="3" s="1"/>
  <c r="G266" i="2"/>
  <c r="T266" i="3" s="1"/>
  <c r="G266" i="3" s="1"/>
  <c r="C274" i="2"/>
  <c r="P274" i="3" s="1"/>
  <c r="C274" i="3" s="1"/>
  <c r="G282" i="2"/>
  <c r="T282" i="3" s="1"/>
  <c r="G282" i="3" s="1"/>
  <c r="C290" i="2"/>
  <c r="P290" i="3" s="1"/>
  <c r="C290" i="3" s="1"/>
  <c r="G187" i="2"/>
  <c r="T187" i="3" s="1"/>
  <c r="G187" i="3" s="1"/>
  <c r="C195" i="2"/>
  <c r="P195" i="3" s="1"/>
  <c r="C195" i="3" s="1"/>
  <c r="G203" i="2"/>
  <c r="T203" i="3" s="1"/>
  <c r="G203" i="3" s="1"/>
  <c r="C211" i="2"/>
  <c r="P211" i="3" s="1"/>
  <c r="C211" i="3" s="1"/>
  <c r="C215" i="2"/>
  <c r="P215" i="3" s="1"/>
  <c r="C215" i="3" s="1"/>
  <c r="C219" i="2"/>
  <c r="P219" i="3" s="1"/>
  <c r="C219" i="3" s="1"/>
  <c r="G227" i="2"/>
  <c r="T227" i="3" s="1"/>
  <c r="G227" i="3" s="1"/>
  <c r="G231" i="2"/>
  <c r="T231" i="3" s="1"/>
  <c r="G231" i="3" s="1"/>
  <c r="C243" i="2"/>
  <c r="P243" i="3" s="1"/>
  <c r="C243" i="3" s="1"/>
  <c r="C247" i="2"/>
  <c r="P247" i="3" s="1"/>
  <c r="C247" i="3" s="1"/>
  <c r="C251" i="2"/>
  <c r="P251" i="3" s="1"/>
  <c r="C251" i="3" s="1"/>
  <c r="C259" i="2"/>
  <c r="P259" i="3" s="1"/>
  <c r="C259" i="3" s="1"/>
  <c r="C267" i="2"/>
  <c r="P267" i="3" s="1"/>
  <c r="C267" i="3" s="1"/>
  <c r="G271" i="2"/>
  <c r="T271" i="3" s="1"/>
  <c r="G271" i="3" s="1"/>
  <c r="G279" i="2"/>
  <c r="T279" i="3" s="1"/>
  <c r="G279" i="3" s="1"/>
  <c r="C291" i="2"/>
  <c r="P291" i="3" s="1"/>
  <c r="C291" i="3" s="1"/>
  <c r="G315" i="2"/>
  <c r="T315" i="3" s="1"/>
  <c r="G315" i="3" s="1"/>
  <c r="B224" i="1"/>
  <c r="B288" i="1"/>
  <c r="B324" i="1"/>
  <c r="B198" i="5"/>
  <c r="B214" i="5"/>
  <c r="B234" i="5"/>
  <c r="B250" i="5"/>
  <c r="B266" i="5"/>
  <c r="B282" i="5"/>
  <c r="B302" i="5"/>
  <c r="B318" i="5"/>
  <c r="B172" i="5"/>
  <c r="B101" i="5"/>
  <c r="B145" i="5"/>
  <c r="B161" i="5"/>
  <c r="B293" i="1"/>
  <c r="B49" i="5"/>
  <c r="B81" i="5"/>
  <c r="B14" i="5"/>
  <c r="B42" i="5"/>
  <c r="B62" i="5"/>
  <c r="B86" i="5"/>
  <c r="B118" i="5"/>
  <c r="B166" i="5"/>
  <c r="B16" i="5"/>
  <c r="B36" i="5"/>
  <c r="B60" i="5"/>
  <c r="B84" i="5"/>
  <c r="B176" i="5"/>
  <c r="B272" i="5"/>
  <c r="B13" i="5"/>
  <c r="B77" i="5"/>
  <c r="B26" i="5"/>
  <c r="F224" i="5"/>
  <c r="G258" i="2"/>
  <c r="T258" i="3" s="1"/>
  <c r="G258" i="3" s="1"/>
  <c r="C266" i="2"/>
  <c r="P266" i="3" s="1"/>
  <c r="C266" i="3" s="1"/>
  <c r="C270" i="2"/>
  <c r="P270" i="3" s="1"/>
  <c r="C270" i="3" s="1"/>
  <c r="R274" i="3"/>
  <c r="E274" i="3" s="1"/>
  <c r="G278" i="2"/>
  <c r="T278" i="3" s="1"/>
  <c r="G278" i="3" s="1"/>
  <c r="C286" i="2"/>
  <c r="P286" i="3" s="1"/>
  <c r="C286" i="3" s="1"/>
  <c r="G294" i="2"/>
  <c r="T294" i="3" s="1"/>
  <c r="G294" i="3" s="1"/>
  <c r="G298" i="2"/>
  <c r="T298" i="3" s="1"/>
  <c r="G298" i="3" s="1"/>
  <c r="G302" i="2"/>
  <c r="T302" i="3" s="1"/>
  <c r="G302" i="3" s="1"/>
  <c r="G306" i="2"/>
  <c r="T306" i="3" s="1"/>
  <c r="G306" i="3" s="1"/>
  <c r="G310" i="2"/>
  <c r="T310" i="3" s="1"/>
  <c r="G310" i="3" s="1"/>
  <c r="G314" i="2"/>
  <c r="T314" i="3" s="1"/>
  <c r="G314" i="3" s="1"/>
  <c r="G318" i="2"/>
  <c r="T318" i="3" s="1"/>
  <c r="G318" i="3" s="1"/>
  <c r="G322" i="2"/>
  <c r="T322" i="3" s="1"/>
  <c r="G322" i="3" s="1"/>
  <c r="G330" i="2"/>
  <c r="T330" i="3" s="1"/>
  <c r="G330" i="3" s="1"/>
  <c r="C191" i="2"/>
  <c r="P191" i="3" s="1"/>
  <c r="C191" i="3" s="1"/>
  <c r="G199" i="2"/>
  <c r="T199" i="3" s="1"/>
  <c r="G199" i="3" s="1"/>
  <c r="C207" i="2"/>
  <c r="P207" i="3" s="1"/>
  <c r="C207" i="3" s="1"/>
  <c r="G223" i="2"/>
  <c r="T223" i="3" s="1"/>
  <c r="G223" i="3" s="1"/>
  <c r="C231" i="2"/>
  <c r="P231" i="3" s="1"/>
  <c r="C231" i="3" s="1"/>
  <c r="C239" i="2"/>
  <c r="P239" i="3" s="1"/>
  <c r="C239" i="3" s="1"/>
  <c r="C255" i="2"/>
  <c r="P255" i="3" s="1"/>
  <c r="C255" i="3" s="1"/>
  <c r="G263" i="2"/>
  <c r="T263" i="3" s="1"/>
  <c r="G263" i="3" s="1"/>
  <c r="G267" i="2"/>
  <c r="T267" i="3" s="1"/>
  <c r="G267" i="3" s="1"/>
  <c r="G275" i="2"/>
  <c r="T275" i="3" s="1"/>
  <c r="G275" i="3" s="1"/>
  <c r="C299" i="2"/>
  <c r="P299" i="3" s="1"/>
  <c r="C299" i="3" s="1"/>
  <c r="G307" i="2"/>
  <c r="T307" i="3" s="1"/>
  <c r="G307" i="3" s="1"/>
  <c r="C323" i="2"/>
  <c r="P323" i="3" s="1"/>
  <c r="C323" i="3" s="1"/>
  <c r="B256" i="1"/>
  <c r="B300" i="1"/>
  <c r="B173" i="1"/>
  <c r="B113" i="5"/>
  <c r="B149" i="5"/>
  <c r="B165" i="5"/>
  <c r="B57" i="5"/>
  <c r="B97" i="5"/>
  <c r="B22" i="5"/>
  <c r="B46" i="5"/>
  <c r="B70" i="5"/>
  <c r="B98" i="5"/>
  <c r="B122" i="5"/>
  <c r="B182" i="5"/>
  <c r="B20" i="5"/>
  <c r="B44" i="5"/>
  <c r="B64" i="5"/>
  <c r="B108" i="5"/>
  <c r="B208" i="5"/>
  <c r="B288" i="5"/>
  <c r="B17" i="5"/>
  <c r="B69" i="5"/>
  <c r="G218" i="2"/>
  <c r="T218" i="3" s="1"/>
  <c r="G218" i="3" s="1"/>
  <c r="C230" i="2"/>
  <c r="P230" i="3" s="1"/>
  <c r="C230" i="3" s="1"/>
  <c r="C234" i="2"/>
  <c r="G234" i="2"/>
  <c r="T234" i="3" s="1"/>
  <c r="G234" i="3" s="1"/>
  <c r="C242" i="2"/>
  <c r="P242" i="3" s="1"/>
  <c r="C242" i="3" s="1"/>
  <c r="G254" i="2"/>
  <c r="T254" i="3" s="1"/>
  <c r="G254" i="3" s="1"/>
  <c r="C262" i="2"/>
  <c r="P262" i="3" s="1"/>
  <c r="C262" i="3" s="1"/>
  <c r="G274" i="2"/>
  <c r="T274" i="3" s="1"/>
  <c r="G274" i="3" s="1"/>
  <c r="C282" i="2"/>
  <c r="P282" i="3" s="1"/>
  <c r="C282" i="3" s="1"/>
  <c r="G290" i="2"/>
  <c r="T290" i="3" s="1"/>
  <c r="G290" i="3" s="1"/>
  <c r="C298" i="2"/>
  <c r="P298" i="3" s="1"/>
  <c r="C298" i="3" s="1"/>
  <c r="C302" i="2"/>
  <c r="P302" i="3" s="1"/>
  <c r="C302" i="3" s="1"/>
  <c r="C306" i="2"/>
  <c r="P306" i="3" s="1"/>
  <c r="C306" i="3" s="1"/>
  <c r="C310" i="2"/>
  <c r="P310" i="3" s="1"/>
  <c r="C310" i="3" s="1"/>
  <c r="C314" i="2"/>
  <c r="P314" i="3" s="1"/>
  <c r="C314" i="3" s="1"/>
  <c r="C318" i="2"/>
  <c r="P318" i="3" s="1"/>
  <c r="C318" i="3" s="1"/>
  <c r="C322" i="2"/>
  <c r="P322" i="3" s="1"/>
  <c r="C322" i="3" s="1"/>
  <c r="C326" i="2"/>
  <c r="P326" i="3" s="1"/>
  <c r="C326" i="3" s="1"/>
  <c r="G326" i="2"/>
  <c r="T326" i="3" s="1"/>
  <c r="G326" i="3" s="1"/>
  <c r="C187" i="2"/>
  <c r="P187" i="3" s="1"/>
  <c r="C187" i="3" s="1"/>
  <c r="G195" i="2"/>
  <c r="T195" i="3" s="1"/>
  <c r="G195" i="3" s="1"/>
  <c r="C203" i="2"/>
  <c r="P203" i="3" s="1"/>
  <c r="C203" i="3" s="1"/>
  <c r="G219" i="2"/>
  <c r="T219" i="3" s="1"/>
  <c r="G219" i="3" s="1"/>
  <c r="C227" i="2"/>
  <c r="P227" i="3" s="1"/>
  <c r="C227" i="3" s="1"/>
  <c r="G247" i="2"/>
  <c r="T247" i="3" s="1"/>
  <c r="G247" i="3" s="1"/>
  <c r="G251" i="2"/>
  <c r="T251" i="3" s="1"/>
  <c r="G251" i="3" s="1"/>
  <c r="G255" i="2"/>
  <c r="T255" i="3" s="1"/>
  <c r="G255" i="3" s="1"/>
  <c r="G259" i="2"/>
  <c r="T259" i="3" s="1"/>
  <c r="G259" i="3" s="1"/>
  <c r="C275" i="2"/>
  <c r="P275" i="3" s="1"/>
  <c r="C275" i="3" s="1"/>
  <c r="C279" i="2"/>
  <c r="P279" i="3" s="1"/>
  <c r="C279" i="3" s="1"/>
  <c r="C287" i="2"/>
  <c r="P287" i="3" s="1"/>
  <c r="C287" i="3" s="1"/>
  <c r="G291" i="2"/>
  <c r="T291" i="3" s="1"/>
  <c r="G291" i="3" s="1"/>
  <c r="G299" i="2"/>
  <c r="T299" i="3" s="1"/>
  <c r="G299" i="3" s="1"/>
  <c r="B204" i="1"/>
  <c r="B268" i="1"/>
  <c r="B308" i="1"/>
  <c r="B153" i="5"/>
  <c r="B169" i="5"/>
  <c r="B33" i="5"/>
  <c r="B65" i="5"/>
  <c r="B294" i="5"/>
  <c r="B30" i="5"/>
  <c r="B54" i="5"/>
  <c r="B74" i="5"/>
  <c r="B102" i="5"/>
  <c r="B134" i="5"/>
  <c r="B230" i="5"/>
  <c r="B28" i="5"/>
  <c r="B48" i="5"/>
  <c r="B68" i="5"/>
  <c r="B116" i="5"/>
  <c r="B224" i="5"/>
  <c r="B304" i="5"/>
  <c r="B80" i="5"/>
  <c r="F15" i="5"/>
  <c r="F7" i="5"/>
  <c r="F238" i="5"/>
  <c r="I61" i="3"/>
  <c r="D238" i="2"/>
  <c r="Q238" i="3" s="1"/>
  <c r="D238" i="3" s="1"/>
  <c r="D242" i="2"/>
  <c r="Q242" i="3" s="1"/>
  <c r="D242" i="3" s="1"/>
  <c r="D246" i="2"/>
  <c r="Q246" i="3" s="1"/>
  <c r="D246" i="3" s="1"/>
  <c r="D250" i="2"/>
  <c r="Q250" i="3" s="1"/>
  <c r="D250" i="3" s="1"/>
  <c r="D330" i="2"/>
  <c r="T191" i="3"/>
  <c r="G191" i="3" s="1"/>
  <c r="T207" i="3"/>
  <c r="G207" i="3" s="1"/>
  <c r="R219" i="3"/>
  <c r="E219" i="3" s="1"/>
  <c r="R231" i="3"/>
  <c r="E231" i="3" s="1"/>
  <c r="R239" i="3"/>
  <c r="E239" i="3" s="1"/>
  <c r="R243" i="3"/>
  <c r="E243" i="3" s="1"/>
  <c r="D247" i="2"/>
  <c r="Q247" i="3" s="1"/>
  <c r="D247" i="3" s="1"/>
  <c r="R255" i="3"/>
  <c r="E255" i="3" s="1"/>
  <c r="D263" i="2"/>
  <c r="Q263" i="3" s="1"/>
  <c r="D263" i="3" s="1"/>
  <c r="R267" i="3"/>
  <c r="E267" i="3" s="1"/>
  <c r="D271" i="2"/>
  <c r="Q271" i="3" s="1"/>
  <c r="D271" i="3" s="1"/>
  <c r="D287" i="2"/>
  <c r="Q287" i="3" s="1"/>
  <c r="D287" i="3" s="1"/>
  <c r="D291" i="2"/>
  <c r="Q291" i="3" s="1"/>
  <c r="D291" i="3" s="1"/>
  <c r="D254" i="2"/>
  <c r="Q254" i="3" s="1"/>
  <c r="D254" i="3" s="1"/>
  <c r="D258" i="2"/>
  <c r="Q258" i="3" s="1"/>
  <c r="D258" i="3" s="1"/>
  <c r="D262" i="2"/>
  <c r="Q262" i="3" s="1"/>
  <c r="D262" i="3" s="1"/>
  <c r="D266" i="2"/>
  <c r="Q266" i="3" s="1"/>
  <c r="D266" i="3" s="1"/>
  <c r="D187" i="2"/>
  <c r="Q187" i="3" s="1"/>
  <c r="D187" i="3" s="1"/>
  <c r="D191" i="2"/>
  <c r="Q191" i="3" s="1"/>
  <c r="D191" i="3" s="1"/>
  <c r="D203" i="2"/>
  <c r="Q203" i="3" s="1"/>
  <c r="D203" i="3" s="1"/>
  <c r="D207" i="2"/>
  <c r="Q207" i="3" s="1"/>
  <c r="D207" i="3" s="1"/>
  <c r="D211" i="2"/>
  <c r="Q211" i="3" s="1"/>
  <c r="D211" i="3" s="1"/>
  <c r="T211" i="3"/>
  <c r="G211" i="3" s="1"/>
  <c r="T215" i="3"/>
  <c r="G215" i="3" s="1"/>
  <c r="D279" i="2"/>
  <c r="Q279" i="3" s="1"/>
  <c r="D279" i="3" s="1"/>
  <c r="D299" i="2"/>
  <c r="Q299" i="3" s="1"/>
  <c r="D299" i="3" s="1"/>
  <c r="D307" i="2"/>
  <c r="Q307" i="3" s="1"/>
  <c r="D307" i="3" s="1"/>
  <c r="D315" i="2"/>
  <c r="Q315" i="3" s="1"/>
  <c r="D315" i="3" s="1"/>
  <c r="D323" i="2"/>
  <c r="Q323" i="3" s="1"/>
  <c r="D323" i="3" s="1"/>
  <c r="B260" i="2"/>
  <c r="D222" i="2"/>
  <c r="Q222" i="3" s="1"/>
  <c r="D222" i="3" s="1"/>
  <c r="P234" i="3"/>
  <c r="C234" i="3" s="1"/>
  <c r="D270" i="2"/>
  <c r="Q270" i="3" s="1"/>
  <c r="D270" i="3" s="1"/>
  <c r="D274" i="2"/>
  <c r="Q274" i="3" s="1"/>
  <c r="D274" i="3" s="1"/>
  <c r="D278" i="2"/>
  <c r="Q278" i="3" s="1"/>
  <c r="D278" i="3" s="1"/>
  <c r="D282" i="2"/>
  <c r="Q282" i="3" s="1"/>
  <c r="D282" i="3" s="1"/>
  <c r="D286" i="2"/>
  <c r="Q286" i="3" s="1"/>
  <c r="D286" i="3" s="1"/>
  <c r="D290" i="2"/>
  <c r="Q290" i="3" s="1"/>
  <c r="D290" i="3" s="1"/>
  <c r="D294" i="2"/>
  <c r="Q294" i="3" s="1"/>
  <c r="D294" i="3" s="1"/>
  <c r="D298" i="2"/>
  <c r="Q298" i="3" s="1"/>
  <c r="D298" i="3" s="1"/>
  <c r="D195" i="2"/>
  <c r="Q195" i="3" s="1"/>
  <c r="D195" i="3" s="1"/>
  <c r="D199" i="2"/>
  <c r="Q199" i="3" s="1"/>
  <c r="D199" i="3" s="1"/>
  <c r="D219" i="2"/>
  <c r="Q219" i="3" s="1"/>
  <c r="D219" i="3" s="1"/>
  <c r="D223" i="2"/>
  <c r="Q223" i="3" s="1"/>
  <c r="D223" i="3" s="1"/>
  <c r="D227" i="2"/>
  <c r="Q227" i="3" s="1"/>
  <c r="D227" i="3" s="1"/>
  <c r="D239" i="2"/>
  <c r="Q239" i="3" s="1"/>
  <c r="D239" i="3" s="1"/>
  <c r="D243" i="2"/>
  <c r="Q243" i="3" s="1"/>
  <c r="D243" i="3" s="1"/>
  <c r="R279" i="3"/>
  <c r="E279" i="3" s="1"/>
  <c r="R315" i="3"/>
  <c r="E315" i="3" s="1"/>
  <c r="B176" i="2"/>
  <c r="B45" i="5"/>
  <c r="B281" i="1"/>
  <c r="B264" i="2"/>
  <c r="B75" i="5"/>
  <c r="A1" i="1"/>
  <c r="A1" i="3"/>
  <c r="B169" i="1"/>
  <c r="B249" i="1"/>
  <c r="B209" i="1"/>
  <c r="B294" i="1"/>
  <c r="B148" i="5"/>
  <c r="B137" i="5"/>
  <c r="B133" i="5"/>
  <c r="B121" i="5"/>
  <c r="B109" i="5"/>
  <c r="B105" i="5"/>
  <c r="B23" i="5"/>
  <c r="B19" i="5"/>
  <c r="B153" i="1"/>
  <c r="B193" i="1"/>
  <c r="B229" i="1"/>
  <c r="B103" i="5"/>
  <c r="B87" i="5"/>
  <c r="B83" i="5"/>
  <c r="B29" i="5"/>
  <c r="B157" i="1"/>
  <c r="B213" i="1"/>
  <c r="B94" i="5"/>
  <c r="B90" i="5"/>
  <c r="B71" i="5"/>
  <c r="B55" i="5"/>
  <c r="B51" i="5"/>
  <c r="B43" i="5"/>
  <c r="I10" i="12"/>
  <c r="B42" i="12"/>
  <c r="B37" i="12"/>
  <c r="B36" i="12"/>
  <c r="A1" i="12"/>
  <c r="B15" i="12"/>
  <c r="A1" i="2"/>
  <c r="F302" i="1"/>
  <c r="B190" i="1"/>
  <c r="F71" i="1"/>
  <c r="D194" i="2"/>
  <c r="Q194" i="3" s="1"/>
  <c r="D194" i="3" s="1"/>
  <c r="D126" i="2"/>
  <c r="Q126" i="3" s="1"/>
  <c r="D126" i="3" s="1"/>
  <c r="D114" i="2"/>
  <c r="Q114" i="3" s="1"/>
  <c r="D114" i="3" s="1"/>
  <c r="D102" i="2"/>
  <c r="Q102" i="3" s="1"/>
  <c r="D102" i="3" s="1"/>
  <c r="E94" i="2"/>
  <c r="R94" i="3" s="1"/>
  <c r="E94" i="3" s="1"/>
  <c r="D90" i="2"/>
  <c r="Q90" i="3" s="1"/>
  <c r="D90" i="3" s="1"/>
  <c r="E82" i="2"/>
  <c r="R82" i="3" s="1"/>
  <c r="E82" i="3" s="1"/>
  <c r="D58" i="2"/>
  <c r="Q58" i="3" s="1"/>
  <c r="D58" i="3" s="1"/>
  <c r="E50" i="2"/>
  <c r="R50" i="3" s="1"/>
  <c r="E50" i="3" s="1"/>
  <c r="E26" i="2"/>
  <c r="R26" i="3" s="1"/>
  <c r="E26" i="3" s="1"/>
  <c r="B116" i="2"/>
  <c r="F259" i="2"/>
  <c r="S259" i="3" s="1"/>
  <c r="F259" i="3" s="1"/>
  <c r="B123" i="5"/>
  <c r="I314" i="3"/>
  <c r="B126" i="1"/>
  <c r="F258" i="1"/>
  <c r="B246" i="1"/>
  <c r="F232" i="1"/>
  <c r="H8" i="2"/>
  <c r="U8" i="3" s="1"/>
  <c r="V8" i="3" s="1"/>
  <c r="W8" i="3" s="1"/>
  <c r="D8" i="2"/>
  <c r="Q8" i="3" s="1"/>
  <c r="D8" i="3" s="1"/>
  <c r="H108" i="2"/>
  <c r="U108" i="3" s="1"/>
  <c r="V108" i="3" s="1"/>
  <c r="W108" i="3" s="1"/>
  <c r="B328" i="3"/>
  <c r="I176" i="3"/>
  <c r="B161" i="1"/>
  <c r="B181" i="1"/>
  <c r="B225" i="1"/>
  <c r="B277" i="1"/>
  <c r="B189" i="1"/>
  <c r="B245" i="1"/>
  <c r="B305" i="1"/>
  <c r="B330" i="1"/>
  <c r="B278" i="1"/>
  <c r="B214" i="1"/>
  <c r="B166" i="1"/>
  <c r="B90" i="3"/>
  <c r="B110" i="3"/>
  <c r="B134" i="3"/>
  <c r="B154" i="3"/>
  <c r="B174" i="3"/>
  <c r="B202" i="3"/>
  <c r="B234" i="3"/>
  <c r="B310" i="3"/>
  <c r="B254" i="3"/>
  <c r="B322" i="3"/>
  <c r="B327" i="3"/>
  <c r="B312" i="3"/>
  <c r="B301" i="3"/>
  <c r="B285" i="3"/>
  <c r="B269" i="3"/>
  <c r="B165" i="1"/>
  <c r="B185" i="1"/>
  <c r="B241" i="1"/>
  <c r="B289" i="1"/>
  <c r="B197" i="1"/>
  <c r="B257" i="1"/>
  <c r="B313" i="1"/>
  <c r="B326" i="1"/>
  <c r="B262" i="1"/>
  <c r="B236" i="1"/>
  <c r="B202" i="1"/>
  <c r="B150" i="1"/>
  <c r="B142" i="1"/>
  <c r="B134" i="1"/>
  <c r="G69" i="1"/>
  <c r="G298" i="1"/>
  <c r="G287" i="1"/>
  <c r="G283" i="1"/>
  <c r="G277" i="1"/>
  <c r="G262" i="1"/>
  <c r="G250" i="1"/>
  <c r="G239" i="1"/>
  <c r="G235" i="1"/>
  <c r="G202" i="1"/>
  <c r="B198" i="1"/>
  <c r="B149" i="1"/>
  <c r="G145" i="1"/>
  <c r="G137" i="1"/>
  <c r="G95" i="1"/>
  <c r="G83" i="1"/>
  <c r="G67" i="1"/>
  <c r="G55" i="1"/>
  <c r="G39" i="1"/>
  <c r="G27" i="1"/>
  <c r="G11" i="1"/>
  <c r="C226" i="2"/>
  <c r="P226" i="3" s="1"/>
  <c r="C226" i="3" s="1"/>
  <c r="C214" i="2"/>
  <c r="P214" i="3" s="1"/>
  <c r="C214" i="3" s="1"/>
  <c r="G198" i="2"/>
  <c r="T198" i="3" s="1"/>
  <c r="G198" i="3" s="1"/>
  <c r="G186" i="2"/>
  <c r="T186" i="3" s="1"/>
  <c r="G186" i="3" s="1"/>
  <c r="C182" i="2"/>
  <c r="P182" i="3" s="1"/>
  <c r="C182" i="3" s="1"/>
  <c r="G174" i="2"/>
  <c r="T174" i="3" s="1"/>
  <c r="G174" i="3" s="1"/>
  <c r="C170" i="2"/>
  <c r="P170" i="3" s="1"/>
  <c r="C170" i="3" s="1"/>
  <c r="C158" i="2"/>
  <c r="P158" i="3" s="1"/>
  <c r="C158" i="3" s="1"/>
  <c r="C146" i="2"/>
  <c r="P146" i="3" s="1"/>
  <c r="C146" i="3" s="1"/>
  <c r="G130" i="2"/>
  <c r="T130" i="3" s="1"/>
  <c r="G130" i="3" s="1"/>
  <c r="G106" i="2"/>
  <c r="T106" i="3" s="1"/>
  <c r="G106" i="3" s="1"/>
  <c r="C70" i="2"/>
  <c r="P70" i="3" s="1"/>
  <c r="C70" i="3" s="1"/>
  <c r="G62" i="2"/>
  <c r="T62" i="3" s="1"/>
  <c r="G62" i="3" s="1"/>
  <c r="C38" i="2"/>
  <c r="P38" i="3" s="1"/>
  <c r="C38" i="3" s="1"/>
  <c r="G30" i="2"/>
  <c r="T30" i="3" s="1"/>
  <c r="G30" i="3" s="1"/>
  <c r="C22" i="2"/>
  <c r="P22" i="3" s="1"/>
  <c r="C22" i="3" s="1"/>
  <c r="G14" i="2"/>
  <c r="T14" i="3" s="1"/>
  <c r="G14" i="3" s="1"/>
  <c r="G10" i="2"/>
  <c r="T10" i="3" s="1"/>
  <c r="G10" i="3" s="1"/>
  <c r="B58" i="3"/>
  <c r="B78" i="3"/>
  <c r="B102" i="3"/>
  <c r="B122" i="3"/>
  <c r="B142" i="3"/>
  <c r="B166" i="3"/>
  <c r="B186" i="3"/>
  <c r="B210" i="3"/>
  <c r="B266" i="3"/>
  <c r="B290" i="3"/>
  <c r="D7" i="5"/>
  <c r="K7" i="5" s="1"/>
  <c r="B269" i="5"/>
  <c r="B241" i="5"/>
  <c r="B67" i="5"/>
  <c r="B59" i="5"/>
  <c r="B35" i="5"/>
  <c r="B27" i="5"/>
  <c r="G154" i="5"/>
  <c r="H161" i="2"/>
  <c r="U161" i="3" s="1"/>
  <c r="V161" i="3" s="1"/>
  <c r="W161" i="3" s="1"/>
  <c r="H193" i="2"/>
  <c r="U193" i="3" s="1"/>
  <c r="V193" i="3" s="1"/>
  <c r="W193" i="3" s="1"/>
  <c r="H129" i="2"/>
  <c r="U129" i="3" s="1"/>
  <c r="V129" i="3" s="1"/>
  <c r="W129" i="3" s="1"/>
  <c r="H131" i="2"/>
  <c r="U131" i="3" s="1"/>
  <c r="V131" i="3" s="1"/>
  <c r="W131" i="3" s="1"/>
  <c r="H135" i="2"/>
  <c r="U135" i="3" s="1"/>
  <c r="V135" i="3" s="1"/>
  <c r="W135" i="3" s="1"/>
  <c r="D154" i="5"/>
  <c r="D210" i="5"/>
  <c r="D190" i="5"/>
  <c r="K190" i="5" s="1"/>
  <c r="D170" i="5"/>
  <c r="D147" i="5"/>
  <c r="D116" i="5"/>
  <c r="D93" i="5"/>
  <c r="D86" i="5"/>
  <c r="D54" i="5"/>
  <c r="D36" i="5"/>
  <c r="D32" i="5"/>
  <c r="D28" i="5"/>
  <c r="D22" i="5"/>
  <c r="D14" i="5"/>
  <c r="I232" i="3"/>
  <c r="D298" i="5"/>
  <c r="D30" i="5"/>
  <c r="I325" i="2"/>
  <c r="D126" i="5"/>
  <c r="G330" i="1"/>
  <c r="G255" i="1"/>
  <c r="G251" i="1"/>
  <c r="G229" i="1"/>
  <c r="G225" i="1"/>
  <c r="F217" i="1"/>
  <c r="G214" i="1"/>
  <c r="F173" i="1"/>
  <c r="G138" i="1"/>
  <c r="F116" i="1"/>
  <c r="F104" i="1"/>
  <c r="G96" i="1"/>
  <c r="F88" i="1"/>
  <c r="G40" i="1"/>
  <c r="F28" i="1"/>
  <c r="G24" i="1"/>
  <c r="G12" i="1"/>
  <c r="D197" i="5"/>
  <c r="D115" i="5"/>
  <c r="D10" i="5"/>
  <c r="D284" i="5"/>
  <c r="E232" i="5"/>
  <c r="E11" i="5"/>
  <c r="E275" i="5"/>
  <c r="E86" i="5"/>
  <c r="E316" i="5"/>
  <c r="H315" i="2"/>
  <c r="U315" i="3" s="1"/>
  <c r="V315" i="3" s="1"/>
  <c r="W315" i="3" s="1"/>
  <c r="H114" i="2"/>
  <c r="U114" i="3" s="1"/>
  <c r="V114" i="3" s="1"/>
  <c r="W114" i="3" s="1"/>
  <c r="H321" i="2"/>
  <c r="U321" i="3" s="1"/>
  <c r="V321" i="3" s="1"/>
  <c r="W321" i="3" s="1"/>
  <c r="H225" i="2"/>
  <c r="U225" i="3" s="1"/>
  <c r="V225" i="3" s="1"/>
  <c r="W225" i="3" s="1"/>
  <c r="H197" i="2"/>
  <c r="U197" i="3" s="1"/>
  <c r="V197" i="3" s="1"/>
  <c r="W197" i="3" s="1"/>
  <c r="H133" i="2"/>
  <c r="U133" i="3" s="1"/>
  <c r="V133" i="3" s="1"/>
  <c r="W133" i="3" s="1"/>
  <c r="H260" i="2"/>
  <c r="U260" i="3" s="1"/>
  <c r="V260" i="3" s="1"/>
  <c r="W260" i="3" s="1"/>
  <c r="H248" i="2"/>
  <c r="U248" i="3" s="1"/>
  <c r="V248" i="3" s="1"/>
  <c r="W248" i="3" s="1"/>
  <c r="H132" i="2"/>
  <c r="U132" i="3" s="1"/>
  <c r="V132" i="3" s="1"/>
  <c r="W132" i="3" s="1"/>
  <c r="H303" i="2"/>
  <c r="U303" i="3" s="1"/>
  <c r="V303" i="3" s="1"/>
  <c r="W303" i="3" s="1"/>
  <c r="H310" i="2"/>
  <c r="U310" i="3" s="1"/>
  <c r="V310" i="3" s="1"/>
  <c r="W310" i="3" s="1"/>
  <c r="H178" i="2"/>
  <c r="U178" i="3" s="1"/>
  <c r="V178" i="3" s="1"/>
  <c r="W178" i="3" s="1"/>
  <c r="H289" i="2"/>
  <c r="U289" i="3" s="1"/>
  <c r="V289" i="3" s="1"/>
  <c r="W289" i="3" s="1"/>
  <c r="H97" i="2"/>
  <c r="U97" i="3" s="1"/>
  <c r="V97" i="3" s="1"/>
  <c r="W97" i="3" s="1"/>
  <c r="H33" i="2"/>
  <c r="U33" i="3" s="1"/>
  <c r="V33" i="3" s="1"/>
  <c r="W33" i="3" s="1"/>
  <c r="H156" i="2"/>
  <c r="U156" i="3" s="1"/>
  <c r="V156" i="3" s="1"/>
  <c r="W156" i="3" s="1"/>
  <c r="H319" i="2"/>
  <c r="U319" i="3" s="1"/>
  <c r="V319" i="3" s="1"/>
  <c r="W319" i="3" s="1"/>
  <c r="H123" i="2"/>
  <c r="U123" i="3" s="1"/>
  <c r="V123" i="3" s="1"/>
  <c r="W123" i="3" s="1"/>
  <c r="H39" i="2"/>
  <c r="U39" i="3" s="1"/>
  <c r="V39" i="3" s="1"/>
  <c r="W39" i="3" s="1"/>
  <c r="H11" i="2"/>
  <c r="U11" i="3" s="1"/>
  <c r="V11" i="3" s="1"/>
  <c r="W11" i="3" s="1"/>
  <c r="E306" i="5"/>
  <c r="E290" i="5"/>
  <c r="E191" i="5"/>
  <c r="I215" i="2"/>
  <c r="I223" i="2"/>
  <c r="I296" i="2"/>
  <c r="I268" i="2"/>
  <c r="I19" i="2"/>
  <c r="I15" i="2"/>
  <c r="I8" i="3"/>
  <c r="I121" i="3"/>
  <c r="I216" i="3"/>
  <c r="I280" i="3"/>
  <c r="I48" i="3"/>
  <c r="I133" i="3"/>
  <c r="I217" i="3"/>
  <c r="I300" i="3"/>
  <c r="I190" i="2"/>
  <c r="E218" i="5"/>
  <c r="E206" i="5"/>
  <c r="E78" i="5"/>
  <c r="E46" i="5"/>
  <c r="I325" i="3"/>
  <c r="I287" i="3"/>
  <c r="I231" i="3"/>
  <c r="I223" i="3"/>
  <c r="I301" i="3"/>
  <c r="I175" i="3"/>
  <c r="H69" i="2"/>
  <c r="U69" i="3" s="1"/>
  <c r="V69" i="3" s="1"/>
  <c r="W69" i="3" s="1"/>
  <c r="H261" i="2"/>
  <c r="U261" i="3" s="1"/>
  <c r="V261" i="3" s="1"/>
  <c r="W261" i="3" s="1"/>
  <c r="E185" i="5"/>
  <c r="E165" i="5"/>
  <c r="E154" i="5"/>
  <c r="E142" i="5"/>
  <c r="F117" i="5"/>
  <c r="F131" i="5"/>
  <c r="F14" i="5"/>
  <c r="F303" i="5"/>
  <c r="I328" i="3"/>
  <c r="I320" i="3"/>
  <c r="I313" i="3"/>
  <c r="I202" i="3"/>
  <c r="I154" i="3"/>
  <c r="I258" i="3"/>
  <c r="I89" i="3"/>
  <c r="F54" i="1"/>
  <c r="G146" i="1"/>
  <c r="F174" i="1"/>
  <c r="G246" i="1"/>
  <c r="F288" i="1"/>
  <c r="G289" i="1"/>
  <c r="F317" i="1"/>
  <c r="G309" i="1"/>
  <c r="G305" i="1"/>
  <c r="F301" i="1"/>
  <c r="G294" i="1"/>
  <c r="F286" i="1"/>
  <c r="F272" i="1"/>
  <c r="G223" i="1"/>
  <c r="G178" i="1"/>
  <c r="F160" i="1"/>
  <c r="F144" i="1"/>
  <c r="G114" i="1"/>
  <c r="F50" i="1"/>
  <c r="E328" i="5"/>
  <c r="E320" i="5"/>
  <c r="D316" i="5"/>
  <c r="E312" i="5"/>
  <c r="E284" i="5"/>
  <c r="E276" i="5"/>
  <c r="E268" i="5"/>
  <c r="E260" i="5"/>
  <c r="E252" i="5"/>
  <c r="E244" i="5"/>
  <c r="E236" i="5"/>
  <c r="D232" i="5"/>
  <c r="D212" i="5"/>
  <c r="K212" i="5" s="1"/>
  <c r="E153" i="5"/>
  <c r="E141" i="5"/>
  <c r="E126" i="5"/>
  <c r="E62" i="5"/>
  <c r="D20" i="5"/>
  <c r="K20" i="5" s="1"/>
  <c r="D16" i="5"/>
  <c r="D12" i="5"/>
  <c r="D9" i="5"/>
  <c r="I273" i="3"/>
  <c r="I265" i="3"/>
  <c r="I257" i="3"/>
  <c r="I245" i="3"/>
  <c r="I181" i="3"/>
  <c r="I161" i="3"/>
  <c r="I149" i="3"/>
  <c r="I145" i="3"/>
  <c r="I117" i="3"/>
  <c r="I73" i="3"/>
  <c r="I37" i="3"/>
  <c r="I17" i="3"/>
  <c r="D11" i="5"/>
  <c r="D218" i="5"/>
  <c r="K218" i="5" s="1"/>
  <c r="D94" i="5"/>
  <c r="G267" i="1"/>
  <c r="G245" i="1"/>
  <c r="G218" i="1"/>
  <c r="G207" i="1"/>
  <c r="G203" i="1"/>
  <c r="G197" i="1"/>
  <c r="G193" i="1"/>
  <c r="F189" i="1"/>
  <c r="G185" i="1"/>
  <c r="G177" i="1"/>
  <c r="G170" i="1"/>
  <c r="F117" i="1"/>
  <c r="G113" i="1"/>
  <c r="E327" i="5"/>
  <c r="D315" i="5"/>
  <c r="D295" i="5"/>
  <c r="E291" i="5"/>
  <c r="E283" i="5"/>
  <c r="D275" i="5"/>
  <c r="K275" i="5" s="1"/>
  <c r="D231" i="5"/>
  <c r="E227" i="5"/>
  <c r="E207" i="5"/>
  <c r="E195" i="5"/>
  <c r="D191" i="5"/>
  <c r="E175" i="5"/>
  <c r="D148" i="5"/>
  <c r="E94" i="5"/>
  <c r="E61" i="5"/>
  <c r="D55" i="5"/>
  <c r="K55" i="5" s="1"/>
  <c r="D29" i="5"/>
  <c r="I288" i="3"/>
  <c r="I272" i="3"/>
  <c r="I208" i="3"/>
  <c r="I188" i="3"/>
  <c r="I168" i="3"/>
  <c r="I104" i="3"/>
  <c r="I64" i="3"/>
  <c r="I32" i="3"/>
  <c r="D328" i="5"/>
  <c r="D175" i="5"/>
  <c r="D62" i="5"/>
  <c r="F257" i="2"/>
  <c r="S257" i="3" s="1"/>
  <c r="F257" i="3" s="1"/>
  <c r="B257" i="2"/>
  <c r="H257" i="2"/>
  <c r="U257" i="3" s="1"/>
  <c r="V257" i="3" s="1"/>
  <c r="W257" i="3" s="1"/>
  <c r="D257" i="2"/>
  <c r="Q257" i="3" s="1"/>
  <c r="D257" i="3" s="1"/>
  <c r="D253" i="2"/>
  <c r="Q253" i="3" s="1"/>
  <c r="D253" i="3" s="1"/>
  <c r="F253" i="2"/>
  <c r="S253" i="3" s="1"/>
  <c r="F253" i="3" s="1"/>
  <c r="B253" i="2"/>
  <c r="F249" i="2"/>
  <c r="S249" i="3" s="1"/>
  <c r="F249" i="3" s="1"/>
  <c r="B249" i="2"/>
  <c r="C249" i="2"/>
  <c r="P249" i="3" s="1"/>
  <c r="C249" i="3" s="1"/>
  <c r="F264" i="2"/>
  <c r="S264" i="3" s="1"/>
  <c r="F264" i="3" s="1"/>
  <c r="G249" i="2"/>
  <c r="T249" i="3" s="1"/>
  <c r="G249" i="3" s="1"/>
  <c r="C257" i="2"/>
  <c r="P257" i="3" s="1"/>
  <c r="C257" i="3" s="1"/>
  <c r="B42" i="2"/>
  <c r="B106" i="2"/>
  <c r="B170" i="2"/>
  <c r="B234" i="2"/>
  <c r="B298" i="2"/>
  <c r="F282" i="2"/>
  <c r="S282" i="3" s="1"/>
  <c r="F282" i="3" s="1"/>
  <c r="B299" i="2"/>
  <c r="F195" i="2"/>
  <c r="S195" i="3" s="1"/>
  <c r="F195" i="3" s="1"/>
  <c r="D295" i="2"/>
  <c r="Q295" i="3" s="1"/>
  <c r="D295" i="3" s="1"/>
  <c r="C295" i="2"/>
  <c r="P295" i="3" s="1"/>
  <c r="C295" i="3" s="1"/>
  <c r="G295" i="2"/>
  <c r="T295" i="3" s="1"/>
  <c r="G295" i="3" s="1"/>
  <c r="E295" i="2"/>
  <c r="R295" i="3" s="1"/>
  <c r="E295" i="3" s="1"/>
  <c r="C264" i="2"/>
  <c r="P264" i="3" s="1"/>
  <c r="C264" i="3" s="1"/>
  <c r="G264" i="2"/>
  <c r="T264" i="3" s="1"/>
  <c r="G264" i="3" s="1"/>
  <c r="C253" i="2"/>
  <c r="P253" i="3" s="1"/>
  <c r="C253" i="3" s="1"/>
  <c r="E257" i="2"/>
  <c r="R257" i="3" s="1"/>
  <c r="E257" i="3" s="1"/>
  <c r="G266" i="1"/>
  <c r="B266" i="1"/>
  <c r="F244" i="1"/>
  <c r="B244" i="1"/>
  <c r="D264" i="2"/>
  <c r="Q264" i="3" s="1"/>
  <c r="D264" i="3" s="1"/>
  <c r="E249" i="2"/>
  <c r="R249" i="3" s="1"/>
  <c r="E249" i="3" s="1"/>
  <c r="E253" i="2"/>
  <c r="R253" i="3" s="1"/>
  <c r="E253" i="3" s="1"/>
  <c r="G257" i="2"/>
  <c r="T257" i="3" s="1"/>
  <c r="G257" i="3" s="1"/>
  <c r="E226" i="2"/>
  <c r="R226" i="3" s="1"/>
  <c r="E226" i="3" s="1"/>
  <c r="D226" i="2"/>
  <c r="Q226" i="3" s="1"/>
  <c r="D226" i="3" s="1"/>
  <c r="G222" i="2"/>
  <c r="T222" i="3" s="1"/>
  <c r="G222" i="3" s="1"/>
  <c r="C222" i="2"/>
  <c r="P222" i="3" s="1"/>
  <c r="C222" i="3" s="1"/>
  <c r="F222" i="2"/>
  <c r="S222" i="3" s="1"/>
  <c r="F222" i="3" s="1"/>
  <c r="D218" i="2"/>
  <c r="Q218" i="3" s="1"/>
  <c r="D218" i="3" s="1"/>
  <c r="E218" i="2"/>
  <c r="R218" i="3" s="1"/>
  <c r="E218" i="3" s="1"/>
  <c r="E214" i="2"/>
  <c r="R214" i="3" s="1"/>
  <c r="E214" i="3" s="1"/>
  <c r="H214" i="2"/>
  <c r="U214" i="3" s="1"/>
  <c r="V214" i="3" s="1"/>
  <c r="W214" i="3" s="1"/>
  <c r="D214" i="2"/>
  <c r="Q214" i="3" s="1"/>
  <c r="D214" i="3" s="1"/>
  <c r="G210" i="2"/>
  <c r="T210" i="3" s="1"/>
  <c r="G210" i="3" s="1"/>
  <c r="C210" i="2"/>
  <c r="P210" i="3" s="1"/>
  <c r="C210" i="3" s="1"/>
  <c r="F210" i="2"/>
  <c r="S210" i="3" s="1"/>
  <c r="F210" i="3" s="1"/>
  <c r="D206" i="2"/>
  <c r="Q206" i="3" s="1"/>
  <c r="D206" i="3" s="1"/>
  <c r="E206" i="2"/>
  <c r="R206" i="3" s="1"/>
  <c r="E206" i="3" s="1"/>
  <c r="F202" i="2"/>
  <c r="S202" i="3" s="1"/>
  <c r="F202" i="3" s="1"/>
  <c r="G202" i="2"/>
  <c r="T202" i="3" s="1"/>
  <c r="G202" i="3" s="1"/>
  <c r="D202" i="2"/>
  <c r="Q202" i="3" s="1"/>
  <c r="D202" i="3" s="1"/>
  <c r="E198" i="2"/>
  <c r="R198" i="3" s="1"/>
  <c r="E198" i="3" s="1"/>
  <c r="C198" i="2"/>
  <c r="P198" i="3" s="1"/>
  <c r="C198" i="3" s="1"/>
  <c r="G194" i="2"/>
  <c r="T194" i="3" s="1"/>
  <c r="G194" i="3" s="1"/>
  <c r="C194" i="2"/>
  <c r="P194" i="3" s="1"/>
  <c r="C194" i="3" s="1"/>
  <c r="F194" i="2"/>
  <c r="S194" i="3" s="1"/>
  <c r="F194" i="3" s="1"/>
  <c r="F190" i="2"/>
  <c r="S190" i="3" s="1"/>
  <c r="F190" i="3" s="1"/>
  <c r="G190" i="2"/>
  <c r="T190" i="3" s="1"/>
  <c r="G190" i="3" s="1"/>
  <c r="C190" i="2"/>
  <c r="P190" i="3" s="1"/>
  <c r="C190" i="3" s="1"/>
  <c r="E186" i="2"/>
  <c r="R186" i="3" s="1"/>
  <c r="E186" i="3" s="1"/>
  <c r="C186" i="2"/>
  <c r="P186" i="3" s="1"/>
  <c r="C186" i="3" s="1"/>
  <c r="G182" i="2"/>
  <c r="T182" i="3" s="1"/>
  <c r="G182" i="3" s="1"/>
  <c r="D182" i="2"/>
  <c r="Q182" i="3" s="1"/>
  <c r="D182" i="3" s="1"/>
  <c r="B182" i="2"/>
  <c r="F182" i="2"/>
  <c r="S182" i="3" s="1"/>
  <c r="F182" i="3" s="1"/>
  <c r="F178" i="2"/>
  <c r="S178" i="3" s="1"/>
  <c r="F178" i="3" s="1"/>
  <c r="G178" i="2"/>
  <c r="T178" i="3" s="1"/>
  <c r="G178" i="3" s="1"/>
  <c r="C178" i="2"/>
  <c r="P178" i="3" s="1"/>
  <c r="C178" i="3" s="1"/>
  <c r="E174" i="2"/>
  <c r="R174" i="3" s="1"/>
  <c r="E174" i="3" s="1"/>
  <c r="D174" i="2"/>
  <c r="Q174" i="3" s="1"/>
  <c r="D174" i="3" s="1"/>
  <c r="G170" i="2"/>
  <c r="T170" i="3" s="1"/>
  <c r="G170" i="3" s="1"/>
  <c r="D170" i="2"/>
  <c r="Q170" i="3" s="1"/>
  <c r="D170" i="3" s="1"/>
  <c r="F170" i="2"/>
  <c r="S170" i="3" s="1"/>
  <c r="F170" i="3" s="1"/>
  <c r="C166" i="2"/>
  <c r="P166" i="3" s="1"/>
  <c r="C166" i="3" s="1"/>
  <c r="F166" i="2"/>
  <c r="S166" i="3" s="1"/>
  <c r="F166" i="3" s="1"/>
  <c r="E162" i="2"/>
  <c r="R162" i="3" s="1"/>
  <c r="E162" i="3" s="1"/>
  <c r="G162" i="2"/>
  <c r="T162" i="3" s="1"/>
  <c r="G162" i="3" s="1"/>
  <c r="C162" i="2"/>
  <c r="P162" i="3" s="1"/>
  <c r="C162" i="3" s="1"/>
  <c r="F158" i="2"/>
  <c r="S158" i="3" s="1"/>
  <c r="F158" i="3" s="1"/>
  <c r="D158" i="2"/>
  <c r="Q158" i="3" s="1"/>
  <c r="D158" i="3" s="1"/>
  <c r="I154" i="2"/>
  <c r="C154" i="2"/>
  <c r="P154" i="3" s="1"/>
  <c r="C154" i="3" s="1"/>
  <c r="F154" i="2"/>
  <c r="S154" i="3" s="1"/>
  <c r="F154" i="3" s="1"/>
  <c r="E150" i="2"/>
  <c r="R150" i="3" s="1"/>
  <c r="E150" i="3" s="1"/>
  <c r="G150" i="2"/>
  <c r="T150" i="3" s="1"/>
  <c r="G150" i="3" s="1"/>
  <c r="D150" i="2"/>
  <c r="Q150" i="3" s="1"/>
  <c r="D150" i="3" s="1"/>
  <c r="G146" i="2"/>
  <c r="T146" i="3" s="1"/>
  <c r="G146" i="3" s="1"/>
  <c r="D146" i="2"/>
  <c r="Q146" i="3" s="1"/>
  <c r="D146" i="3" s="1"/>
  <c r="G142" i="2"/>
  <c r="T142" i="3" s="1"/>
  <c r="G142" i="3" s="1"/>
  <c r="C142" i="2"/>
  <c r="P142" i="3" s="1"/>
  <c r="C142" i="3" s="1"/>
  <c r="E142" i="2"/>
  <c r="R142" i="3" s="1"/>
  <c r="E142" i="3" s="1"/>
  <c r="C138" i="2"/>
  <c r="P138" i="3" s="1"/>
  <c r="C138" i="3" s="1"/>
  <c r="G138" i="2"/>
  <c r="T138" i="3" s="1"/>
  <c r="G138" i="3" s="1"/>
  <c r="E134" i="2"/>
  <c r="R134" i="3" s="1"/>
  <c r="E134" i="3" s="1"/>
  <c r="G134" i="2"/>
  <c r="T134" i="3" s="1"/>
  <c r="G134" i="3" s="1"/>
  <c r="D134" i="2"/>
  <c r="Q134" i="3" s="1"/>
  <c r="D134" i="3" s="1"/>
  <c r="F130" i="2"/>
  <c r="S130" i="3" s="1"/>
  <c r="F130" i="3" s="1"/>
  <c r="D130" i="2"/>
  <c r="Q130" i="3" s="1"/>
  <c r="D130" i="3" s="1"/>
  <c r="G126" i="2"/>
  <c r="T126" i="3" s="1"/>
  <c r="G126" i="3" s="1"/>
  <c r="C126" i="2"/>
  <c r="P126" i="3" s="1"/>
  <c r="C126" i="3" s="1"/>
  <c r="E126" i="2"/>
  <c r="R126" i="3" s="1"/>
  <c r="E126" i="3" s="1"/>
  <c r="C122" i="2"/>
  <c r="P122" i="3" s="1"/>
  <c r="C122" i="3" s="1"/>
  <c r="F122" i="2"/>
  <c r="S122" i="3" s="1"/>
  <c r="F122" i="3" s="1"/>
  <c r="E118" i="2"/>
  <c r="R118" i="3" s="1"/>
  <c r="E118" i="3" s="1"/>
  <c r="G118" i="2"/>
  <c r="T118" i="3" s="1"/>
  <c r="G118" i="3" s="1"/>
  <c r="D118" i="2"/>
  <c r="Q118" i="3" s="1"/>
  <c r="D118" i="3" s="1"/>
  <c r="F114" i="2"/>
  <c r="S114" i="3" s="1"/>
  <c r="F114" i="3" s="1"/>
  <c r="C114" i="2"/>
  <c r="P114" i="3" s="1"/>
  <c r="C114" i="3" s="1"/>
  <c r="E114" i="2"/>
  <c r="R114" i="3" s="1"/>
  <c r="E114" i="3" s="1"/>
  <c r="D110" i="2"/>
  <c r="Q110" i="3" s="1"/>
  <c r="D110" i="3" s="1"/>
  <c r="G110" i="2"/>
  <c r="T110" i="3" s="1"/>
  <c r="G110" i="3" s="1"/>
  <c r="E106" i="2"/>
  <c r="R106" i="3" s="1"/>
  <c r="E106" i="3" s="1"/>
  <c r="F106" i="2"/>
  <c r="S106" i="3" s="1"/>
  <c r="F106" i="3" s="1"/>
  <c r="D106" i="2"/>
  <c r="Q106" i="3" s="1"/>
  <c r="D106" i="3" s="1"/>
  <c r="F102" i="2"/>
  <c r="S102" i="3" s="1"/>
  <c r="F102" i="3" s="1"/>
  <c r="C102" i="2"/>
  <c r="P102" i="3" s="1"/>
  <c r="C102" i="3" s="1"/>
  <c r="F98" i="2"/>
  <c r="S98" i="3" s="1"/>
  <c r="F98" i="3" s="1"/>
  <c r="C98" i="2"/>
  <c r="P98" i="3" s="1"/>
  <c r="C98" i="3" s="1"/>
  <c r="B98" i="2"/>
  <c r="E98" i="2"/>
  <c r="R98" i="3" s="1"/>
  <c r="E98" i="3" s="1"/>
  <c r="D94" i="2"/>
  <c r="Q94" i="3" s="1"/>
  <c r="D94" i="3" s="1"/>
  <c r="G94" i="2"/>
  <c r="T94" i="3" s="1"/>
  <c r="G94" i="3" s="1"/>
  <c r="G90" i="2"/>
  <c r="T90" i="3" s="1"/>
  <c r="G90" i="3" s="1"/>
  <c r="I90" i="2"/>
  <c r="C90" i="2"/>
  <c r="P90" i="3" s="1"/>
  <c r="C90" i="3" s="1"/>
  <c r="G86" i="2"/>
  <c r="T86" i="3" s="1"/>
  <c r="G86" i="3" s="1"/>
  <c r="D86" i="2"/>
  <c r="Q86" i="3" s="1"/>
  <c r="D86" i="3" s="1"/>
  <c r="E86" i="2"/>
  <c r="R86" i="3" s="1"/>
  <c r="E86" i="3" s="1"/>
  <c r="D82" i="2"/>
  <c r="Q82" i="3" s="1"/>
  <c r="D82" i="3" s="1"/>
  <c r="G82" i="2"/>
  <c r="T82" i="3" s="1"/>
  <c r="G82" i="3" s="1"/>
  <c r="B82" i="2"/>
  <c r="E78" i="2"/>
  <c r="R78" i="3" s="1"/>
  <c r="E78" i="3" s="1"/>
  <c r="F78" i="2"/>
  <c r="S78" i="3" s="1"/>
  <c r="F78" i="3" s="1"/>
  <c r="C78" i="2"/>
  <c r="P78" i="3" s="1"/>
  <c r="C78" i="3" s="1"/>
  <c r="G74" i="2"/>
  <c r="T74" i="3" s="1"/>
  <c r="G74" i="3" s="1"/>
  <c r="C74" i="2"/>
  <c r="P74" i="3" s="1"/>
  <c r="C74" i="3" s="1"/>
  <c r="G70" i="2"/>
  <c r="T70" i="3" s="1"/>
  <c r="G70" i="3" s="1"/>
  <c r="D70" i="2"/>
  <c r="Q70" i="3" s="1"/>
  <c r="D70" i="3" s="1"/>
  <c r="E70" i="2"/>
  <c r="R70" i="3" s="1"/>
  <c r="E70" i="3" s="1"/>
  <c r="D66" i="2"/>
  <c r="Q66" i="3" s="1"/>
  <c r="D66" i="3" s="1"/>
  <c r="B66" i="2"/>
  <c r="G66" i="2"/>
  <c r="T66" i="3" s="1"/>
  <c r="G66" i="3" s="1"/>
  <c r="E62" i="2"/>
  <c r="R62" i="3" s="1"/>
  <c r="E62" i="3" s="1"/>
  <c r="F62" i="2"/>
  <c r="S62" i="3" s="1"/>
  <c r="F62" i="3" s="1"/>
  <c r="C62" i="2"/>
  <c r="P62" i="3" s="1"/>
  <c r="C62" i="3" s="1"/>
  <c r="G58" i="2"/>
  <c r="T58" i="3" s="1"/>
  <c r="G58" i="3" s="1"/>
  <c r="C58" i="2"/>
  <c r="P58" i="3" s="1"/>
  <c r="C58" i="3" s="1"/>
  <c r="G54" i="2"/>
  <c r="T54" i="3" s="1"/>
  <c r="G54" i="3" s="1"/>
  <c r="D54" i="2"/>
  <c r="Q54" i="3" s="1"/>
  <c r="D54" i="3" s="1"/>
  <c r="E54" i="2"/>
  <c r="R54" i="3" s="1"/>
  <c r="E54" i="3" s="1"/>
  <c r="D50" i="2"/>
  <c r="Q50" i="3" s="1"/>
  <c r="D50" i="3" s="1"/>
  <c r="G50" i="2"/>
  <c r="T50" i="3" s="1"/>
  <c r="G50" i="3" s="1"/>
  <c r="B50" i="2"/>
  <c r="E46" i="2"/>
  <c r="R46" i="3" s="1"/>
  <c r="E46" i="3" s="1"/>
  <c r="F46" i="2"/>
  <c r="S46" i="3" s="1"/>
  <c r="F46" i="3" s="1"/>
  <c r="C46" i="2"/>
  <c r="P46" i="3" s="1"/>
  <c r="C46" i="3" s="1"/>
  <c r="G42" i="2"/>
  <c r="T42" i="3" s="1"/>
  <c r="G42" i="3" s="1"/>
  <c r="C42" i="2"/>
  <c r="P42" i="3" s="1"/>
  <c r="C42" i="3" s="1"/>
  <c r="G38" i="2"/>
  <c r="T38" i="3" s="1"/>
  <c r="G38" i="3" s="1"/>
  <c r="D38" i="2"/>
  <c r="Q38" i="3" s="1"/>
  <c r="D38" i="3" s="1"/>
  <c r="E38" i="2"/>
  <c r="R38" i="3" s="1"/>
  <c r="E38" i="3" s="1"/>
  <c r="D34" i="2"/>
  <c r="Q34" i="3" s="1"/>
  <c r="D34" i="3" s="1"/>
  <c r="F34" i="2"/>
  <c r="S34" i="3" s="1"/>
  <c r="F34" i="3" s="1"/>
  <c r="C34" i="2"/>
  <c r="P34" i="3" s="1"/>
  <c r="C34" i="3" s="1"/>
  <c r="F30" i="2"/>
  <c r="S30" i="3" s="1"/>
  <c r="F30" i="3" s="1"/>
  <c r="C30" i="2"/>
  <c r="P30" i="3" s="1"/>
  <c r="C30" i="3" s="1"/>
  <c r="B30" i="2"/>
  <c r="C26" i="2"/>
  <c r="P26" i="3" s="1"/>
  <c r="C26" i="3" s="1"/>
  <c r="G26" i="2"/>
  <c r="D26" i="2"/>
  <c r="Q26" i="3" s="1"/>
  <c r="D26" i="3" s="1"/>
  <c r="F22" i="2"/>
  <c r="S22" i="3" s="1"/>
  <c r="F22" i="3" s="1"/>
  <c r="D22" i="2"/>
  <c r="Q22" i="3" s="1"/>
  <c r="D22" i="3" s="1"/>
  <c r="B22" i="2"/>
  <c r="D18" i="2"/>
  <c r="Q18" i="3" s="1"/>
  <c r="D18" i="3" s="1"/>
  <c r="F18" i="2"/>
  <c r="S18" i="3" s="1"/>
  <c r="F18" i="3" s="1"/>
  <c r="C18" i="2"/>
  <c r="P18" i="3" s="1"/>
  <c r="C18" i="3" s="1"/>
  <c r="H14" i="2"/>
  <c r="U14" i="3" s="1"/>
  <c r="V14" i="3" s="1"/>
  <c r="W14" i="3" s="1"/>
  <c r="D14" i="2"/>
  <c r="Q14" i="3" s="1"/>
  <c r="D14" i="3" s="1"/>
  <c r="E14" i="2"/>
  <c r="R14" i="3" s="1"/>
  <c r="E14" i="3" s="1"/>
  <c r="E10" i="2"/>
  <c r="R10" i="3" s="1"/>
  <c r="E10" i="3" s="1"/>
  <c r="F10" i="2"/>
  <c r="S10" i="3" s="1"/>
  <c r="F10" i="3" s="1"/>
  <c r="C10" i="2"/>
  <c r="P10" i="3" s="1"/>
  <c r="C10" i="3" s="1"/>
  <c r="B216" i="2"/>
  <c r="B196" i="2"/>
  <c r="B168" i="2"/>
  <c r="B136" i="2"/>
  <c r="B6" i="2"/>
  <c r="B303" i="2"/>
  <c r="B244" i="2"/>
  <c r="B272" i="2"/>
  <c r="B296" i="2"/>
  <c r="B212" i="2"/>
  <c r="B184" i="2"/>
  <c r="B164" i="2"/>
  <c r="B132" i="2"/>
  <c r="B235" i="2"/>
  <c r="B228" i="2"/>
  <c r="B248" i="2"/>
  <c r="B276" i="2"/>
  <c r="B304" i="2"/>
  <c r="B208" i="2"/>
  <c r="B180" i="2"/>
  <c r="B280" i="2"/>
  <c r="B152" i="2"/>
  <c r="B319" i="2"/>
  <c r="B278" i="2"/>
  <c r="B203" i="2"/>
  <c r="B287" i="2"/>
  <c r="B255" i="2"/>
  <c r="B223" i="2"/>
  <c r="B191" i="2"/>
  <c r="B159" i="2"/>
  <c r="B127" i="2"/>
  <c r="B31" i="2"/>
  <c r="B285" i="2"/>
  <c r="B277" i="2"/>
  <c r="B269" i="2"/>
  <c r="B241" i="2"/>
  <c r="B233" i="2"/>
  <c r="B308" i="2"/>
  <c r="B148" i="2"/>
  <c r="B7" i="2"/>
  <c r="B311" i="2"/>
  <c r="B267" i="2"/>
  <c r="B232" i="2"/>
  <c r="B200" i="2"/>
  <c r="B120" i="2"/>
  <c r="B310" i="2"/>
  <c r="B246" i="2"/>
  <c r="B314" i="2"/>
  <c r="B271" i="2"/>
  <c r="B239" i="2"/>
  <c r="B207" i="2"/>
  <c r="B175" i="2"/>
  <c r="B143" i="2"/>
  <c r="B111" i="2"/>
  <c r="B325" i="2"/>
  <c r="B289" i="2"/>
  <c r="B281" i="2"/>
  <c r="B273" i="2"/>
  <c r="B265" i="2"/>
  <c r="B245" i="2"/>
  <c r="B237" i="2"/>
  <c r="B229" i="2"/>
  <c r="B157" i="2"/>
  <c r="B149" i="2"/>
  <c r="B141" i="2"/>
  <c r="B129" i="2"/>
  <c r="B121" i="2"/>
  <c r="B113" i="2"/>
  <c r="B105" i="2"/>
  <c r="B69" i="2"/>
  <c r="B33" i="2"/>
  <c r="F315" i="2"/>
  <c r="S315" i="3" s="1"/>
  <c r="F315" i="3" s="1"/>
  <c r="F291" i="2"/>
  <c r="S291" i="3" s="1"/>
  <c r="F291" i="3" s="1"/>
  <c r="F271" i="2"/>
  <c r="S271" i="3" s="1"/>
  <c r="F271" i="3" s="1"/>
  <c r="F255" i="2"/>
  <c r="S255" i="3" s="1"/>
  <c r="F255" i="3" s="1"/>
  <c r="F239" i="2"/>
  <c r="S239" i="3" s="1"/>
  <c r="F239" i="3" s="1"/>
  <c r="F223" i="2"/>
  <c r="S223" i="3" s="1"/>
  <c r="F223" i="3" s="1"/>
  <c r="F207" i="2"/>
  <c r="S207" i="3" s="1"/>
  <c r="F207" i="3" s="1"/>
  <c r="F191" i="2"/>
  <c r="S191" i="3" s="1"/>
  <c r="F191" i="3" s="1"/>
  <c r="F322" i="2"/>
  <c r="S322" i="3" s="1"/>
  <c r="F322" i="3" s="1"/>
  <c r="F310" i="2"/>
  <c r="S310" i="3" s="1"/>
  <c r="F310" i="3" s="1"/>
  <c r="F294" i="2"/>
  <c r="S294" i="3" s="1"/>
  <c r="F294" i="3" s="1"/>
  <c r="F278" i="2"/>
  <c r="S278" i="3" s="1"/>
  <c r="F278" i="3" s="1"/>
  <c r="F262" i="2"/>
  <c r="S262" i="3" s="1"/>
  <c r="F262" i="3" s="1"/>
  <c r="F246" i="2"/>
  <c r="S246" i="3" s="1"/>
  <c r="F246" i="3" s="1"/>
  <c r="F230" i="2"/>
  <c r="S230" i="3" s="1"/>
  <c r="F230" i="3" s="1"/>
  <c r="F285" i="2"/>
  <c r="S285" i="3" s="1"/>
  <c r="F285" i="3" s="1"/>
  <c r="F277" i="2"/>
  <c r="S277" i="3" s="1"/>
  <c r="F277" i="3" s="1"/>
  <c r="F269" i="2"/>
  <c r="S269" i="3" s="1"/>
  <c r="F269" i="3" s="1"/>
  <c r="F241" i="2"/>
  <c r="S241" i="3" s="1"/>
  <c r="F241" i="3" s="1"/>
  <c r="F233" i="2"/>
  <c r="S233" i="3" s="1"/>
  <c r="F233" i="3" s="1"/>
  <c r="F213" i="2"/>
  <c r="S213" i="3" s="1"/>
  <c r="F213" i="3" s="1"/>
  <c r="F307" i="2"/>
  <c r="S307" i="3" s="1"/>
  <c r="F307" i="3" s="1"/>
  <c r="F287" i="2"/>
  <c r="S287" i="3" s="1"/>
  <c r="F287" i="3" s="1"/>
  <c r="F267" i="2"/>
  <c r="S267" i="3" s="1"/>
  <c r="F267" i="3" s="1"/>
  <c r="F251" i="2"/>
  <c r="S251" i="3" s="1"/>
  <c r="F251" i="3" s="1"/>
  <c r="F231" i="2"/>
  <c r="S231" i="3" s="1"/>
  <c r="F231" i="3" s="1"/>
  <c r="F219" i="2"/>
  <c r="S219" i="3" s="1"/>
  <c r="F219" i="3" s="1"/>
  <c r="F203" i="2"/>
  <c r="S203" i="3" s="1"/>
  <c r="F203" i="3" s="1"/>
  <c r="F187" i="2"/>
  <c r="S187" i="3" s="1"/>
  <c r="F187" i="3" s="1"/>
  <c r="F318" i="2"/>
  <c r="S318" i="3" s="1"/>
  <c r="F318" i="3" s="1"/>
  <c r="F306" i="2"/>
  <c r="S306" i="3" s="1"/>
  <c r="F306" i="3" s="1"/>
  <c r="F290" i="2"/>
  <c r="S290" i="3" s="1"/>
  <c r="F290" i="3" s="1"/>
  <c r="F274" i="2"/>
  <c r="S274" i="3" s="1"/>
  <c r="F274" i="3" s="1"/>
  <c r="F258" i="2"/>
  <c r="S258" i="3" s="1"/>
  <c r="F258" i="3" s="1"/>
  <c r="F242" i="2"/>
  <c r="S242" i="3" s="1"/>
  <c r="F242" i="3" s="1"/>
  <c r="F323" i="2"/>
  <c r="S323" i="3" s="1"/>
  <c r="F323" i="3" s="1"/>
  <c r="F299" i="2"/>
  <c r="S299" i="3" s="1"/>
  <c r="F299" i="3" s="1"/>
  <c r="F279" i="2"/>
  <c r="S279" i="3" s="1"/>
  <c r="F279" i="3" s="1"/>
  <c r="F263" i="2"/>
  <c r="S263" i="3" s="1"/>
  <c r="F263" i="3" s="1"/>
  <c r="F247" i="2"/>
  <c r="S247" i="3" s="1"/>
  <c r="F247" i="3" s="1"/>
  <c r="F227" i="2"/>
  <c r="S227" i="3" s="1"/>
  <c r="F227" i="3" s="1"/>
  <c r="F215" i="2"/>
  <c r="S215" i="3" s="1"/>
  <c r="F215" i="3" s="1"/>
  <c r="F199" i="2"/>
  <c r="S199" i="3" s="1"/>
  <c r="F199" i="3" s="1"/>
  <c r="F330" i="2"/>
  <c r="F314" i="2"/>
  <c r="S314" i="3" s="1"/>
  <c r="F314" i="3" s="1"/>
  <c r="F302" i="2"/>
  <c r="S302" i="3" s="1"/>
  <c r="F302" i="3" s="1"/>
  <c r="F286" i="2"/>
  <c r="S286" i="3" s="1"/>
  <c r="F286" i="3" s="1"/>
  <c r="F270" i="2"/>
  <c r="S270" i="3" s="1"/>
  <c r="F270" i="3" s="1"/>
  <c r="F254" i="2"/>
  <c r="S254" i="3" s="1"/>
  <c r="F254" i="3" s="1"/>
  <c r="F238" i="2"/>
  <c r="S238" i="3" s="1"/>
  <c r="F238" i="3" s="1"/>
  <c r="F325" i="2"/>
  <c r="S325" i="3" s="1"/>
  <c r="F325" i="3" s="1"/>
  <c r="F289" i="2"/>
  <c r="S289" i="3" s="1"/>
  <c r="F289" i="3" s="1"/>
  <c r="F281" i="2"/>
  <c r="S281" i="3" s="1"/>
  <c r="F281" i="3" s="1"/>
  <c r="F273" i="2"/>
  <c r="S273" i="3" s="1"/>
  <c r="F273" i="3" s="1"/>
  <c r="F265" i="2"/>
  <c r="S265" i="3" s="1"/>
  <c r="F265" i="3" s="1"/>
  <c r="F245" i="2"/>
  <c r="S245" i="3" s="1"/>
  <c r="F245" i="3" s="1"/>
  <c r="F237" i="2"/>
  <c r="S237" i="3" s="1"/>
  <c r="F237" i="3" s="1"/>
  <c r="F217" i="2"/>
  <c r="S217" i="3" s="1"/>
  <c r="F217" i="3" s="1"/>
  <c r="F201" i="2"/>
  <c r="S201" i="3" s="1"/>
  <c r="F201" i="3" s="1"/>
  <c r="F181" i="2"/>
  <c r="F157" i="2"/>
  <c r="S157" i="3" s="1"/>
  <c r="F157" i="3" s="1"/>
  <c r="F149" i="2"/>
  <c r="S149" i="3" s="1"/>
  <c r="F149" i="3" s="1"/>
  <c r="F141" i="2"/>
  <c r="S141" i="3" s="1"/>
  <c r="F141" i="3" s="1"/>
  <c r="F129" i="2"/>
  <c r="S129" i="3" s="1"/>
  <c r="F129" i="3" s="1"/>
  <c r="F113" i="2"/>
  <c r="S113" i="3" s="1"/>
  <c r="F113" i="3" s="1"/>
  <c r="F105" i="2"/>
  <c r="S105" i="3" s="1"/>
  <c r="F105" i="3" s="1"/>
  <c r="F89" i="2"/>
  <c r="S89" i="3" s="1"/>
  <c r="F89" i="3" s="1"/>
  <c r="F73" i="2"/>
  <c r="S73" i="3" s="1"/>
  <c r="F73" i="3" s="1"/>
  <c r="F69" i="2"/>
  <c r="S69" i="3" s="1"/>
  <c r="F69" i="3" s="1"/>
  <c r="F61" i="2"/>
  <c r="S61" i="3" s="1"/>
  <c r="F61" i="3" s="1"/>
  <c r="F53" i="2"/>
  <c r="S53" i="3" s="1"/>
  <c r="F53" i="3" s="1"/>
  <c r="F45" i="2"/>
  <c r="S45" i="3" s="1"/>
  <c r="F45" i="3" s="1"/>
  <c r="F33" i="2"/>
  <c r="S33" i="3" s="1"/>
  <c r="F33" i="3" s="1"/>
  <c r="F25" i="2"/>
  <c r="S25" i="3" s="1"/>
  <c r="F25" i="3" s="1"/>
  <c r="B7" i="5"/>
  <c r="E329" i="5"/>
  <c r="D329" i="5"/>
  <c r="B329" i="5"/>
  <c r="E325" i="5"/>
  <c r="D325" i="5"/>
  <c r="B325" i="5"/>
  <c r="E321" i="5"/>
  <c r="D321" i="5"/>
  <c r="B321" i="5"/>
  <c r="E317" i="5"/>
  <c r="D317" i="5"/>
  <c r="G317" i="5"/>
  <c r="B317" i="5"/>
  <c r="E313" i="5"/>
  <c r="D313" i="5"/>
  <c r="B313" i="5"/>
  <c r="E309" i="5"/>
  <c r="D309" i="5"/>
  <c r="B309" i="5"/>
  <c r="E305" i="5"/>
  <c r="D305" i="5"/>
  <c r="B305" i="5"/>
  <c r="E301" i="5"/>
  <c r="G301" i="5"/>
  <c r="D301" i="5"/>
  <c r="E297" i="5"/>
  <c r="D297" i="5"/>
  <c r="B297" i="5"/>
  <c r="E293" i="5"/>
  <c r="D293" i="5"/>
  <c r="B293" i="5"/>
  <c r="E289" i="5"/>
  <c r="D289" i="5"/>
  <c r="B289" i="5"/>
  <c r="D285" i="5"/>
  <c r="E285" i="5"/>
  <c r="G285" i="5"/>
  <c r="B285" i="5"/>
  <c r="E281" i="5"/>
  <c r="D281" i="5"/>
  <c r="B281" i="5"/>
  <c r="E277" i="5"/>
  <c r="B277" i="5"/>
  <c r="D277" i="5"/>
  <c r="D273" i="5"/>
  <c r="B273" i="5"/>
  <c r="E273" i="5"/>
  <c r="E269" i="5"/>
  <c r="G269" i="5"/>
  <c r="E265" i="5"/>
  <c r="D265" i="5"/>
  <c r="B265" i="5"/>
  <c r="E261" i="5"/>
  <c r="B261" i="5"/>
  <c r="D261" i="5"/>
  <c r="E257" i="5"/>
  <c r="D257" i="5"/>
  <c r="B257" i="5"/>
  <c r="G253" i="5"/>
  <c r="E253" i="5"/>
  <c r="B253" i="5"/>
  <c r="D253" i="5"/>
  <c r="E249" i="5"/>
  <c r="D249" i="5"/>
  <c r="B249" i="5"/>
  <c r="E245" i="5"/>
  <c r="B245" i="5"/>
  <c r="D245" i="5"/>
  <c r="E241" i="5"/>
  <c r="D241" i="5"/>
  <c r="E237" i="5"/>
  <c r="G237" i="5"/>
  <c r="B237" i="5"/>
  <c r="D237" i="5"/>
  <c r="E233" i="5"/>
  <c r="D233" i="5"/>
  <c r="B233" i="5"/>
  <c r="E229" i="5"/>
  <c r="B229" i="5"/>
  <c r="D229" i="5"/>
  <c r="E225" i="5"/>
  <c r="D225" i="5"/>
  <c r="F225" i="5"/>
  <c r="B225" i="5"/>
  <c r="D221" i="5"/>
  <c r="E221" i="5"/>
  <c r="G221" i="5"/>
  <c r="E217" i="5"/>
  <c r="D217" i="5"/>
  <c r="B217" i="5"/>
  <c r="E213" i="5"/>
  <c r="D213" i="5"/>
  <c r="B213" i="5"/>
  <c r="E209" i="5"/>
  <c r="D209" i="5"/>
  <c r="B209" i="5"/>
  <c r="E205" i="5"/>
  <c r="D205" i="5"/>
  <c r="G205" i="5"/>
  <c r="B205" i="5"/>
  <c r="D201" i="5"/>
  <c r="E201" i="5"/>
  <c r="E197" i="5"/>
  <c r="B197" i="5"/>
  <c r="E193" i="5"/>
  <c r="D193" i="5"/>
  <c r="B193" i="5"/>
  <c r="E189" i="5"/>
  <c r="D189" i="5"/>
  <c r="G189" i="5"/>
  <c r="B189" i="5"/>
  <c r="D107" i="5"/>
  <c r="E107" i="5"/>
  <c r="B107" i="5"/>
  <c r="D100" i="5"/>
  <c r="E100" i="5"/>
  <c r="B100" i="5"/>
  <c r="E96" i="5"/>
  <c r="D96" i="5"/>
  <c r="K96" i="5" s="1"/>
  <c r="B96" i="5"/>
  <c r="D92" i="5"/>
  <c r="K92" i="5" s="1"/>
  <c r="E92" i="5"/>
  <c r="B92" i="5"/>
  <c r="E88" i="5"/>
  <c r="D88" i="5"/>
  <c r="K88" i="5" s="1"/>
  <c r="B88" i="5"/>
  <c r="D85" i="5"/>
  <c r="B85" i="5"/>
  <c r="E85" i="5"/>
  <c r="D63" i="5"/>
  <c r="E63" i="5"/>
  <c r="B63" i="5"/>
  <c r="E56" i="5"/>
  <c r="D56" i="5"/>
  <c r="B56" i="5"/>
  <c r="E53" i="5"/>
  <c r="D53" i="5"/>
  <c r="B53" i="5"/>
  <c r="E31" i="5"/>
  <c r="D31" i="5"/>
  <c r="B31" i="5"/>
  <c r="D24" i="5"/>
  <c r="B24" i="5"/>
  <c r="E21" i="5"/>
  <c r="D21" i="5"/>
  <c r="B21" i="5"/>
  <c r="D269" i="5"/>
  <c r="B310" i="1"/>
  <c r="G310" i="1"/>
  <c r="G273" i="1"/>
  <c r="B273" i="1"/>
  <c r="B240" i="2"/>
  <c r="E122" i="5"/>
  <c r="G122" i="5"/>
  <c r="D122" i="5"/>
  <c r="E118" i="5"/>
  <c r="D118" i="5"/>
  <c r="E114" i="5"/>
  <c r="D114" i="5"/>
  <c r="B114" i="5"/>
  <c r="E110" i="5"/>
  <c r="D110" i="5"/>
  <c r="B110" i="5"/>
  <c r="E66" i="5"/>
  <c r="D66" i="5"/>
  <c r="B66" i="5"/>
  <c r="D34" i="5"/>
  <c r="B34" i="5"/>
  <c r="G325" i="1"/>
  <c r="B325" i="1"/>
  <c r="G321" i="1"/>
  <c r="B321" i="1"/>
  <c r="F186" i="1"/>
  <c r="G186" i="1"/>
  <c r="B324" i="2"/>
  <c r="D171" i="5"/>
  <c r="B171" i="5"/>
  <c r="E171" i="5"/>
  <c r="E167" i="5"/>
  <c r="D167" i="5"/>
  <c r="E163" i="5"/>
  <c r="D163" i="5"/>
  <c r="B163" i="5"/>
  <c r="E159" i="5"/>
  <c r="D159" i="5"/>
  <c r="B159" i="5"/>
  <c r="E152" i="5"/>
  <c r="D152" i="5"/>
  <c r="B152" i="5"/>
  <c r="E144" i="5"/>
  <c r="D144" i="5"/>
  <c r="B144" i="5"/>
  <c r="D140" i="5"/>
  <c r="E140" i="5"/>
  <c r="B140" i="5"/>
  <c r="E137" i="5"/>
  <c r="D137" i="5"/>
  <c r="E133" i="5"/>
  <c r="D133" i="5"/>
  <c r="E129" i="5"/>
  <c r="D129" i="5"/>
  <c r="B129" i="5"/>
  <c r="E125" i="5"/>
  <c r="G125" i="5"/>
  <c r="B125" i="5"/>
  <c r="D125" i="5"/>
  <c r="E79" i="5"/>
  <c r="D79" i="5"/>
  <c r="B79" i="5"/>
  <c r="E72" i="5"/>
  <c r="D72" i="5"/>
  <c r="B72" i="5"/>
  <c r="E69" i="5"/>
  <c r="D69" i="5"/>
  <c r="D47" i="5"/>
  <c r="E47" i="5"/>
  <c r="B47" i="5"/>
  <c r="D40" i="5"/>
  <c r="E40" i="5"/>
  <c r="B40" i="5"/>
  <c r="E37" i="5"/>
  <c r="D37" i="5"/>
  <c r="E15" i="5"/>
  <c r="D15" i="5"/>
  <c r="B15" i="5"/>
  <c r="D8" i="5"/>
  <c r="B8" i="5"/>
  <c r="B37" i="5"/>
  <c r="G230" i="1"/>
  <c r="B230" i="1"/>
  <c r="B327" i="2"/>
  <c r="B292" i="2"/>
  <c r="E186" i="5"/>
  <c r="G186" i="5"/>
  <c r="B186" i="5"/>
  <c r="D186" i="5"/>
  <c r="E182" i="5"/>
  <c r="D182" i="5"/>
  <c r="E178" i="5"/>
  <c r="D178" i="5"/>
  <c r="E174" i="5"/>
  <c r="D174" i="5"/>
  <c r="E82" i="5"/>
  <c r="D82" i="5"/>
  <c r="B82" i="5"/>
  <c r="E50" i="5"/>
  <c r="D50" i="5"/>
  <c r="B50" i="5"/>
  <c r="D18" i="5"/>
  <c r="B18" i="5"/>
  <c r="E148" i="5"/>
  <c r="F130" i="1"/>
  <c r="G130" i="1"/>
  <c r="E324" i="5"/>
  <c r="D324" i="5"/>
  <c r="K324" i="5" s="1"/>
  <c r="E308" i="5"/>
  <c r="D308" i="5"/>
  <c r="D304" i="5"/>
  <c r="E304" i="5"/>
  <c r="E300" i="5"/>
  <c r="D300" i="5"/>
  <c r="E296" i="5"/>
  <c r="D296" i="5"/>
  <c r="E292" i="5"/>
  <c r="D292" i="5"/>
  <c r="E288" i="5"/>
  <c r="D288" i="5"/>
  <c r="E280" i="5"/>
  <c r="D280" i="5"/>
  <c r="E272" i="5"/>
  <c r="D272" i="5"/>
  <c r="D264" i="5"/>
  <c r="K264" i="5" s="1"/>
  <c r="E264" i="5"/>
  <c r="E256" i="5"/>
  <c r="D256" i="5"/>
  <c r="E248" i="5"/>
  <c r="D248" i="5"/>
  <c r="E240" i="5"/>
  <c r="D240" i="5"/>
  <c r="E228" i="5"/>
  <c r="D228" i="5"/>
  <c r="E224" i="5"/>
  <c r="D224" i="5"/>
  <c r="D220" i="5"/>
  <c r="K220" i="5" s="1"/>
  <c r="E220" i="5"/>
  <c r="D216" i="5"/>
  <c r="E216" i="5"/>
  <c r="E208" i="5"/>
  <c r="D208" i="5"/>
  <c r="E204" i="5"/>
  <c r="D204" i="5"/>
  <c r="D200" i="5"/>
  <c r="E200" i="5"/>
  <c r="E196" i="5"/>
  <c r="D196" i="5"/>
  <c r="K196" i="5" s="1"/>
  <c r="E192" i="5"/>
  <c r="D192" i="5"/>
  <c r="K192" i="5" s="1"/>
  <c r="E188" i="5"/>
  <c r="D188" i="5"/>
  <c r="E181" i="5"/>
  <c r="D181" i="5"/>
  <c r="E177" i="5"/>
  <c r="D177" i="5"/>
  <c r="E173" i="5"/>
  <c r="D173" i="5"/>
  <c r="G173" i="5"/>
  <c r="D166" i="5"/>
  <c r="E166" i="5"/>
  <c r="E162" i="5"/>
  <c r="D162" i="5"/>
  <c r="E158" i="5"/>
  <c r="D158" i="5"/>
  <c r="D155" i="5"/>
  <c r="E155" i="5"/>
  <c r="E151" i="5"/>
  <c r="D151" i="5"/>
  <c r="E143" i="5"/>
  <c r="D143" i="5"/>
  <c r="E136" i="5"/>
  <c r="D136" i="5"/>
  <c r="D132" i="5"/>
  <c r="E132" i="5"/>
  <c r="E128" i="5"/>
  <c r="D128" i="5"/>
  <c r="D124" i="5"/>
  <c r="E124" i="5"/>
  <c r="E121" i="5"/>
  <c r="D121" i="5"/>
  <c r="E117" i="5"/>
  <c r="D117" i="5"/>
  <c r="E113" i="5"/>
  <c r="D113" i="5"/>
  <c r="E109" i="5"/>
  <c r="G109" i="5"/>
  <c r="E106" i="5"/>
  <c r="D106" i="5"/>
  <c r="E103" i="5"/>
  <c r="D103" i="5"/>
  <c r="E99" i="5"/>
  <c r="D99" i="5"/>
  <c r="C99" i="5"/>
  <c r="E95" i="5"/>
  <c r="D95" i="5"/>
  <c r="E91" i="5"/>
  <c r="D91" i="5"/>
  <c r="E84" i="5"/>
  <c r="D84" i="5"/>
  <c r="E81" i="5"/>
  <c r="D81" i="5"/>
  <c r="E75" i="5"/>
  <c r="D75" i="5"/>
  <c r="E68" i="5"/>
  <c r="D68" i="5"/>
  <c r="E65" i="5"/>
  <c r="D65" i="5"/>
  <c r="D59" i="5"/>
  <c r="E59" i="5"/>
  <c r="E52" i="5"/>
  <c r="D52" i="5"/>
  <c r="E49" i="5"/>
  <c r="D49" i="5"/>
  <c r="D43" i="5"/>
  <c r="E43" i="5"/>
  <c r="E33" i="5"/>
  <c r="D33" i="5"/>
  <c r="D27" i="5"/>
  <c r="E27" i="5"/>
  <c r="D17" i="5"/>
  <c r="E17" i="5"/>
  <c r="I306" i="3"/>
  <c r="B306" i="3"/>
  <c r="B250" i="3"/>
  <c r="I250" i="3"/>
  <c r="I162" i="3"/>
  <c r="B162" i="3"/>
  <c r="B317" i="3"/>
  <c r="B311" i="3"/>
  <c r="G141" i="5"/>
  <c r="D327" i="5"/>
  <c r="D312" i="5"/>
  <c r="D283" i="5"/>
  <c r="D268" i="5"/>
  <c r="D252" i="5"/>
  <c r="D236" i="5"/>
  <c r="D195" i="5"/>
  <c r="D153" i="5"/>
  <c r="D61" i="5"/>
  <c r="E315" i="5"/>
  <c r="E231" i="5"/>
  <c r="E190" i="5"/>
  <c r="E147" i="5"/>
  <c r="E9" i="5"/>
  <c r="B309" i="1"/>
  <c r="F330" i="1"/>
  <c r="G319" i="1"/>
  <c r="G315" i="1"/>
  <c r="G293" i="1"/>
  <c r="G282" i="1"/>
  <c r="G271" i="1"/>
  <c r="G261" i="1"/>
  <c r="G257" i="1"/>
  <c r="F216" i="1"/>
  <c r="G213" i="1"/>
  <c r="G209" i="1"/>
  <c r="F202" i="1"/>
  <c r="G191" i="1"/>
  <c r="G169" i="1"/>
  <c r="G162" i="1"/>
  <c r="F158" i="1"/>
  <c r="G154" i="1"/>
  <c r="G129" i="1"/>
  <c r="G122" i="1"/>
  <c r="G106" i="1"/>
  <c r="F70" i="1"/>
  <c r="F30" i="1"/>
  <c r="E331" i="5"/>
  <c r="D331" i="5"/>
  <c r="E323" i="5"/>
  <c r="D323" i="5"/>
  <c r="E319" i="5"/>
  <c r="D319" i="5"/>
  <c r="E311" i="5"/>
  <c r="D311" i="5"/>
  <c r="E307" i="5"/>
  <c r="D307" i="5"/>
  <c r="E303" i="5"/>
  <c r="D303" i="5"/>
  <c r="E299" i="5"/>
  <c r="D299" i="5"/>
  <c r="E287" i="5"/>
  <c r="D287" i="5"/>
  <c r="E279" i="5"/>
  <c r="D279" i="5"/>
  <c r="E271" i="5"/>
  <c r="D271" i="5"/>
  <c r="K271" i="5" s="1"/>
  <c r="E267" i="5"/>
  <c r="D267" i="5"/>
  <c r="D263" i="5"/>
  <c r="E263" i="5"/>
  <c r="E259" i="5"/>
  <c r="D259" i="5"/>
  <c r="E255" i="5"/>
  <c r="D255" i="5"/>
  <c r="E251" i="5"/>
  <c r="D251" i="5"/>
  <c r="E247" i="5"/>
  <c r="D247" i="5"/>
  <c r="D243" i="5"/>
  <c r="E243" i="5"/>
  <c r="E239" i="5"/>
  <c r="D239" i="5"/>
  <c r="E235" i="5"/>
  <c r="D235" i="5"/>
  <c r="E223" i="5"/>
  <c r="D223" i="5"/>
  <c r="E219" i="5"/>
  <c r="D219" i="5"/>
  <c r="E215" i="5"/>
  <c r="D215" i="5"/>
  <c r="E211" i="5"/>
  <c r="D211" i="5"/>
  <c r="E203" i="5"/>
  <c r="D203" i="5"/>
  <c r="E199" i="5"/>
  <c r="D199" i="5"/>
  <c r="E184" i="5"/>
  <c r="D184" i="5"/>
  <c r="E180" i="5"/>
  <c r="D180" i="5"/>
  <c r="D176" i="5"/>
  <c r="E176" i="5"/>
  <c r="E172" i="5"/>
  <c r="D172" i="5"/>
  <c r="E169" i="5"/>
  <c r="D169" i="5"/>
  <c r="E161" i="5"/>
  <c r="D161" i="5"/>
  <c r="E157" i="5"/>
  <c r="G157" i="5"/>
  <c r="D157" i="5"/>
  <c r="E150" i="5"/>
  <c r="D150" i="5"/>
  <c r="E146" i="5"/>
  <c r="D146" i="5"/>
  <c r="D139" i="5"/>
  <c r="E139" i="5"/>
  <c r="E135" i="5"/>
  <c r="D135" i="5"/>
  <c r="D131" i="5"/>
  <c r="E131" i="5"/>
  <c r="E127" i="5"/>
  <c r="D127" i="5"/>
  <c r="E120" i="5"/>
  <c r="D120" i="5"/>
  <c r="E112" i="5"/>
  <c r="D112" i="5"/>
  <c r="K112" i="5" s="1"/>
  <c r="D108" i="5"/>
  <c r="E108" i="5"/>
  <c r="E105" i="5"/>
  <c r="D105" i="5"/>
  <c r="E102" i="5"/>
  <c r="D102" i="5"/>
  <c r="E98" i="5"/>
  <c r="D98" i="5"/>
  <c r="E90" i="5"/>
  <c r="D90" i="5"/>
  <c r="G90" i="5"/>
  <c r="E87" i="5"/>
  <c r="D87" i="5"/>
  <c r="E80" i="5"/>
  <c r="D80" i="5"/>
  <c r="K80" i="5" s="1"/>
  <c r="E77" i="5"/>
  <c r="G77" i="5"/>
  <c r="E74" i="5"/>
  <c r="D74" i="5"/>
  <c r="E71" i="5"/>
  <c r="D71" i="5"/>
  <c r="E64" i="5"/>
  <c r="D64" i="5"/>
  <c r="E58" i="5"/>
  <c r="D58" i="5"/>
  <c r="E48" i="5"/>
  <c r="D48" i="5"/>
  <c r="E45" i="5"/>
  <c r="G45" i="5"/>
  <c r="E42" i="5"/>
  <c r="D42" i="5"/>
  <c r="D39" i="5"/>
  <c r="E39" i="5"/>
  <c r="E29" i="5"/>
  <c r="G29" i="5"/>
  <c r="D26" i="5"/>
  <c r="K26" i="5" s="1"/>
  <c r="G26" i="5"/>
  <c r="E23" i="5"/>
  <c r="D23" i="5"/>
  <c r="E13" i="5"/>
  <c r="D13" i="5"/>
  <c r="G13" i="5"/>
  <c r="B320" i="3"/>
  <c r="B253" i="3"/>
  <c r="B237" i="3"/>
  <c r="B221" i="3"/>
  <c r="B205" i="3"/>
  <c r="B189" i="3"/>
  <c r="B173" i="3"/>
  <c r="B157" i="3"/>
  <c r="B141" i="3"/>
  <c r="B125" i="3"/>
  <c r="B109" i="3"/>
  <c r="B93" i="3"/>
  <c r="B77" i="3"/>
  <c r="B61" i="3"/>
  <c r="B45" i="3"/>
  <c r="B29" i="3"/>
  <c r="B13" i="3"/>
  <c r="I237" i="3"/>
  <c r="I194" i="3"/>
  <c r="I93" i="3"/>
  <c r="G61" i="5"/>
  <c r="D306" i="5"/>
  <c r="D291" i="5"/>
  <c r="D207" i="5"/>
  <c r="D165" i="5"/>
  <c r="D142" i="5"/>
  <c r="D78" i="5"/>
  <c r="D46" i="5"/>
  <c r="E295" i="5"/>
  <c r="E212" i="5"/>
  <c r="E116" i="5"/>
  <c r="E55" i="5"/>
  <c r="B177" i="1"/>
  <c r="B217" i="1"/>
  <c r="F329" i="1"/>
  <c r="G326" i="1"/>
  <c r="G314" i="1"/>
  <c r="F314" i="1"/>
  <c r="G303" i="1"/>
  <c r="G299" i="1"/>
  <c r="G278" i="1"/>
  <c r="F274" i="1"/>
  <c r="F260" i="1"/>
  <c r="F245" i="1"/>
  <c r="G241" i="1"/>
  <c r="G234" i="1"/>
  <c r="G219" i="1"/>
  <c r="F201" i="1"/>
  <c r="G198" i="1"/>
  <c r="G161" i="1"/>
  <c r="G153" i="1"/>
  <c r="F146" i="1"/>
  <c r="F132" i="1"/>
  <c r="G121" i="1"/>
  <c r="G105" i="1"/>
  <c r="F101" i="1"/>
  <c r="F89" i="1"/>
  <c r="G81" i="1"/>
  <c r="G53" i="1"/>
  <c r="E330" i="5"/>
  <c r="G330" i="5"/>
  <c r="D330" i="5"/>
  <c r="D326" i="5"/>
  <c r="E326" i="5"/>
  <c r="E322" i="5"/>
  <c r="D322" i="5"/>
  <c r="E318" i="5"/>
  <c r="D318" i="5"/>
  <c r="E314" i="5"/>
  <c r="D314" i="5"/>
  <c r="G314" i="5"/>
  <c r="E310" i="5"/>
  <c r="D310" i="5"/>
  <c r="E302" i="5"/>
  <c r="D302" i="5"/>
  <c r="E298" i="5"/>
  <c r="G298" i="5"/>
  <c r="E294" i="5"/>
  <c r="D294" i="5"/>
  <c r="E286" i="5"/>
  <c r="D286" i="5"/>
  <c r="K286" i="5" s="1"/>
  <c r="E282" i="5"/>
  <c r="D282" i="5"/>
  <c r="E278" i="5"/>
  <c r="D278" i="5"/>
  <c r="E274" i="5"/>
  <c r="D274" i="5"/>
  <c r="E270" i="5"/>
  <c r="D270" i="5"/>
  <c r="E266" i="5"/>
  <c r="D266" i="5"/>
  <c r="G266" i="5"/>
  <c r="E262" i="5"/>
  <c r="D262" i="5"/>
  <c r="E258" i="5"/>
  <c r="D258" i="5"/>
  <c r="E254" i="5"/>
  <c r="D254" i="5"/>
  <c r="E250" i="5"/>
  <c r="D250" i="5"/>
  <c r="G250" i="5"/>
  <c r="E246" i="5"/>
  <c r="D246" i="5"/>
  <c r="E242" i="5"/>
  <c r="D242" i="5"/>
  <c r="E238" i="5"/>
  <c r="D238" i="5"/>
  <c r="E234" i="5"/>
  <c r="D234" i="5"/>
  <c r="G234" i="5"/>
  <c r="E230" i="5"/>
  <c r="D230" i="5"/>
  <c r="E226" i="5"/>
  <c r="D226" i="5"/>
  <c r="E222" i="5"/>
  <c r="D222" i="5"/>
  <c r="E214" i="5"/>
  <c r="D214" i="5"/>
  <c r="E202" i="5"/>
  <c r="G202" i="5"/>
  <c r="D202" i="5"/>
  <c r="E198" i="5"/>
  <c r="D198" i="5"/>
  <c r="E194" i="5"/>
  <c r="D194" i="5"/>
  <c r="E187" i="5"/>
  <c r="D187" i="5"/>
  <c r="E183" i="5"/>
  <c r="D183" i="5"/>
  <c r="E179" i="5"/>
  <c r="D179" i="5"/>
  <c r="E168" i="5"/>
  <c r="D168" i="5"/>
  <c r="D164" i="5"/>
  <c r="E164" i="5"/>
  <c r="D160" i="5"/>
  <c r="E160" i="5"/>
  <c r="E156" i="5"/>
  <c r="D156" i="5"/>
  <c r="E149" i="5"/>
  <c r="D149" i="5"/>
  <c r="E145" i="5"/>
  <c r="D145" i="5"/>
  <c r="E138" i="5"/>
  <c r="D138" i="5"/>
  <c r="E134" i="5"/>
  <c r="D134" i="5"/>
  <c r="E130" i="5"/>
  <c r="D130" i="5"/>
  <c r="D123" i="5"/>
  <c r="E123" i="5"/>
  <c r="E119" i="5"/>
  <c r="D119" i="5"/>
  <c r="E111" i="5"/>
  <c r="D111" i="5"/>
  <c r="E104" i="5"/>
  <c r="D104" i="5"/>
  <c r="D101" i="5"/>
  <c r="E101" i="5"/>
  <c r="E97" i="5"/>
  <c r="D97" i="5"/>
  <c r="E93" i="5"/>
  <c r="G93" i="5"/>
  <c r="E89" i="5"/>
  <c r="D89" i="5"/>
  <c r="E83" i="5"/>
  <c r="D83" i="5"/>
  <c r="E76" i="5"/>
  <c r="D76" i="5"/>
  <c r="E73" i="5"/>
  <c r="D73" i="5"/>
  <c r="E70" i="5"/>
  <c r="D70" i="5"/>
  <c r="D67" i="5"/>
  <c r="E67" i="5"/>
  <c r="E60" i="5"/>
  <c r="D60" i="5"/>
  <c r="E57" i="5"/>
  <c r="D57" i="5"/>
  <c r="D51" i="5"/>
  <c r="E51" i="5"/>
  <c r="E44" i="5"/>
  <c r="D44" i="5"/>
  <c r="K44" i="5" s="1"/>
  <c r="E41" i="5"/>
  <c r="D41" i="5"/>
  <c r="E38" i="5"/>
  <c r="D38" i="5"/>
  <c r="D35" i="5"/>
  <c r="E35" i="5"/>
  <c r="D25" i="5"/>
  <c r="E25" i="5"/>
  <c r="E19" i="5"/>
  <c r="D19" i="5"/>
  <c r="I189" i="3"/>
  <c r="G218" i="5"/>
  <c r="G58" i="5"/>
  <c r="F229" i="1"/>
  <c r="D320" i="5"/>
  <c r="D290" i="5"/>
  <c r="D276" i="5"/>
  <c r="D260" i="5"/>
  <c r="D244" i="5"/>
  <c r="K244" i="5" s="1"/>
  <c r="D227" i="5"/>
  <c r="D206" i="5"/>
  <c r="D185" i="5"/>
  <c r="D141" i="5"/>
  <c r="D109" i="5"/>
  <c r="D77" i="5"/>
  <c r="D45" i="5"/>
  <c r="E210" i="5"/>
  <c r="E170" i="5"/>
  <c r="E115" i="5"/>
  <c r="E54" i="5"/>
  <c r="E7" i="5"/>
  <c r="I76" i="2"/>
  <c r="I240" i="2"/>
  <c r="H186" i="2"/>
  <c r="U186" i="3" s="1"/>
  <c r="V186" i="3" s="1"/>
  <c r="W186" i="3" s="1"/>
  <c r="H162" i="2"/>
  <c r="U162" i="3" s="1"/>
  <c r="V162" i="3" s="1"/>
  <c r="W162" i="3" s="1"/>
  <c r="H86" i="2"/>
  <c r="U86" i="3" s="1"/>
  <c r="V86" i="3" s="1"/>
  <c r="W86" i="3" s="1"/>
  <c r="H305" i="2"/>
  <c r="U305" i="3" s="1"/>
  <c r="V305" i="3" s="1"/>
  <c r="W305" i="3" s="1"/>
  <c r="H273" i="2"/>
  <c r="U273" i="3" s="1"/>
  <c r="V273" i="3" s="1"/>
  <c r="W273" i="3" s="1"/>
  <c r="H241" i="2"/>
  <c r="U241" i="3" s="1"/>
  <c r="V241" i="3" s="1"/>
  <c r="W241" i="3" s="1"/>
  <c r="H209" i="2"/>
  <c r="U209" i="3" s="1"/>
  <c r="V209" i="3" s="1"/>
  <c r="W209" i="3" s="1"/>
  <c r="H177" i="2"/>
  <c r="U177" i="3" s="1"/>
  <c r="V177" i="3" s="1"/>
  <c r="W177" i="3" s="1"/>
  <c r="H145" i="2"/>
  <c r="U145" i="3" s="1"/>
  <c r="V145" i="3" s="1"/>
  <c r="W145" i="3" s="1"/>
  <c r="H113" i="2"/>
  <c r="U113" i="3" s="1"/>
  <c r="V113" i="3" s="1"/>
  <c r="W113" i="3" s="1"/>
  <c r="H81" i="2"/>
  <c r="U81" i="3" s="1"/>
  <c r="V81" i="3" s="1"/>
  <c r="W81" i="3" s="1"/>
  <c r="H49" i="2"/>
  <c r="U49" i="3" s="1"/>
  <c r="V49" i="3" s="1"/>
  <c r="W49" i="3" s="1"/>
  <c r="H17" i="2"/>
  <c r="U17" i="3" s="1"/>
  <c r="V17" i="3" s="1"/>
  <c r="W17" i="3" s="1"/>
  <c r="H324" i="2"/>
  <c r="U324" i="3" s="1"/>
  <c r="V324" i="3" s="1"/>
  <c r="W324" i="3" s="1"/>
  <c r="H312" i="2"/>
  <c r="U312" i="3" s="1"/>
  <c r="V312" i="3" s="1"/>
  <c r="W312" i="3" s="1"/>
  <c r="H256" i="2"/>
  <c r="U256" i="3" s="1"/>
  <c r="V256" i="3" s="1"/>
  <c r="W256" i="3" s="1"/>
  <c r="H192" i="2"/>
  <c r="U192" i="3" s="1"/>
  <c r="V192" i="3" s="1"/>
  <c r="W192" i="3" s="1"/>
  <c r="H172" i="2"/>
  <c r="U172" i="3" s="1"/>
  <c r="V172" i="3" s="1"/>
  <c r="W172" i="3" s="1"/>
  <c r="H103" i="2"/>
  <c r="U103" i="3" s="1"/>
  <c r="V103" i="3" s="1"/>
  <c r="W103" i="3" s="1"/>
  <c r="H99" i="2"/>
  <c r="U99" i="3" s="1"/>
  <c r="V99" i="3" s="1"/>
  <c r="W99" i="3" s="1"/>
  <c r="H91" i="2"/>
  <c r="U91" i="3" s="1"/>
  <c r="V91" i="3" s="1"/>
  <c r="W91" i="3" s="1"/>
  <c r="H27" i="2"/>
  <c r="U27" i="3" s="1"/>
  <c r="V27" i="3" s="1"/>
  <c r="W27" i="3" s="1"/>
  <c r="H271" i="2"/>
  <c r="U271" i="3" s="1"/>
  <c r="V271" i="3" s="1"/>
  <c r="W271" i="3" s="1"/>
  <c r="H259" i="2"/>
  <c r="U259" i="3" s="1"/>
  <c r="V259" i="3" s="1"/>
  <c r="W259" i="3" s="1"/>
  <c r="H230" i="2"/>
  <c r="U230" i="3" s="1"/>
  <c r="V230" i="3" s="1"/>
  <c r="W230" i="3" s="1"/>
  <c r="H150" i="2"/>
  <c r="U150" i="3" s="1"/>
  <c r="V150" i="3" s="1"/>
  <c r="W150" i="3" s="1"/>
  <c r="H70" i="2"/>
  <c r="U70" i="3" s="1"/>
  <c r="V70" i="3" s="1"/>
  <c r="W70" i="3" s="1"/>
  <c r="H50" i="2"/>
  <c r="U50" i="3" s="1"/>
  <c r="V50" i="3" s="1"/>
  <c r="W50" i="3" s="1"/>
  <c r="H30" i="2"/>
  <c r="U30" i="3" s="1"/>
  <c r="V30" i="3" s="1"/>
  <c r="W30" i="3" s="1"/>
  <c r="H245" i="2"/>
  <c r="U245" i="3" s="1"/>
  <c r="V245" i="3" s="1"/>
  <c r="W245" i="3" s="1"/>
  <c r="H213" i="2"/>
  <c r="U213" i="3" s="1"/>
  <c r="V213" i="3" s="1"/>
  <c r="W213" i="3" s="1"/>
  <c r="H181" i="2"/>
  <c r="U181" i="3" s="1"/>
  <c r="V181" i="3" s="1"/>
  <c r="W181" i="3" s="1"/>
  <c r="H149" i="2"/>
  <c r="U149" i="3" s="1"/>
  <c r="V149" i="3" s="1"/>
  <c r="W149" i="3" s="1"/>
  <c r="H117" i="2"/>
  <c r="U117" i="3" s="1"/>
  <c r="V117" i="3" s="1"/>
  <c r="W117" i="3" s="1"/>
  <c r="H85" i="2"/>
  <c r="U85" i="3" s="1"/>
  <c r="V85" i="3" s="1"/>
  <c r="W85" i="3" s="1"/>
  <c r="H53" i="2"/>
  <c r="U53" i="3" s="1"/>
  <c r="V53" i="3" s="1"/>
  <c r="W53" i="3" s="1"/>
  <c r="H21" i="2"/>
  <c r="U21" i="3" s="1"/>
  <c r="V21" i="3" s="1"/>
  <c r="W21" i="3" s="1"/>
  <c r="H220" i="2"/>
  <c r="U220" i="3" s="1"/>
  <c r="V220" i="3" s="1"/>
  <c r="W220" i="3" s="1"/>
  <c r="H212" i="2"/>
  <c r="U212" i="3" s="1"/>
  <c r="V212" i="3" s="1"/>
  <c r="W212" i="3" s="1"/>
  <c r="H124" i="2"/>
  <c r="U124" i="3" s="1"/>
  <c r="V124" i="3" s="1"/>
  <c r="W124" i="3" s="1"/>
  <c r="H311" i="2"/>
  <c r="U311" i="3" s="1"/>
  <c r="V311" i="3" s="1"/>
  <c r="W311" i="3" s="1"/>
  <c r="H235" i="2"/>
  <c r="U235" i="3" s="1"/>
  <c r="V235" i="3" s="1"/>
  <c r="W235" i="3" s="1"/>
  <c r="H71" i="2"/>
  <c r="U71" i="3" s="1"/>
  <c r="V71" i="3" s="1"/>
  <c r="W71" i="3" s="1"/>
  <c r="H67" i="2"/>
  <c r="U67" i="3" s="1"/>
  <c r="V67" i="3" s="1"/>
  <c r="W67" i="3" s="1"/>
  <c r="H59" i="2"/>
  <c r="U59" i="3" s="1"/>
  <c r="V59" i="3" s="1"/>
  <c r="W59" i="3" s="1"/>
  <c r="F112" i="5"/>
  <c r="F229" i="5"/>
  <c r="F126" i="5"/>
  <c r="F27" i="5"/>
  <c r="F215" i="5"/>
  <c r="F216" i="5"/>
  <c r="F113" i="5"/>
  <c r="F234" i="5"/>
  <c r="F127" i="5"/>
  <c r="F295" i="5"/>
  <c r="I9" i="3"/>
  <c r="I25" i="3"/>
  <c r="I40" i="3"/>
  <c r="I53" i="3"/>
  <c r="I69" i="3"/>
  <c r="I81" i="3"/>
  <c r="I96" i="3"/>
  <c r="I112" i="3"/>
  <c r="I125" i="3"/>
  <c r="I137" i="3"/>
  <c r="I152" i="3"/>
  <c r="I157" i="3"/>
  <c r="I165" i="3"/>
  <c r="I177" i="3"/>
  <c r="I185" i="3"/>
  <c r="I191" i="3"/>
  <c r="I199" i="3"/>
  <c r="I204" i="3"/>
  <c r="I212" i="3"/>
  <c r="I218" i="3"/>
  <c r="I226" i="3"/>
  <c r="I233" i="3"/>
  <c r="I241" i="3"/>
  <c r="I247" i="3"/>
  <c r="I253" i="3"/>
  <c r="I261" i="3"/>
  <c r="I268" i="3"/>
  <c r="I276" i="3"/>
  <c r="I282" i="3"/>
  <c r="I290" i="3"/>
  <c r="I296" i="3"/>
  <c r="I304" i="3"/>
  <c r="I309" i="3"/>
  <c r="I316" i="3"/>
  <c r="I324" i="3"/>
  <c r="I329" i="3"/>
  <c r="I16" i="3"/>
  <c r="I29" i="3"/>
  <c r="I41" i="3"/>
  <c r="I57" i="3"/>
  <c r="I72" i="3"/>
  <c r="I85" i="3"/>
  <c r="I101" i="3"/>
  <c r="I113" i="3"/>
  <c r="I128" i="3"/>
  <c r="I144" i="3"/>
  <c r="I153" i="3"/>
  <c r="I159" i="3"/>
  <c r="I167" i="3"/>
  <c r="I172" i="3"/>
  <c r="I180" i="3"/>
  <c r="I186" i="3"/>
  <c r="I193" i="3"/>
  <c r="I200" i="3"/>
  <c r="I207" i="3"/>
  <c r="I213" i="3"/>
  <c r="I221" i="3"/>
  <c r="I228" i="3"/>
  <c r="I236" i="3"/>
  <c r="I242" i="3"/>
  <c r="I248" i="3"/>
  <c r="I256" i="3"/>
  <c r="I263" i="3"/>
  <c r="I271" i="3"/>
  <c r="I277" i="3"/>
  <c r="I285" i="3"/>
  <c r="I292" i="3"/>
  <c r="I297" i="3"/>
  <c r="I305" i="3"/>
  <c r="I311" i="3"/>
  <c r="I319" i="3"/>
  <c r="I330" i="3"/>
  <c r="I278" i="2"/>
  <c r="I62" i="2"/>
  <c r="I276" i="2"/>
  <c r="I88" i="2"/>
  <c r="I36" i="2"/>
  <c r="I95" i="2"/>
  <c r="I87" i="2"/>
  <c r="I247" i="2"/>
  <c r="I126" i="2"/>
  <c r="I309" i="2"/>
  <c r="I277" i="2"/>
  <c r="I232" i="2"/>
  <c r="I196" i="2"/>
  <c r="I100" i="2"/>
  <c r="I183" i="2"/>
  <c r="I63" i="2"/>
  <c r="I55" i="2"/>
  <c r="C84" i="5"/>
  <c r="C235" i="5"/>
  <c r="C322" i="5"/>
  <c r="C168" i="5"/>
  <c r="C7" i="5"/>
  <c r="C148" i="5"/>
  <c r="C289" i="5"/>
  <c r="T289" i="5" s="1"/>
  <c r="C246" i="5"/>
  <c r="C280" i="5"/>
  <c r="I119" i="2"/>
  <c r="I127" i="2"/>
  <c r="I180" i="2"/>
  <c r="I151" i="2"/>
  <c r="H155" i="2"/>
  <c r="U155" i="3" s="1"/>
  <c r="V155" i="3" s="1"/>
  <c r="W155" i="3" s="1"/>
  <c r="I159" i="2"/>
  <c r="H163" i="2"/>
  <c r="U163" i="3" s="1"/>
  <c r="V163" i="3" s="1"/>
  <c r="W163" i="3" s="1"/>
  <c r="H167" i="2"/>
  <c r="U167" i="3" s="1"/>
  <c r="V167" i="3" s="1"/>
  <c r="W167" i="3" s="1"/>
  <c r="H6" i="2"/>
  <c r="U6" i="3" s="1"/>
  <c r="I24" i="2"/>
  <c r="H140" i="2"/>
  <c r="U140" i="3" s="1"/>
  <c r="V140" i="3" s="1"/>
  <c r="W140" i="3" s="1"/>
  <c r="H164" i="2"/>
  <c r="U164" i="3" s="1"/>
  <c r="V164" i="3" s="1"/>
  <c r="W164" i="3" s="1"/>
  <c r="H176" i="2"/>
  <c r="U176" i="3" s="1"/>
  <c r="V176" i="3" s="1"/>
  <c r="W176" i="3" s="1"/>
  <c r="I304" i="2"/>
  <c r="H37" i="2"/>
  <c r="U37" i="3" s="1"/>
  <c r="V37" i="3" s="1"/>
  <c r="W37" i="3" s="1"/>
  <c r="H101" i="2"/>
  <c r="U101" i="3" s="1"/>
  <c r="V101" i="3" s="1"/>
  <c r="W101" i="3" s="1"/>
  <c r="H165" i="2"/>
  <c r="U165" i="3" s="1"/>
  <c r="V165" i="3" s="1"/>
  <c r="W165" i="3" s="1"/>
  <c r="H229" i="2"/>
  <c r="U229" i="3" s="1"/>
  <c r="V229" i="3" s="1"/>
  <c r="W229" i="3" s="1"/>
  <c r="I293" i="2"/>
  <c r="H58" i="2"/>
  <c r="U58" i="3" s="1"/>
  <c r="V58" i="3" s="1"/>
  <c r="W58" i="3" s="1"/>
  <c r="H98" i="2"/>
  <c r="U98" i="3" s="1"/>
  <c r="V98" i="3" s="1"/>
  <c r="W98" i="3" s="1"/>
  <c r="H122" i="2"/>
  <c r="U122" i="3" s="1"/>
  <c r="V122" i="3" s="1"/>
  <c r="W122" i="3" s="1"/>
  <c r="H134" i="2"/>
  <c r="U134" i="3" s="1"/>
  <c r="V134" i="3" s="1"/>
  <c r="W134" i="3" s="1"/>
  <c r="H198" i="2"/>
  <c r="U198" i="3" s="1"/>
  <c r="V198" i="3" s="1"/>
  <c r="W198" i="3" s="1"/>
  <c r="H279" i="2"/>
  <c r="U279" i="3" s="1"/>
  <c r="V279" i="3" s="1"/>
  <c r="W279" i="3" s="1"/>
  <c r="F211" i="5"/>
  <c r="F122" i="5"/>
  <c r="F328" i="5"/>
  <c r="I321" i="3"/>
  <c r="I308" i="3"/>
  <c r="I295" i="3"/>
  <c r="I281" i="3"/>
  <c r="I266" i="3"/>
  <c r="I252" i="3"/>
  <c r="I239" i="3"/>
  <c r="I224" i="3"/>
  <c r="I209" i="3"/>
  <c r="I197" i="3"/>
  <c r="I184" i="3"/>
  <c r="I170" i="3"/>
  <c r="I156" i="3"/>
  <c r="I136" i="3"/>
  <c r="I105" i="3"/>
  <c r="I80" i="3"/>
  <c r="I49" i="3"/>
  <c r="I21" i="3"/>
  <c r="F6" i="1"/>
  <c r="F16" i="1"/>
  <c r="F26" i="1"/>
  <c r="F36" i="1"/>
  <c r="F44" i="1"/>
  <c r="F52" i="1"/>
  <c r="F59" i="1"/>
  <c r="F66" i="1"/>
  <c r="F74" i="1"/>
  <c r="F80" i="1"/>
  <c r="F86" i="1"/>
  <c r="F92" i="1"/>
  <c r="F97" i="1"/>
  <c r="F102" i="1"/>
  <c r="F108" i="1"/>
  <c r="F113" i="1"/>
  <c r="F118" i="1"/>
  <c r="F124" i="1"/>
  <c r="F129" i="1"/>
  <c r="F134" i="1"/>
  <c r="F140" i="1"/>
  <c r="F145" i="1"/>
  <c r="F150" i="1"/>
  <c r="F156" i="1"/>
  <c r="F161" i="1"/>
  <c r="F166" i="1"/>
  <c r="F172" i="1"/>
  <c r="F177" i="1"/>
  <c r="F182" i="1"/>
  <c r="F188" i="1"/>
  <c r="F193" i="1"/>
  <c r="F198" i="1"/>
  <c r="F204" i="1"/>
  <c r="F209" i="1"/>
  <c r="F214" i="1"/>
  <c r="F220" i="1"/>
  <c r="F225" i="1"/>
  <c r="F230" i="1"/>
  <c r="F236" i="1"/>
  <c r="F241" i="1"/>
  <c r="F246" i="1"/>
  <c r="F252" i="1"/>
  <c r="F257" i="1"/>
  <c r="F262" i="1"/>
  <c r="F268" i="1"/>
  <c r="F273" i="1"/>
  <c r="F278" i="1"/>
  <c r="F284" i="1"/>
  <c r="F289" i="1"/>
  <c r="F294" i="1"/>
  <c r="F300" i="1"/>
  <c r="F305" i="1"/>
  <c r="F310" i="1"/>
  <c r="F316" i="1"/>
  <c r="F321" i="1"/>
  <c r="F326" i="1"/>
  <c r="G9" i="1"/>
  <c r="G15" i="1"/>
  <c r="G20" i="1"/>
  <c r="G25" i="1"/>
  <c r="G31" i="1"/>
  <c r="G36" i="1"/>
  <c r="G41" i="1"/>
  <c r="G47" i="1"/>
  <c r="G52" i="1"/>
  <c r="G57" i="1"/>
  <c r="G63" i="1"/>
  <c r="G68" i="1"/>
  <c r="G73" i="1"/>
  <c r="G79" i="1"/>
  <c r="G84" i="1"/>
  <c r="G89" i="1"/>
  <c r="G94" i="1"/>
  <c r="G98" i="1"/>
  <c r="G102" i="1"/>
  <c r="F12" i="1"/>
  <c r="F22" i="1"/>
  <c r="F37" i="1"/>
  <c r="F48" i="1"/>
  <c r="F58" i="1"/>
  <c r="F68" i="1"/>
  <c r="F76" i="1"/>
  <c r="F85" i="1"/>
  <c r="F93" i="1"/>
  <c r="F100" i="1"/>
  <c r="F106" i="1"/>
  <c r="F114" i="1"/>
  <c r="F121" i="1"/>
  <c r="F128" i="1"/>
  <c r="F136" i="1"/>
  <c r="F142" i="1"/>
  <c r="F149" i="1"/>
  <c r="F157" i="1"/>
  <c r="F164" i="1"/>
  <c r="F170" i="1"/>
  <c r="F178" i="1"/>
  <c r="F185" i="1"/>
  <c r="F192" i="1"/>
  <c r="F200" i="1"/>
  <c r="F206" i="1"/>
  <c r="F213" i="1"/>
  <c r="F221" i="1"/>
  <c r="F228" i="1"/>
  <c r="F234" i="1"/>
  <c r="F242" i="1"/>
  <c r="F249" i="1"/>
  <c r="F256" i="1"/>
  <c r="F264" i="1"/>
  <c r="F270" i="1"/>
  <c r="F277" i="1"/>
  <c r="F285" i="1"/>
  <c r="F292" i="1"/>
  <c r="F298" i="1"/>
  <c r="F306" i="1"/>
  <c r="F313" i="1"/>
  <c r="F320" i="1"/>
  <c r="F328" i="1"/>
  <c r="G8" i="1"/>
  <c r="G16" i="1"/>
  <c r="G23" i="1"/>
  <c r="G29" i="1"/>
  <c r="G37" i="1"/>
  <c r="G44" i="1"/>
  <c r="G51" i="1"/>
  <c r="G59" i="1"/>
  <c r="G65" i="1"/>
  <c r="G72" i="1"/>
  <c r="G80" i="1"/>
  <c r="G87" i="1"/>
  <c r="G93" i="1"/>
  <c r="G99" i="1"/>
  <c r="G104" i="1"/>
  <c r="G108" i="1"/>
  <c r="G112" i="1"/>
  <c r="G116" i="1"/>
  <c r="G120" i="1"/>
  <c r="G124" i="1"/>
  <c r="G128" i="1"/>
  <c r="G132" i="1"/>
  <c r="G136" i="1"/>
  <c r="G140" i="1"/>
  <c r="G144" i="1"/>
  <c r="G148" i="1"/>
  <c r="G152" i="1"/>
  <c r="G156" i="1"/>
  <c r="G160" i="1"/>
  <c r="G164" i="1"/>
  <c r="G168" i="1"/>
  <c r="G172" i="1"/>
  <c r="G176" i="1"/>
  <c r="G180" i="1"/>
  <c r="G184" i="1"/>
  <c r="G188" i="1"/>
  <c r="G192" i="1"/>
  <c r="G196" i="1"/>
  <c r="G200" i="1"/>
  <c r="G204" i="1"/>
  <c r="G208" i="1"/>
  <c r="G212" i="1"/>
  <c r="G216" i="1"/>
  <c r="G220" i="1"/>
  <c r="G224" i="1"/>
  <c r="G228" i="1"/>
  <c r="G232" i="1"/>
  <c r="G236" i="1"/>
  <c r="G240" i="1"/>
  <c r="G244" i="1"/>
  <c r="G248" i="1"/>
  <c r="G252" i="1"/>
  <c r="G256" i="1"/>
  <c r="G260" i="1"/>
  <c r="G264" i="1"/>
  <c r="G268" i="1"/>
  <c r="G272" i="1"/>
  <c r="G276" i="1"/>
  <c r="G280" i="1"/>
  <c r="G284" i="1"/>
  <c r="G288" i="1"/>
  <c r="G292" i="1"/>
  <c r="G296" i="1"/>
  <c r="G300" i="1"/>
  <c r="G304" i="1"/>
  <c r="G308" i="1"/>
  <c r="G312" i="1"/>
  <c r="G316" i="1"/>
  <c r="G320" i="1"/>
  <c r="G324" i="1"/>
  <c r="G328" i="1"/>
  <c r="F9" i="1"/>
  <c r="F21" i="1"/>
  <c r="F33" i="1"/>
  <c r="F47" i="1"/>
  <c r="F55" i="1"/>
  <c r="F64" i="1"/>
  <c r="F75" i="1"/>
  <c r="F84" i="1"/>
  <c r="F90" i="1"/>
  <c r="F98" i="1"/>
  <c r="F105" i="1"/>
  <c r="F112" i="1"/>
  <c r="F120" i="1"/>
  <c r="F126" i="1"/>
  <c r="F133" i="1"/>
  <c r="F141" i="1"/>
  <c r="F148" i="1"/>
  <c r="F154" i="1"/>
  <c r="F162" i="1"/>
  <c r="F169" i="1"/>
  <c r="F176" i="1"/>
  <c r="F184" i="1"/>
  <c r="F190" i="1"/>
  <c r="F197" i="1"/>
  <c r="F205" i="1"/>
  <c r="F212" i="1"/>
  <c r="F218" i="1"/>
  <c r="F226" i="1"/>
  <c r="F233" i="1"/>
  <c r="F240" i="1"/>
  <c r="F248" i="1"/>
  <c r="F254" i="1"/>
  <c r="F261" i="1"/>
  <c r="F269" i="1"/>
  <c r="F276" i="1"/>
  <c r="F282" i="1"/>
  <c r="F290" i="1"/>
  <c r="F297" i="1"/>
  <c r="F304" i="1"/>
  <c r="F312" i="1"/>
  <c r="F318" i="1"/>
  <c r="F325" i="1"/>
  <c r="G7" i="1"/>
  <c r="G13" i="1"/>
  <c r="G21" i="1"/>
  <c r="G28" i="1"/>
  <c r="G35" i="1"/>
  <c r="G43" i="1"/>
  <c r="G49" i="1"/>
  <c r="G56" i="1"/>
  <c r="G64" i="1"/>
  <c r="G71" i="1"/>
  <c r="G77" i="1"/>
  <c r="G85" i="1"/>
  <c r="G92" i="1"/>
  <c r="G97" i="1"/>
  <c r="G103" i="1"/>
  <c r="G107" i="1"/>
  <c r="G111" i="1"/>
  <c r="G115" i="1"/>
  <c r="G119" i="1"/>
  <c r="G123" i="1"/>
  <c r="G127" i="1"/>
  <c r="G131" i="1"/>
  <c r="G135" i="1"/>
  <c r="G139" i="1"/>
  <c r="G143" i="1"/>
  <c r="G147" i="1"/>
  <c r="G151" i="1"/>
  <c r="G155" i="1"/>
  <c r="G159" i="1"/>
  <c r="G163" i="1"/>
  <c r="G167" i="1"/>
  <c r="G171" i="1"/>
  <c r="G175" i="1"/>
  <c r="G179" i="1"/>
  <c r="G183" i="1"/>
  <c r="G187" i="1"/>
  <c r="F14" i="1"/>
  <c r="F41" i="1"/>
  <c r="F60" i="1"/>
  <c r="F79" i="1"/>
  <c r="F94" i="1"/>
  <c r="F109" i="1"/>
  <c r="F122" i="1"/>
  <c r="F137" i="1"/>
  <c r="F152" i="1"/>
  <c r="F165" i="1"/>
  <c r="F180" i="1"/>
  <c r="F194" i="1"/>
  <c r="F208" i="1"/>
  <c r="F222" i="1"/>
  <c r="F237" i="1"/>
  <c r="F250" i="1"/>
  <c r="F265" i="1"/>
  <c r="F280" i="1"/>
  <c r="F293" i="1"/>
  <c r="F308" i="1"/>
  <c r="F322" i="1"/>
  <c r="G17" i="1"/>
  <c r="G32" i="1"/>
  <c r="G45" i="1"/>
  <c r="G60" i="1"/>
  <c r="G75" i="1"/>
  <c r="G88" i="1"/>
  <c r="G100" i="1"/>
  <c r="G109" i="1"/>
  <c r="G117" i="1"/>
  <c r="G125" i="1"/>
  <c r="G133" i="1"/>
  <c r="G141" i="1"/>
  <c r="G149" i="1"/>
  <c r="G157" i="1"/>
  <c r="G165" i="1"/>
  <c r="G173" i="1"/>
  <c r="G181" i="1"/>
  <c r="G189" i="1"/>
  <c r="G194" i="1"/>
  <c r="G199" i="1"/>
  <c r="G205" i="1"/>
  <c r="G210" i="1"/>
  <c r="G215" i="1"/>
  <c r="G221" i="1"/>
  <c r="G226" i="1"/>
  <c r="G231" i="1"/>
  <c r="G237" i="1"/>
  <c r="G242" i="1"/>
  <c r="G247" i="1"/>
  <c r="G253" i="1"/>
  <c r="G258" i="1"/>
  <c r="G263" i="1"/>
  <c r="G269" i="1"/>
  <c r="G274" i="1"/>
  <c r="G279" i="1"/>
  <c r="G285" i="1"/>
  <c r="G290" i="1"/>
  <c r="G295" i="1"/>
  <c r="G301" i="1"/>
  <c r="G306" i="1"/>
  <c r="G311" i="1"/>
  <c r="G317" i="1"/>
  <c r="G322" i="1"/>
  <c r="G327" i="1"/>
  <c r="F20" i="1"/>
  <c r="F42" i="1"/>
  <c r="F63" i="1"/>
  <c r="F82" i="1"/>
  <c r="F96" i="1"/>
  <c r="F110" i="1"/>
  <c r="F125" i="1"/>
  <c r="F138" i="1"/>
  <c r="F153" i="1"/>
  <c r="F168" i="1"/>
  <c r="F181" i="1"/>
  <c r="F196" i="1"/>
  <c r="F210" i="1"/>
  <c r="F224" i="1"/>
  <c r="F238" i="1"/>
  <c r="F253" i="1"/>
  <c r="F266" i="1"/>
  <c r="F281" i="1"/>
  <c r="F296" i="1"/>
  <c r="F309" i="1"/>
  <c r="F324" i="1"/>
  <c r="G19" i="1"/>
  <c r="G33" i="1"/>
  <c r="G48" i="1"/>
  <c r="G61" i="1"/>
  <c r="G76" i="1"/>
  <c r="G91" i="1"/>
  <c r="G101" i="1"/>
  <c r="G110" i="1"/>
  <c r="G118" i="1"/>
  <c r="G126" i="1"/>
  <c r="G134" i="1"/>
  <c r="G142" i="1"/>
  <c r="G150" i="1"/>
  <c r="G158" i="1"/>
  <c r="G166" i="1"/>
  <c r="G174" i="1"/>
  <c r="G182" i="1"/>
  <c r="G190" i="1"/>
  <c r="G195" i="1"/>
  <c r="G201" i="1"/>
  <c r="G206" i="1"/>
  <c r="G211" i="1"/>
  <c r="G217" i="1"/>
  <c r="G222" i="1"/>
  <c r="G227" i="1"/>
  <c r="G233" i="1"/>
  <c r="G238" i="1"/>
  <c r="G243" i="1"/>
  <c r="G249" i="1"/>
  <c r="G254" i="1"/>
  <c r="G259" i="1"/>
  <c r="G265" i="1"/>
  <c r="G270" i="1"/>
  <c r="G275" i="1"/>
  <c r="G281" i="1"/>
  <c r="G286" i="1"/>
  <c r="G291" i="1"/>
  <c r="G297" i="1"/>
  <c r="G302" i="1"/>
  <c r="G307" i="1"/>
  <c r="G313" i="1"/>
  <c r="G318" i="1"/>
  <c r="G323" i="1"/>
  <c r="G329" i="1"/>
  <c r="H4" i="1"/>
  <c r="H223" i="1" s="1"/>
  <c r="H6" i="5"/>
  <c r="G10" i="5"/>
  <c r="G42" i="5"/>
  <c r="G74" i="5"/>
  <c r="G106" i="5"/>
  <c r="G138" i="5"/>
  <c r="G170" i="5"/>
  <c r="I23" i="2"/>
  <c r="I31" i="2"/>
  <c r="I35" i="2"/>
  <c r="I131" i="2"/>
  <c r="I8" i="2"/>
  <c r="I20" i="2"/>
  <c r="I72" i="2"/>
  <c r="I84" i="2"/>
  <c r="I200" i="2"/>
  <c r="I248" i="2"/>
  <c r="I284" i="2"/>
  <c r="I312" i="2"/>
  <c r="I70" i="2"/>
  <c r="I134" i="2"/>
  <c r="I198" i="2"/>
  <c r="I250" i="2"/>
  <c r="I302" i="2"/>
  <c r="I330" i="2"/>
  <c r="I207" i="2"/>
  <c r="I279" i="2"/>
  <c r="H299" i="2"/>
  <c r="U299" i="3" s="1"/>
  <c r="V299" i="3" s="1"/>
  <c r="W299" i="3" s="1"/>
  <c r="H247" i="2"/>
  <c r="U247" i="3" s="1"/>
  <c r="V247" i="3" s="1"/>
  <c r="W247" i="3" s="1"/>
  <c r="H239" i="2"/>
  <c r="U239" i="3" s="1"/>
  <c r="V239" i="3" s="1"/>
  <c r="W239" i="3" s="1"/>
  <c r="H191" i="2"/>
  <c r="U191" i="3" s="1"/>
  <c r="V191" i="3" s="1"/>
  <c r="W191" i="3" s="1"/>
  <c r="H314" i="2"/>
  <c r="U314" i="3" s="1"/>
  <c r="V314" i="3" s="1"/>
  <c r="W314" i="3" s="1"/>
  <c r="H290" i="2"/>
  <c r="U290" i="3" s="1"/>
  <c r="V290" i="3" s="1"/>
  <c r="W290" i="3" s="1"/>
  <c r="H282" i="2"/>
  <c r="U282" i="3" s="1"/>
  <c r="V282" i="3" s="1"/>
  <c r="W282" i="3" s="1"/>
  <c r="H278" i="2"/>
  <c r="U278" i="3" s="1"/>
  <c r="V278" i="3" s="1"/>
  <c r="W278" i="3" s="1"/>
  <c r="H234" i="2"/>
  <c r="U234" i="3" s="1"/>
  <c r="V234" i="3" s="1"/>
  <c r="W234" i="3" s="1"/>
  <c r="H202" i="2"/>
  <c r="U202" i="3" s="1"/>
  <c r="V202" i="3" s="1"/>
  <c r="W202" i="3" s="1"/>
  <c r="H170" i="2"/>
  <c r="U170" i="3" s="1"/>
  <c r="V170" i="3" s="1"/>
  <c r="W170" i="3" s="1"/>
  <c r="H138" i="2"/>
  <c r="U138" i="3" s="1"/>
  <c r="V138" i="3" s="1"/>
  <c r="W138" i="3" s="1"/>
  <c r="H106" i="2"/>
  <c r="U106" i="3" s="1"/>
  <c r="V106" i="3" s="1"/>
  <c r="W106" i="3" s="1"/>
  <c r="H74" i="2"/>
  <c r="U74" i="3" s="1"/>
  <c r="V74" i="3" s="1"/>
  <c r="W74" i="3" s="1"/>
  <c r="H42" i="2"/>
  <c r="U42" i="3" s="1"/>
  <c r="V42" i="3" s="1"/>
  <c r="W42" i="3" s="1"/>
  <c r="H329" i="2"/>
  <c r="U329" i="3" s="1"/>
  <c r="V329" i="3" s="1"/>
  <c r="W329" i="3" s="1"/>
  <c r="H325" i="2"/>
  <c r="U325" i="3" s="1"/>
  <c r="V325" i="3" s="1"/>
  <c r="W325" i="3" s="1"/>
  <c r="H317" i="2"/>
  <c r="U317" i="3" s="1"/>
  <c r="V317" i="3" s="1"/>
  <c r="W317" i="3" s="1"/>
  <c r="H313" i="2"/>
  <c r="U313" i="3" s="1"/>
  <c r="V313" i="3" s="1"/>
  <c r="W313" i="3" s="1"/>
  <c r="H309" i="2"/>
  <c r="U309" i="3" s="1"/>
  <c r="V309" i="3" s="1"/>
  <c r="W309" i="3" s="1"/>
  <c r="H301" i="2"/>
  <c r="U301" i="3" s="1"/>
  <c r="V301" i="3" s="1"/>
  <c r="W301" i="3" s="1"/>
  <c r="H297" i="2"/>
  <c r="U297" i="3" s="1"/>
  <c r="V297" i="3" s="1"/>
  <c r="W297" i="3" s="1"/>
  <c r="H293" i="2"/>
  <c r="U293" i="3" s="1"/>
  <c r="V293" i="3" s="1"/>
  <c r="W293" i="3" s="1"/>
  <c r="H285" i="2"/>
  <c r="U285" i="3" s="1"/>
  <c r="V285" i="3" s="1"/>
  <c r="W285" i="3" s="1"/>
  <c r="H281" i="2"/>
  <c r="U281" i="3" s="1"/>
  <c r="V281" i="3" s="1"/>
  <c r="W281" i="3" s="1"/>
  <c r="H277" i="2"/>
  <c r="U277" i="3" s="1"/>
  <c r="V277" i="3" s="1"/>
  <c r="W277" i="3" s="1"/>
  <c r="H269" i="2"/>
  <c r="U269" i="3" s="1"/>
  <c r="V269" i="3" s="1"/>
  <c r="W269" i="3" s="1"/>
  <c r="H265" i="2"/>
  <c r="U265" i="3" s="1"/>
  <c r="V265" i="3" s="1"/>
  <c r="W265" i="3" s="1"/>
  <c r="H328" i="2"/>
  <c r="U328" i="3" s="1"/>
  <c r="V328" i="3" s="1"/>
  <c r="W328" i="3" s="1"/>
  <c r="H296" i="2"/>
  <c r="U296" i="3" s="1"/>
  <c r="V296" i="3" s="1"/>
  <c r="W296" i="3" s="1"/>
  <c r="H276" i="2"/>
  <c r="U276" i="3" s="1"/>
  <c r="V276" i="3" s="1"/>
  <c r="W276" i="3" s="1"/>
  <c r="H264" i="2"/>
  <c r="U264" i="3" s="1"/>
  <c r="V264" i="3" s="1"/>
  <c r="W264" i="3" s="1"/>
  <c r="H232" i="2"/>
  <c r="U232" i="3" s="1"/>
  <c r="V232" i="3" s="1"/>
  <c r="W232" i="3" s="1"/>
  <c r="H196" i="2"/>
  <c r="U196" i="3" s="1"/>
  <c r="V196" i="3" s="1"/>
  <c r="W196" i="3" s="1"/>
  <c r="H160" i="2"/>
  <c r="U160" i="3" s="1"/>
  <c r="V160" i="3" s="1"/>
  <c r="W160" i="3" s="1"/>
  <c r="H148" i="2"/>
  <c r="U148" i="3" s="1"/>
  <c r="V148" i="3" s="1"/>
  <c r="W148" i="3" s="1"/>
  <c r="H128" i="2"/>
  <c r="U128" i="3" s="1"/>
  <c r="V128" i="3" s="1"/>
  <c r="W128" i="3" s="1"/>
  <c r="H116" i="2"/>
  <c r="U116" i="3" s="1"/>
  <c r="V116" i="3" s="1"/>
  <c r="W116" i="3" s="1"/>
  <c r="H283" i="2"/>
  <c r="U283" i="3" s="1"/>
  <c r="V283" i="3" s="1"/>
  <c r="W283" i="3" s="1"/>
  <c r="H179" i="2"/>
  <c r="U179" i="3" s="1"/>
  <c r="V179" i="3" s="1"/>
  <c r="W179" i="3" s="1"/>
  <c r="H171" i="2"/>
  <c r="U171" i="3" s="1"/>
  <c r="V171" i="3" s="1"/>
  <c r="W171" i="3" s="1"/>
  <c r="H147" i="2"/>
  <c r="U147" i="3" s="1"/>
  <c r="V147" i="3" s="1"/>
  <c r="W147" i="3" s="1"/>
  <c r="H139" i="2"/>
  <c r="U139" i="3" s="1"/>
  <c r="V139" i="3" s="1"/>
  <c r="W139" i="3" s="1"/>
  <c r="H115" i="2"/>
  <c r="U115" i="3" s="1"/>
  <c r="V115" i="3" s="1"/>
  <c r="W115" i="3" s="1"/>
  <c r="H107" i="2"/>
  <c r="U107" i="3" s="1"/>
  <c r="V107" i="3" s="1"/>
  <c r="W107" i="3" s="1"/>
  <c r="H83" i="2"/>
  <c r="U83" i="3" s="1"/>
  <c r="V83" i="3" s="1"/>
  <c r="W83" i="3" s="1"/>
  <c r="H75" i="2"/>
  <c r="U75" i="3" s="1"/>
  <c r="V75" i="3" s="1"/>
  <c r="W75" i="3" s="1"/>
  <c r="H51" i="2"/>
  <c r="U51" i="3" s="1"/>
  <c r="V51" i="3" s="1"/>
  <c r="W51" i="3" s="1"/>
  <c r="H43" i="2"/>
  <c r="U43" i="3" s="1"/>
  <c r="V43" i="3" s="1"/>
  <c r="W43" i="3" s="1"/>
  <c r="H295" i="2"/>
  <c r="U295" i="3" s="1"/>
  <c r="V295" i="3" s="1"/>
  <c r="W295" i="3" s="1"/>
  <c r="H211" i="2"/>
  <c r="U211" i="3" s="1"/>
  <c r="V211" i="3" s="1"/>
  <c r="W211" i="3" s="1"/>
  <c r="H203" i="2"/>
  <c r="U203" i="3" s="1"/>
  <c r="V203" i="3" s="1"/>
  <c r="W203" i="3" s="1"/>
  <c r="H258" i="2"/>
  <c r="U258" i="3" s="1"/>
  <c r="V258" i="3" s="1"/>
  <c r="W258" i="3" s="1"/>
  <c r="H250" i="2"/>
  <c r="U250" i="3" s="1"/>
  <c r="V250" i="3" s="1"/>
  <c r="W250" i="3" s="1"/>
  <c r="H246" i="2"/>
  <c r="U246" i="3" s="1"/>
  <c r="V246" i="3" s="1"/>
  <c r="W246" i="3" s="1"/>
  <c r="H226" i="2"/>
  <c r="U226" i="3" s="1"/>
  <c r="V226" i="3" s="1"/>
  <c r="W226" i="3" s="1"/>
  <c r="H218" i="2"/>
  <c r="U218" i="3" s="1"/>
  <c r="V218" i="3" s="1"/>
  <c r="W218" i="3" s="1"/>
  <c r="F32" i="5"/>
  <c r="F20" i="5"/>
  <c r="F72" i="5"/>
  <c r="F132" i="5"/>
  <c r="F192" i="5"/>
  <c r="F244" i="5"/>
  <c r="F304" i="5"/>
  <c r="F25" i="5"/>
  <c r="F81" i="5"/>
  <c r="F137" i="5"/>
  <c r="F197" i="5"/>
  <c r="F249" i="5"/>
  <c r="F309" i="5"/>
  <c r="F38" i="5"/>
  <c r="F90" i="5"/>
  <c r="F150" i="5"/>
  <c r="F206" i="5"/>
  <c r="F262" i="5"/>
  <c r="F318" i="5"/>
  <c r="F47" i="5"/>
  <c r="F99" i="5"/>
  <c r="F147" i="5"/>
  <c r="F191" i="5"/>
  <c r="F231" i="5"/>
  <c r="F275" i="5"/>
  <c r="F319" i="5"/>
  <c r="F24" i="5"/>
  <c r="F84" i="5"/>
  <c r="F136" i="5"/>
  <c r="F196" i="5"/>
  <c r="F256" i="5"/>
  <c r="F308" i="5"/>
  <c r="F33" i="5"/>
  <c r="F89" i="5"/>
  <c r="F145" i="5"/>
  <c r="F201" i="5"/>
  <c r="F261" i="5"/>
  <c r="F313" i="5"/>
  <c r="F42" i="5"/>
  <c r="F102" i="5"/>
  <c r="F154" i="5"/>
  <c r="F214" i="5"/>
  <c r="F270" i="5"/>
  <c r="F326" i="5"/>
  <c r="F51" i="5"/>
  <c r="F111" i="5"/>
  <c r="F151" i="5"/>
  <c r="F195" i="5"/>
  <c r="F239" i="5"/>
  <c r="F279" i="5"/>
  <c r="F323" i="5"/>
  <c r="G7" i="5"/>
  <c r="G11" i="5"/>
  <c r="G15" i="5"/>
  <c r="G19" i="5"/>
  <c r="G23" i="5"/>
  <c r="G27" i="5"/>
  <c r="G31" i="5"/>
  <c r="G35" i="5"/>
  <c r="G39" i="5"/>
  <c r="G43" i="5"/>
  <c r="G47" i="5"/>
  <c r="G51" i="5"/>
  <c r="G55" i="5"/>
  <c r="G59" i="5"/>
  <c r="G63" i="5"/>
  <c r="G67" i="5"/>
  <c r="G71" i="5"/>
  <c r="G75" i="5"/>
  <c r="G79" i="5"/>
  <c r="G83" i="5"/>
  <c r="G87" i="5"/>
  <c r="G91" i="5"/>
  <c r="G95" i="5"/>
  <c r="G99" i="5"/>
  <c r="G103" i="5"/>
  <c r="G107" i="5"/>
  <c r="G111" i="5"/>
  <c r="G115" i="5"/>
  <c r="G119" i="5"/>
  <c r="G123" i="5"/>
  <c r="G127" i="5"/>
  <c r="G131" i="5"/>
  <c r="G135" i="5"/>
  <c r="G139" i="5"/>
  <c r="G143" i="5"/>
  <c r="G147" i="5"/>
  <c r="G151" i="5"/>
  <c r="G155" i="5"/>
  <c r="G159" i="5"/>
  <c r="G163" i="5"/>
  <c r="G167" i="5"/>
  <c r="G171" i="5"/>
  <c r="G175" i="5"/>
  <c r="G179" i="5"/>
  <c r="G183" i="5"/>
  <c r="G187" i="5"/>
  <c r="G191" i="5"/>
  <c r="G195" i="5"/>
  <c r="G199" i="5"/>
  <c r="G203" i="5"/>
  <c r="G207" i="5"/>
  <c r="G211" i="5"/>
  <c r="G215" i="5"/>
  <c r="G219" i="5"/>
  <c r="G223" i="5"/>
  <c r="G227" i="5"/>
  <c r="G231" i="5"/>
  <c r="G235" i="5"/>
  <c r="G239" i="5"/>
  <c r="G243" i="5"/>
  <c r="G247" i="5"/>
  <c r="G251" i="5"/>
  <c r="G255" i="5"/>
  <c r="G259" i="5"/>
  <c r="G263" i="5"/>
  <c r="G267" i="5"/>
  <c r="G271" i="5"/>
  <c r="G275" i="5"/>
  <c r="G279" i="5"/>
  <c r="G283" i="5"/>
  <c r="G287" i="5"/>
  <c r="G291" i="5"/>
  <c r="G295" i="5"/>
  <c r="G299" i="5"/>
  <c r="G303" i="5"/>
  <c r="G307" i="5"/>
  <c r="G311" i="5"/>
  <c r="G315" i="5"/>
  <c r="G319" i="5"/>
  <c r="G323" i="5"/>
  <c r="G327" i="5"/>
  <c r="G331" i="5"/>
  <c r="G8" i="5"/>
  <c r="G12" i="5"/>
  <c r="G16" i="5"/>
  <c r="G20" i="5"/>
  <c r="G24" i="5"/>
  <c r="G28" i="5"/>
  <c r="G32" i="5"/>
  <c r="G36" i="5"/>
  <c r="G40" i="5"/>
  <c r="G44" i="5"/>
  <c r="G48" i="5"/>
  <c r="G52" i="5"/>
  <c r="G56" i="5"/>
  <c r="G60" i="5"/>
  <c r="G64" i="5"/>
  <c r="G68" i="5"/>
  <c r="G72" i="5"/>
  <c r="G76" i="5"/>
  <c r="G80" i="5"/>
  <c r="G84" i="5"/>
  <c r="G88" i="5"/>
  <c r="G92" i="5"/>
  <c r="G96" i="5"/>
  <c r="G100" i="5"/>
  <c r="G104" i="5"/>
  <c r="G108" i="5"/>
  <c r="G112" i="5"/>
  <c r="G116" i="5"/>
  <c r="G120" i="5"/>
  <c r="G124" i="5"/>
  <c r="G128" i="5"/>
  <c r="G132" i="5"/>
  <c r="G136" i="5"/>
  <c r="G140" i="5"/>
  <c r="G144" i="5"/>
  <c r="G148" i="5"/>
  <c r="G152" i="5"/>
  <c r="G156" i="5"/>
  <c r="G160" i="5"/>
  <c r="G164" i="5"/>
  <c r="G168" i="5"/>
  <c r="G172" i="5"/>
  <c r="G176" i="5"/>
  <c r="G180" i="5"/>
  <c r="G184" i="5"/>
  <c r="G188" i="5"/>
  <c r="G192" i="5"/>
  <c r="G196" i="5"/>
  <c r="G200" i="5"/>
  <c r="G204" i="5"/>
  <c r="G208" i="5"/>
  <c r="G212" i="5"/>
  <c r="G216" i="5"/>
  <c r="G220" i="5"/>
  <c r="G224" i="5"/>
  <c r="G228" i="5"/>
  <c r="G232" i="5"/>
  <c r="G236" i="5"/>
  <c r="G240" i="5"/>
  <c r="G244" i="5"/>
  <c r="G248" i="5"/>
  <c r="G252" i="5"/>
  <c r="G256" i="5"/>
  <c r="G260" i="5"/>
  <c r="G264" i="5"/>
  <c r="G268" i="5"/>
  <c r="G272" i="5"/>
  <c r="G276" i="5"/>
  <c r="G280" i="5"/>
  <c r="G284" i="5"/>
  <c r="G288" i="5"/>
  <c r="G292" i="5"/>
  <c r="G296" i="5"/>
  <c r="G300" i="5"/>
  <c r="G304" i="5"/>
  <c r="G308" i="5"/>
  <c r="G312" i="5"/>
  <c r="G316" i="5"/>
  <c r="G320" i="5"/>
  <c r="G324" i="5"/>
  <c r="G328" i="5"/>
  <c r="G14" i="5"/>
  <c r="G22" i="5"/>
  <c r="G30" i="5"/>
  <c r="G38" i="5"/>
  <c r="G46" i="5"/>
  <c r="G54" i="5"/>
  <c r="G62" i="5"/>
  <c r="G70" i="5"/>
  <c r="G78" i="5"/>
  <c r="G86" i="5"/>
  <c r="G94" i="5"/>
  <c r="G102" i="5"/>
  <c r="G110" i="5"/>
  <c r="G118" i="5"/>
  <c r="G126" i="5"/>
  <c r="G134" i="5"/>
  <c r="G142" i="5"/>
  <c r="G150" i="5"/>
  <c r="G158" i="5"/>
  <c r="G166" i="5"/>
  <c r="G174" i="5"/>
  <c r="G182" i="5"/>
  <c r="G190" i="5"/>
  <c r="G198" i="5"/>
  <c r="G206" i="5"/>
  <c r="G214" i="5"/>
  <c r="G222" i="5"/>
  <c r="G230" i="5"/>
  <c r="G238" i="5"/>
  <c r="G246" i="5"/>
  <c r="G254" i="5"/>
  <c r="G262" i="5"/>
  <c r="G270" i="5"/>
  <c r="G278" i="5"/>
  <c r="G286" i="5"/>
  <c r="G294" i="5"/>
  <c r="G302" i="5"/>
  <c r="G310" i="5"/>
  <c r="G318" i="5"/>
  <c r="G326" i="5"/>
  <c r="G9" i="5"/>
  <c r="G17" i="5"/>
  <c r="G25" i="5"/>
  <c r="G33" i="5"/>
  <c r="G41" i="5"/>
  <c r="G49" i="5"/>
  <c r="G57" i="5"/>
  <c r="G65" i="5"/>
  <c r="G73" i="5"/>
  <c r="G81" i="5"/>
  <c r="G89" i="5"/>
  <c r="G97" i="5"/>
  <c r="G105" i="5"/>
  <c r="G113" i="5"/>
  <c r="G121" i="5"/>
  <c r="G129" i="5"/>
  <c r="G137" i="5"/>
  <c r="G145" i="5"/>
  <c r="G153" i="5"/>
  <c r="G161" i="5"/>
  <c r="G169" i="5"/>
  <c r="G177" i="5"/>
  <c r="G185" i="5"/>
  <c r="G193" i="5"/>
  <c r="G201" i="5"/>
  <c r="G209" i="5"/>
  <c r="G217" i="5"/>
  <c r="G225" i="5"/>
  <c r="G233" i="5"/>
  <c r="G241" i="5"/>
  <c r="G249" i="5"/>
  <c r="G257" i="5"/>
  <c r="G265" i="5"/>
  <c r="G273" i="5"/>
  <c r="G281" i="5"/>
  <c r="G289" i="5"/>
  <c r="G297" i="5"/>
  <c r="G305" i="5"/>
  <c r="G313" i="5"/>
  <c r="G321" i="5"/>
  <c r="G329" i="5"/>
  <c r="C24" i="5"/>
  <c r="C27" i="5"/>
  <c r="C33" i="5"/>
  <c r="C37" i="5"/>
  <c r="C40" i="5"/>
  <c r="C43" i="5"/>
  <c r="C49" i="5"/>
  <c r="C53" i="5"/>
  <c r="C56" i="5"/>
  <c r="C59" i="5"/>
  <c r="C65" i="5"/>
  <c r="C69" i="5"/>
  <c r="C72" i="5"/>
  <c r="C75" i="5"/>
  <c r="C81" i="5"/>
  <c r="C85" i="5"/>
  <c r="C88" i="5"/>
  <c r="C91" i="5"/>
  <c r="C97" i="5"/>
  <c r="C101" i="5"/>
  <c r="C104" i="5"/>
  <c r="C107" i="5"/>
  <c r="C113" i="5"/>
  <c r="C117" i="5"/>
  <c r="C120" i="5"/>
  <c r="C123" i="5"/>
  <c r="C129" i="5"/>
  <c r="C132" i="5"/>
  <c r="C137" i="5"/>
  <c r="C140" i="5"/>
  <c r="C145" i="5"/>
  <c r="C149" i="5"/>
  <c r="C153" i="5"/>
  <c r="C157" i="5"/>
  <c r="C161" i="5"/>
  <c r="T161" i="5" s="1"/>
  <c r="C165" i="5"/>
  <c r="C169" i="5"/>
  <c r="K168" i="3" s="1"/>
  <c r="C173" i="5"/>
  <c r="C177" i="5"/>
  <c r="K176" i="3" s="1"/>
  <c r="C181" i="5"/>
  <c r="C185" i="5"/>
  <c r="K184" i="3" s="1"/>
  <c r="C189" i="5"/>
  <c r="C193" i="5"/>
  <c r="C197" i="5"/>
  <c r="C201" i="5"/>
  <c r="C205" i="5"/>
  <c r="C209" i="5"/>
  <c r="C213" i="5"/>
  <c r="C217" i="5"/>
  <c r="C221" i="5"/>
  <c r="C225" i="5"/>
  <c r="C229" i="5"/>
  <c r="C233" i="5"/>
  <c r="C237" i="5"/>
  <c r="C28" i="5"/>
  <c r="C31" i="5"/>
  <c r="C34" i="5"/>
  <c r="C38" i="5"/>
  <c r="C44" i="5"/>
  <c r="C47" i="5"/>
  <c r="C50" i="5"/>
  <c r="C54" i="5"/>
  <c r="C60" i="5"/>
  <c r="C63" i="5"/>
  <c r="C66" i="5"/>
  <c r="C70" i="5"/>
  <c r="C76" i="5"/>
  <c r="C79" i="5"/>
  <c r="C82" i="5"/>
  <c r="C86" i="5"/>
  <c r="C92" i="5"/>
  <c r="C95" i="5"/>
  <c r="C98" i="5"/>
  <c r="C102" i="5"/>
  <c r="C108" i="5"/>
  <c r="C111" i="5"/>
  <c r="C114" i="5"/>
  <c r="C118" i="5"/>
  <c r="C124" i="5"/>
  <c r="C127" i="5"/>
  <c r="C130" i="5"/>
  <c r="C135" i="5"/>
  <c r="T135" i="5" s="1"/>
  <c r="C138" i="5"/>
  <c r="C143" i="5"/>
  <c r="C146" i="5"/>
  <c r="C150" i="5"/>
  <c r="C154" i="5"/>
  <c r="K153" i="3" s="1"/>
  <c r="C158" i="5"/>
  <c r="C162" i="5"/>
  <c r="K161" i="3" s="1"/>
  <c r="C166" i="5"/>
  <c r="T166" i="5" s="1"/>
  <c r="C170" i="5"/>
  <c r="C174" i="5"/>
  <c r="C178" i="5"/>
  <c r="C182" i="5"/>
  <c r="C186" i="5"/>
  <c r="K185" i="3" s="1"/>
  <c r="C190" i="5"/>
  <c r="C194" i="5"/>
  <c r="C198" i="5"/>
  <c r="C202" i="5"/>
  <c r="C206" i="5"/>
  <c r="C210" i="5"/>
  <c r="C214" i="5"/>
  <c r="C218" i="5"/>
  <c r="C222" i="5"/>
  <c r="C226" i="5"/>
  <c r="C230" i="5"/>
  <c r="T230" i="5" s="1"/>
  <c r="C234" i="5"/>
  <c r="C238" i="5"/>
  <c r="K237" i="3" s="1"/>
  <c r="C25" i="5"/>
  <c r="C32" i="5"/>
  <c r="C45" i="5"/>
  <c r="C51" i="5"/>
  <c r="C57" i="5"/>
  <c r="C64" i="5"/>
  <c r="T64" i="5" s="1"/>
  <c r="C77" i="5"/>
  <c r="T77" i="5" s="1"/>
  <c r="C83" i="5"/>
  <c r="C89" i="5"/>
  <c r="C96" i="5"/>
  <c r="C109" i="5"/>
  <c r="C115" i="5"/>
  <c r="C121" i="5"/>
  <c r="C128" i="5"/>
  <c r="C133" i="5"/>
  <c r="C144" i="5"/>
  <c r="C151" i="5"/>
  <c r="C159" i="5"/>
  <c r="C167" i="5"/>
  <c r="C175" i="5"/>
  <c r="C183" i="5"/>
  <c r="C191" i="5"/>
  <c r="C199" i="5"/>
  <c r="T199" i="5" s="1"/>
  <c r="C207" i="5"/>
  <c r="C215" i="5"/>
  <c r="C223" i="5"/>
  <c r="C231" i="5"/>
  <c r="C239" i="5"/>
  <c r="C243" i="5"/>
  <c r="C247" i="5"/>
  <c r="C251" i="5"/>
  <c r="C255" i="5"/>
  <c r="C259" i="5"/>
  <c r="C263" i="5"/>
  <c r="T263" i="5" s="1"/>
  <c r="C267" i="5"/>
  <c r="C271" i="5"/>
  <c r="C275" i="5"/>
  <c r="C279" i="5"/>
  <c r="C283" i="5"/>
  <c r="C287" i="5"/>
  <c r="C291" i="5"/>
  <c r="C295" i="5"/>
  <c r="C299" i="5"/>
  <c r="C303" i="5"/>
  <c r="C307" i="5"/>
  <c r="K306" i="3" s="1"/>
  <c r="C311" i="5"/>
  <c r="C315" i="5"/>
  <c r="C319" i="5"/>
  <c r="C323" i="5"/>
  <c r="C327" i="5"/>
  <c r="T327" i="5" s="1"/>
  <c r="C331" i="5"/>
  <c r="C11" i="5"/>
  <c r="C15" i="5"/>
  <c r="C19" i="5"/>
  <c r="C23" i="5"/>
  <c r="C26" i="5"/>
  <c r="C35" i="5"/>
  <c r="C42" i="5"/>
  <c r="C52" i="5"/>
  <c r="T52" i="5" s="1"/>
  <c r="C61" i="5"/>
  <c r="C68" i="5"/>
  <c r="C78" i="5"/>
  <c r="C94" i="5"/>
  <c r="C103" i="5"/>
  <c r="C112" i="5"/>
  <c r="C119" i="5"/>
  <c r="C136" i="5"/>
  <c r="C142" i="5"/>
  <c r="C152" i="5"/>
  <c r="C163" i="5"/>
  <c r="T163" i="5" s="1"/>
  <c r="C172" i="5"/>
  <c r="C184" i="5"/>
  <c r="C195" i="5"/>
  <c r="C204" i="5"/>
  <c r="C216" i="5"/>
  <c r="C227" i="5"/>
  <c r="T227" i="5" s="1"/>
  <c r="C236" i="5"/>
  <c r="C244" i="5"/>
  <c r="T244" i="5" s="1"/>
  <c r="C249" i="5"/>
  <c r="C254" i="5"/>
  <c r="C260" i="5"/>
  <c r="C265" i="5"/>
  <c r="C270" i="5"/>
  <c r="C276" i="5"/>
  <c r="C281" i="5"/>
  <c r="C286" i="5"/>
  <c r="K285" i="3" s="1"/>
  <c r="C292" i="5"/>
  <c r="C297" i="5"/>
  <c r="C302" i="5"/>
  <c r="C308" i="5"/>
  <c r="T308" i="5" s="1"/>
  <c r="C313" i="5"/>
  <c r="C318" i="5"/>
  <c r="C324" i="5"/>
  <c r="C329" i="5"/>
  <c r="C8" i="5"/>
  <c r="C13" i="5"/>
  <c r="C18" i="5"/>
  <c r="C29" i="5"/>
  <c r="C36" i="5"/>
  <c r="C46" i="5"/>
  <c r="C62" i="5"/>
  <c r="C71" i="5"/>
  <c r="T71" i="5" s="1"/>
  <c r="C80" i="5"/>
  <c r="C87" i="5"/>
  <c r="C105" i="5"/>
  <c r="K104" i="3" s="1"/>
  <c r="C122" i="5"/>
  <c r="C155" i="5"/>
  <c r="C164" i="5"/>
  <c r="C176" i="5"/>
  <c r="C187" i="5"/>
  <c r="C196" i="5"/>
  <c r="C208" i="5"/>
  <c r="C219" i="5"/>
  <c r="C228" i="5"/>
  <c r="C240" i="5"/>
  <c r="C245" i="5"/>
  <c r="C250" i="5"/>
  <c r="T250" i="5" s="1"/>
  <c r="C256" i="5"/>
  <c r="C261" i="5"/>
  <c r="C266" i="5"/>
  <c r="C272" i="5"/>
  <c r="C277" i="5"/>
  <c r="C282" i="5"/>
  <c r="C288" i="5"/>
  <c r="C293" i="5"/>
  <c r="C298" i="5"/>
  <c r="C304" i="5"/>
  <c r="C309" i="5"/>
  <c r="C314" i="5"/>
  <c r="C320" i="5"/>
  <c r="C325" i="5"/>
  <c r="C330" i="5"/>
  <c r="C9" i="5"/>
  <c r="C14" i="5"/>
  <c r="C20" i="5"/>
  <c r="C39" i="5"/>
  <c r="C55" i="5"/>
  <c r="C73" i="5"/>
  <c r="C90" i="5"/>
  <c r="C106" i="5"/>
  <c r="C125" i="5"/>
  <c r="C139" i="5"/>
  <c r="C156" i="5"/>
  <c r="C179" i="5"/>
  <c r="C200" i="5"/>
  <c r="C220" i="5"/>
  <c r="C241" i="5"/>
  <c r="C252" i="5"/>
  <c r="C262" i="5"/>
  <c r="C273" i="5"/>
  <c r="K272" i="3" s="1"/>
  <c r="C284" i="5"/>
  <c r="C294" i="5"/>
  <c r="T294" i="5" s="1"/>
  <c r="C305" i="5"/>
  <c r="C316" i="5"/>
  <c r="C326" i="5"/>
  <c r="C16" i="5"/>
  <c r="C41" i="5"/>
  <c r="C58" i="5"/>
  <c r="C74" i="5"/>
  <c r="C93" i="5"/>
  <c r="C110" i="5"/>
  <c r="C126" i="5"/>
  <c r="C141" i="5"/>
  <c r="T141" i="5" s="1"/>
  <c r="C160" i="5"/>
  <c r="K159" i="3" s="1"/>
  <c r="C180" i="5"/>
  <c r="T180" i="5" s="1"/>
  <c r="C203" i="5"/>
  <c r="C224" i="5"/>
  <c r="C242" i="5"/>
  <c r="C253" i="5"/>
  <c r="C264" i="5"/>
  <c r="C274" i="5"/>
  <c r="C285" i="5"/>
  <c r="C296" i="5"/>
  <c r="K295" i="3" s="1"/>
  <c r="C306" i="5"/>
  <c r="C317" i="5"/>
  <c r="C328" i="5"/>
  <c r="C17" i="5"/>
  <c r="K16" i="3" s="1"/>
  <c r="C67" i="5"/>
  <c r="C100" i="5"/>
  <c r="C134" i="5"/>
  <c r="C171" i="5"/>
  <c r="C212" i="5"/>
  <c r="C248" i="5"/>
  <c r="C269" i="5"/>
  <c r="K268" i="3" s="1"/>
  <c r="C290" i="5"/>
  <c r="C312" i="5"/>
  <c r="K311" i="3" s="1"/>
  <c r="C22" i="5"/>
  <c r="C48" i="5"/>
  <c r="C116" i="5"/>
  <c r="T116" i="5" s="1"/>
  <c r="C147" i="5"/>
  <c r="C188" i="5"/>
  <c r="C232" i="5"/>
  <c r="C257" i="5"/>
  <c r="C278" i="5"/>
  <c r="C300" i="5"/>
  <c r="C321" i="5"/>
  <c r="C10" i="5"/>
  <c r="K9" i="3" s="1"/>
  <c r="I283" i="2"/>
  <c r="H327" i="2"/>
  <c r="U327" i="3" s="1"/>
  <c r="V327" i="3" s="1"/>
  <c r="W327" i="3" s="1"/>
  <c r="I6" i="2"/>
  <c r="I44" i="2"/>
  <c r="I56" i="2"/>
  <c r="I68" i="2"/>
  <c r="I108" i="2"/>
  <c r="I116" i="2"/>
  <c r="I124" i="2"/>
  <c r="I140" i="2"/>
  <c r="I148" i="2"/>
  <c r="I156" i="2"/>
  <c r="I168" i="2"/>
  <c r="I172" i="2"/>
  <c r="H180" i="2"/>
  <c r="U180" i="3" s="1"/>
  <c r="V180" i="3" s="1"/>
  <c r="W180" i="3" s="1"/>
  <c r="H188" i="2"/>
  <c r="U188" i="3" s="1"/>
  <c r="V188" i="3" s="1"/>
  <c r="W188" i="3" s="1"/>
  <c r="H208" i="2"/>
  <c r="U208" i="3" s="1"/>
  <c r="V208" i="3" s="1"/>
  <c r="W208" i="3" s="1"/>
  <c r="I216" i="2"/>
  <c r="H228" i="2"/>
  <c r="U228" i="3" s="1"/>
  <c r="V228" i="3" s="1"/>
  <c r="W228" i="3" s="1"/>
  <c r="I236" i="2"/>
  <c r="H244" i="2"/>
  <c r="U244" i="3" s="1"/>
  <c r="V244" i="3" s="1"/>
  <c r="W244" i="3" s="1"/>
  <c r="I264" i="2"/>
  <c r="H272" i="2"/>
  <c r="U272" i="3" s="1"/>
  <c r="V272" i="3" s="1"/>
  <c r="W272" i="3" s="1"/>
  <c r="H280" i="2"/>
  <c r="U280" i="3" s="1"/>
  <c r="V280" i="3" s="1"/>
  <c r="W280" i="3" s="1"/>
  <c r="H292" i="2"/>
  <c r="U292" i="3" s="1"/>
  <c r="V292" i="3" s="1"/>
  <c r="W292" i="3" s="1"/>
  <c r="I300" i="2"/>
  <c r="H308" i="2"/>
  <c r="U308" i="3" s="1"/>
  <c r="V308" i="3" s="1"/>
  <c r="W308" i="3" s="1"/>
  <c r="I328" i="2"/>
  <c r="H13" i="2"/>
  <c r="U13" i="3" s="1"/>
  <c r="V13" i="3" s="1"/>
  <c r="W13" i="3" s="1"/>
  <c r="H29" i="2"/>
  <c r="U29" i="3" s="1"/>
  <c r="V29" i="3" s="1"/>
  <c r="W29" i="3" s="1"/>
  <c r="H45" i="2"/>
  <c r="U45" i="3" s="1"/>
  <c r="V45" i="3" s="1"/>
  <c r="W45" i="3" s="1"/>
  <c r="H61" i="2"/>
  <c r="U61" i="3" s="1"/>
  <c r="V61" i="3" s="1"/>
  <c r="W61" i="3" s="1"/>
  <c r="H77" i="2"/>
  <c r="U77" i="3" s="1"/>
  <c r="V77" i="3" s="1"/>
  <c r="W77" i="3" s="1"/>
  <c r="H93" i="2"/>
  <c r="U93" i="3" s="1"/>
  <c r="V93" i="3" s="1"/>
  <c r="W93" i="3" s="1"/>
  <c r="H109" i="2"/>
  <c r="U109" i="3" s="1"/>
  <c r="V109" i="3" s="1"/>
  <c r="W109" i="3" s="1"/>
  <c r="H125" i="2"/>
  <c r="U125" i="3" s="1"/>
  <c r="V125" i="3" s="1"/>
  <c r="W125" i="3" s="1"/>
  <c r="H141" i="2"/>
  <c r="U141" i="3" s="1"/>
  <c r="V141" i="3" s="1"/>
  <c r="W141" i="3" s="1"/>
  <c r="H157" i="2"/>
  <c r="U157" i="3" s="1"/>
  <c r="V157" i="3" s="1"/>
  <c r="W157" i="3" s="1"/>
  <c r="H173" i="2"/>
  <c r="U173" i="3" s="1"/>
  <c r="V173" i="3" s="1"/>
  <c r="W173" i="3" s="1"/>
  <c r="H189" i="2"/>
  <c r="U189" i="3" s="1"/>
  <c r="V189" i="3" s="1"/>
  <c r="W189" i="3" s="1"/>
  <c r="H205" i="2"/>
  <c r="U205" i="3" s="1"/>
  <c r="V205" i="3" s="1"/>
  <c r="W205" i="3" s="1"/>
  <c r="H221" i="2"/>
  <c r="U221" i="3" s="1"/>
  <c r="V221" i="3" s="1"/>
  <c r="W221" i="3" s="1"/>
  <c r="H237" i="2"/>
  <c r="U237" i="3" s="1"/>
  <c r="V237" i="3" s="1"/>
  <c r="W237" i="3" s="1"/>
  <c r="H253" i="2"/>
  <c r="U253" i="3" s="1"/>
  <c r="V253" i="3" s="1"/>
  <c r="W253" i="3" s="1"/>
  <c r="I269" i="2"/>
  <c r="I285" i="2"/>
  <c r="I301" i="2"/>
  <c r="I317" i="2"/>
  <c r="H10" i="2"/>
  <c r="U10" i="3" s="1"/>
  <c r="V10" i="3" s="1"/>
  <c r="W10" i="3" s="1"/>
  <c r="H26" i="2"/>
  <c r="U26" i="3" s="1"/>
  <c r="V26" i="3" s="1"/>
  <c r="W26" i="3" s="1"/>
  <c r="H38" i="2"/>
  <c r="U38" i="3" s="1"/>
  <c r="V38" i="3" s="1"/>
  <c r="W38" i="3" s="1"/>
  <c r="I58" i="2"/>
  <c r="H66" i="2"/>
  <c r="U66" i="3" s="1"/>
  <c r="V66" i="3" s="1"/>
  <c r="W66" i="3" s="1"/>
  <c r="I94" i="2"/>
  <c r="H102" i="2"/>
  <c r="U102" i="3" s="1"/>
  <c r="V102" i="3" s="1"/>
  <c r="W102" i="3" s="1"/>
  <c r="I122" i="2"/>
  <c r="H130" i="2"/>
  <c r="U130" i="3" s="1"/>
  <c r="V130" i="3" s="1"/>
  <c r="W130" i="3" s="1"/>
  <c r="I158" i="2"/>
  <c r="H166" i="2"/>
  <c r="U166" i="3" s="1"/>
  <c r="V166" i="3" s="1"/>
  <c r="W166" i="3" s="1"/>
  <c r="I186" i="2"/>
  <c r="H194" i="2"/>
  <c r="U194" i="3" s="1"/>
  <c r="V194" i="3" s="1"/>
  <c r="W194" i="3" s="1"/>
  <c r="I242" i="2"/>
  <c r="I262" i="2"/>
  <c r="I294" i="2"/>
  <c r="H322" i="2"/>
  <c r="U322" i="3" s="1"/>
  <c r="V322" i="3" s="1"/>
  <c r="W322" i="3" s="1"/>
  <c r="I199" i="2"/>
  <c r="I243" i="2"/>
  <c r="I263" i="2"/>
  <c r="I299" i="2"/>
  <c r="F259" i="5"/>
  <c r="F175" i="5"/>
  <c r="F79" i="5"/>
  <c r="F298" i="5"/>
  <c r="F186" i="5"/>
  <c r="F70" i="5"/>
  <c r="F289" i="5"/>
  <c r="F177" i="5"/>
  <c r="F57" i="5"/>
  <c r="F280" i="5"/>
  <c r="F168" i="5"/>
  <c r="F52" i="5"/>
  <c r="G325" i="5"/>
  <c r="G309" i="5"/>
  <c r="G293" i="5"/>
  <c r="G277" i="5"/>
  <c r="G261" i="5"/>
  <c r="G245" i="5"/>
  <c r="G229" i="5"/>
  <c r="G213" i="5"/>
  <c r="G197" i="5"/>
  <c r="G181" i="5"/>
  <c r="G165" i="5"/>
  <c r="G149" i="5"/>
  <c r="G133" i="5"/>
  <c r="G117" i="5"/>
  <c r="G101" i="5"/>
  <c r="G85" i="5"/>
  <c r="G69" i="5"/>
  <c r="G53" i="5"/>
  <c r="G37" i="5"/>
  <c r="G21" i="5"/>
  <c r="C21" i="5"/>
  <c r="C310" i="5"/>
  <c r="C268" i="5"/>
  <c r="C211" i="5"/>
  <c r="C131" i="5"/>
  <c r="I323" i="2"/>
  <c r="I307" i="2"/>
  <c r="I295" i="2"/>
  <c r="I287" i="2"/>
  <c r="I227" i="2"/>
  <c r="I211" i="2"/>
  <c r="I298" i="2"/>
  <c r="I246" i="2"/>
  <c r="I214" i="2"/>
  <c r="I182" i="2"/>
  <c r="I150" i="2"/>
  <c r="I118" i="2"/>
  <c r="I86" i="2"/>
  <c r="I54" i="2"/>
  <c r="I321" i="2"/>
  <c r="I305" i="2"/>
  <c r="I289" i="2"/>
  <c r="I273" i="2"/>
  <c r="I261" i="2"/>
  <c r="I257" i="2"/>
  <c r="I253" i="2"/>
  <c r="I249" i="2"/>
  <c r="I245" i="2"/>
  <c r="I241" i="2"/>
  <c r="I237" i="2"/>
  <c r="I233" i="2"/>
  <c r="I229" i="2"/>
  <c r="I225" i="2"/>
  <c r="I221" i="2"/>
  <c r="I217" i="2"/>
  <c r="I213" i="2"/>
  <c r="I209" i="2"/>
  <c r="I205" i="2"/>
  <c r="I201" i="2"/>
  <c r="I197" i="2"/>
  <c r="I193" i="2"/>
  <c r="I189" i="2"/>
  <c r="I185" i="2"/>
  <c r="I181" i="2"/>
  <c r="I177" i="2"/>
  <c r="I173" i="2"/>
  <c r="I169" i="2"/>
  <c r="I165" i="2"/>
  <c r="I161" i="2"/>
  <c r="I157" i="2"/>
  <c r="I153" i="2"/>
  <c r="I149" i="2"/>
  <c r="I145" i="2"/>
  <c r="I141" i="2"/>
  <c r="I137" i="2"/>
  <c r="I133" i="2"/>
  <c r="I129" i="2"/>
  <c r="I125" i="2"/>
  <c r="I121" i="2"/>
  <c r="I117" i="2"/>
  <c r="I113" i="2"/>
  <c r="I109" i="2"/>
  <c r="I105" i="2"/>
  <c r="I101" i="2"/>
  <c r="I97" i="2"/>
  <c r="I93" i="2"/>
  <c r="I89" i="2"/>
  <c r="I85" i="2"/>
  <c r="I81" i="2"/>
  <c r="I77" i="2"/>
  <c r="I73" i="2"/>
  <c r="I69" i="2"/>
  <c r="I65" i="2"/>
  <c r="I61" i="2"/>
  <c r="I57" i="2"/>
  <c r="I53" i="2"/>
  <c r="I49" i="2"/>
  <c r="I45" i="2"/>
  <c r="I41" i="2"/>
  <c r="I37" i="2"/>
  <c r="I33" i="2"/>
  <c r="I29" i="2"/>
  <c r="I25" i="2"/>
  <c r="I21" i="2"/>
  <c r="I17" i="2"/>
  <c r="I13" i="2"/>
  <c r="I9" i="2"/>
  <c r="I308" i="2"/>
  <c r="I244" i="2"/>
  <c r="I212" i="2"/>
  <c r="I208" i="2"/>
  <c r="I188" i="2"/>
  <c r="I184" i="2"/>
  <c r="I164" i="2"/>
  <c r="I152" i="2"/>
  <c r="I132" i="2"/>
  <c r="I120" i="2"/>
  <c r="I96" i="2"/>
  <c r="I80" i="2"/>
  <c r="I64" i="2"/>
  <c r="I48" i="2"/>
  <c r="I32" i="2"/>
  <c r="I16" i="2"/>
  <c r="I327" i="2"/>
  <c r="I303" i="2"/>
  <c r="I175" i="2"/>
  <c r="I167" i="2"/>
  <c r="I143" i="2"/>
  <c r="I135" i="2"/>
  <c r="I111" i="2"/>
  <c r="I103" i="2"/>
  <c r="I79" i="2"/>
  <c r="I71" i="2"/>
  <c r="I47" i="2"/>
  <c r="I39" i="2"/>
  <c r="I275" i="2"/>
  <c r="I267" i="2"/>
  <c r="I259" i="2"/>
  <c r="I251" i="2"/>
  <c r="I195" i="2"/>
  <c r="I326" i="2"/>
  <c r="I318" i="2"/>
  <c r="I282" i="2"/>
  <c r="I266" i="2"/>
  <c r="I238" i="2"/>
  <c r="I67" i="2"/>
  <c r="I99" i="2"/>
  <c r="I163" i="2"/>
  <c r="I60" i="2"/>
  <c r="I192" i="2"/>
  <c r="I204" i="2"/>
  <c r="I228" i="2"/>
  <c r="I292" i="2"/>
  <c r="I320" i="2"/>
  <c r="I42" i="2"/>
  <c r="I78" i="2"/>
  <c r="I106" i="2"/>
  <c r="I142" i="2"/>
  <c r="I170" i="2"/>
  <c r="I206" i="2"/>
  <c r="I222" i="2"/>
  <c r="I230" i="2"/>
  <c r="I270" i="2"/>
  <c r="I310" i="2"/>
  <c r="I7" i="2"/>
  <c r="H23" i="2"/>
  <c r="U23" i="3" s="1"/>
  <c r="V23" i="3" s="1"/>
  <c r="W23" i="3" s="1"/>
  <c r="I51" i="2"/>
  <c r="H55" i="2"/>
  <c r="U55" i="3" s="1"/>
  <c r="V55" i="3" s="1"/>
  <c r="W55" i="3" s="1"/>
  <c r="I83" i="2"/>
  <c r="H87" i="2"/>
  <c r="U87" i="3" s="1"/>
  <c r="V87" i="3" s="1"/>
  <c r="W87" i="3" s="1"/>
  <c r="I115" i="2"/>
  <c r="H119" i="2"/>
  <c r="U119" i="3" s="1"/>
  <c r="V119" i="3" s="1"/>
  <c r="W119" i="3" s="1"/>
  <c r="I147" i="2"/>
  <c r="H151" i="2"/>
  <c r="U151" i="3" s="1"/>
  <c r="V151" i="3" s="1"/>
  <c r="W151" i="3" s="1"/>
  <c r="I179" i="2"/>
  <c r="H183" i="2"/>
  <c r="U183" i="3" s="1"/>
  <c r="V183" i="3" s="1"/>
  <c r="W183" i="3" s="1"/>
  <c r="I311" i="2"/>
  <c r="I28" i="2"/>
  <c r="I40" i="2"/>
  <c r="I52" i="2"/>
  <c r="I92" i="2"/>
  <c r="I104" i="2"/>
  <c r="H112" i="2"/>
  <c r="U112" i="3" s="1"/>
  <c r="V112" i="3" s="1"/>
  <c r="W112" i="3" s="1"/>
  <c r="I136" i="2"/>
  <c r="H144" i="2"/>
  <c r="U144" i="3" s="1"/>
  <c r="V144" i="3" s="1"/>
  <c r="W144" i="3" s="1"/>
  <c r="I176" i="2"/>
  <c r="H204" i="2"/>
  <c r="U204" i="3" s="1"/>
  <c r="V204" i="3" s="1"/>
  <c r="W204" i="3" s="1"/>
  <c r="H224" i="2"/>
  <c r="U224" i="3" s="1"/>
  <c r="V224" i="3" s="1"/>
  <c r="W224" i="3" s="1"/>
  <c r="H252" i="2"/>
  <c r="U252" i="3" s="1"/>
  <c r="V252" i="3" s="1"/>
  <c r="W252" i="3" s="1"/>
  <c r="I260" i="2"/>
  <c r="I280" i="2"/>
  <c r="H288" i="2"/>
  <c r="U288" i="3" s="1"/>
  <c r="V288" i="3" s="1"/>
  <c r="W288" i="3" s="1"/>
  <c r="I316" i="2"/>
  <c r="I324" i="2"/>
  <c r="H9" i="2"/>
  <c r="U9" i="3" s="1"/>
  <c r="V9" i="3" s="1"/>
  <c r="W9" i="3" s="1"/>
  <c r="H25" i="2"/>
  <c r="U25" i="3" s="1"/>
  <c r="V25" i="3" s="1"/>
  <c r="W25" i="3" s="1"/>
  <c r="H41" i="2"/>
  <c r="U41" i="3" s="1"/>
  <c r="V41" i="3" s="1"/>
  <c r="W41" i="3" s="1"/>
  <c r="H57" i="2"/>
  <c r="U57" i="3" s="1"/>
  <c r="V57" i="3" s="1"/>
  <c r="W57" i="3" s="1"/>
  <c r="H73" i="2"/>
  <c r="U73" i="3" s="1"/>
  <c r="V73" i="3" s="1"/>
  <c r="W73" i="3" s="1"/>
  <c r="H89" i="2"/>
  <c r="U89" i="3" s="1"/>
  <c r="V89" i="3" s="1"/>
  <c r="W89" i="3" s="1"/>
  <c r="H105" i="2"/>
  <c r="U105" i="3" s="1"/>
  <c r="V105" i="3" s="1"/>
  <c r="W105" i="3" s="1"/>
  <c r="H121" i="2"/>
  <c r="U121" i="3" s="1"/>
  <c r="V121" i="3" s="1"/>
  <c r="W121" i="3" s="1"/>
  <c r="H137" i="2"/>
  <c r="U137" i="3" s="1"/>
  <c r="V137" i="3" s="1"/>
  <c r="W137" i="3" s="1"/>
  <c r="H153" i="2"/>
  <c r="U153" i="3" s="1"/>
  <c r="V153" i="3" s="1"/>
  <c r="W153" i="3" s="1"/>
  <c r="H169" i="2"/>
  <c r="U169" i="3" s="1"/>
  <c r="V169" i="3" s="1"/>
  <c r="W169" i="3" s="1"/>
  <c r="H185" i="2"/>
  <c r="U185" i="3" s="1"/>
  <c r="V185" i="3" s="1"/>
  <c r="W185" i="3" s="1"/>
  <c r="H201" i="2"/>
  <c r="U201" i="3" s="1"/>
  <c r="V201" i="3" s="1"/>
  <c r="W201" i="3" s="1"/>
  <c r="H217" i="2"/>
  <c r="U217" i="3" s="1"/>
  <c r="V217" i="3" s="1"/>
  <c r="W217" i="3" s="1"/>
  <c r="H233" i="2"/>
  <c r="U233" i="3" s="1"/>
  <c r="V233" i="3" s="1"/>
  <c r="W233" i="3" s="1"/>
  <c r="H249" i="2"/>
  <c r="U249" i="3" s="1"/>
  <c r="V249" i="3" s="1"/>
  <c r="W249" i="3" s="1"/>
  <c r="I265" i="2"/>
  <c r="I281" i="2"/>
  <c r="I297" i="2"/>
  <c r="I313" i="2"/>
  <c r="I329" i="2"/>
  <c r="H18" i="2"/>
  <c r="U18" i="3" s="1"/>
  <c r="V18" i="3" s="1"/>
  <c r="W18" i="3" s="1"/>
  <c r="H22" i="2"/>
  <c r="U22" i="3" s="1"/>
  <c r="V22" i="3" s="1"/>
  <c r="W22" i="3" s="1"/>
  <c r="H34" i="2"/>
  <c r="U34" i="3" s="1"/>
  <c r="V34" i="3" s="1"/>
  <c r="W34" i="3" s="1"/>
  <c r="I38" i="2"/>
  <c r="I46" i="2"/>
  <c r="H54" i="2"/>
  <c r="U54" i="3" s="1"/>
  <c r="V54" i="3" s="1"/>
  <c r="W54" i="3" s="1"/>
  <c r="I74" i="2"/>
  <c r="H82" i="2"/>
  <c r="U82" i="3" s="1"/>
  <c r="V82" i="3" s="1"/>
  <c r="W82" i="3" s="1"/>
  <c r="H90" i="2"/>
  <c r="U90" i="3" s="1"/>
  <c r="V90" i="3" s="1"/>
  <c r="W90" i="3" s="1"/>
  <c r="I102" i="2"/>
  <c r="I110" i="2"/>
  <c r="H118" i="2"/>
  <c r="U118" i="3" s="1"/>
  <c r="V118" i="3" s="1"/>
  <c r="W118" i="3" s="1"/>
  <c r="I138" i="2"/>
  <c r="H146" i="2"/>
  <c r="U146" i="3" s="1"/>
  <c r="V146" i="3" s="1"/>
  <c r="W146" i="3" s="1"/>
  <c r="H154" i="2"/>
  <c r="U154" i="3" s="1"/>
  <c r="V154" i="3" s="1"/>
  <c r="W154" i="3" s="1"/>
  <c r="I166" i="2"/>
  <c r="I174" i="2"/>
  <c r="H182" i="2"/>
  <c r="U182" i="3" s="1"/>
  <c r="V182" i="3" s="1"/>
  <c r="W182" i="3" s="1"/>
  <c r="I202" i="2"/>
  <c r="H210" i="2"/>
  <c r="U210" i="3" s="1"/>
  <c r="V210" i="3" s="1"/>
  <c r="W210" i="3" s="1"/>
  <c r="I218" i="2"/>
  <c r="I234" i="2"/>
  <c r="I254" i="2"/>
  <c r="I286" i="2"/>
  <c r="I314" i="2"/>
  <c r="I191" i="2"/>
  <c r="H223" i="2"/>
  <c r="U223" i="3" s="1"/>
  <c r="V223" i="3" s="1"/>
  <c r="W223" i="3" s="1"/>
  <c r="I231" i="2"/>
  <c r="F255" i="5"/>
  <c r="F167" i="5"/>
  <c r="F75" i="5"/>
  <c r="F294" i="5"/>
  <c r="F174" i="5"/>
  <c r="F62" i="5"/>
  <c r="F281" i="5"/>
  <c r="F165" i="5"/>
  <c r="F53" i="5"/>
  <c r="F276" i="5"/>
  <c r="F160" i="5"/>
  <c r="F48" i="5"/>
  <c r="G322" i="5"/>
  <c r="G306" i="5"/>
  <c r="G290" i="5"/>
  <c r="G274" i="5"/>
  <c r="G258" i="5"/>
  <c r="G242" i="5"/>
  <c r="G226" i="5"/>
  <c r="G210" i="5"/>
  <c r="G194" i="5"/>
  <c r="G178" i="5"/>
  <c r="G162" i="5"/>
  <c r="G146" i="5"/>
  <c r="G130" i="5"/>
  <c r="G114" i="5"/>
  <c r="G98" i="5"/>
  <c r="G82" i="5"/>
  <c r="G66" i="5"/>
  <c r="G50" i="5"/>
  <c r="G34" i="5"/>
  <c r="G18" i="5"/>
  <c r="C12" i="5"/>
  <c r="C301" i="5"/>
  <c r="K300" i="3" s="1"/>
  <c r="C258" i="5"/>
  <c r="C192" i="5"/>
  <c r="I11" i="3"/>
  <c r="I12" i="3"/>
  <c r="I20" i="3"/>
  <c r="I28" i="3"/>
  <c r="I36" i="3"/>
  <c r="I44" i="3"/>
  <c r="I52" i="3"/>
  <c r="I60" i="3"/>
  <c r="I68" i="3"/>
  <c r="I76" i="3"/>
  <c r="I84" i="3"/>
  <c r="I92" i="3"/>
  <c r="I100" i="3"/>
  <c r="I108" i="3"/>
  <c r="I116" i="3"/>
  <c r="I124" i="3"/>
  <c r="I132" i="3"/>
  <c r="I140" i="3"/>
  <c r="I148" i="3"/>
  <c r="H275" i="1"/>
  <c r="I327" i="3"/>
  <c r="I322" i="3"/>
  <c r="I317" i="3"/>
  <c r="I312" i="3"/>
  <c r="I303" i="3"/>
  <c r="I298" i="3"/>
  <c r="I293" i="3"/>
  <c r="I289" i="3"/>
  <c r="I284" i="3"/>
  <c r="I279" i="3"/>
  <c r="I274" i="3"/>
  <c r="I269" i="3"/>
  <c r="I264" i="3"/>
  <c r="I260" i="3"/>
  <c r="I255" i="3"/>
  <c r="I249" i="3"/>
  <c r="I244" i="3"/>
  <c r="I240" i="3"/>
  <c r="I234" i="3"/>
  <c r="I229" i="3"/>
  <c r="I225" i="3"/>
  <c r="I220" i="3"/>
  <c r="I215" i="3"/>
  <c r="I210" i="3"/>
  <c r="I205" i="3"/>
  <c r="I201" i="3"/>
  <c r="I196" i="3"/>
  <c r="I192" i="3"/>
  <c r="I183" i="3"/>
  <c r="I178" i="3"/>
  <c r="I173" i="3"/>
  <c r="I169" i="3"/>
  <c r="I164" i="3"/>
  <c r="I160" i="3"/>
  <c r="I151" i="3"/>
  <c r="I141" i="3"/>
  <c r="I129" i="3"/>
  <c r="I120" i="3"/>
  <c r="I109" i="3"/>
  <c r="I97" i="3"/>
  <c r="I88" i="3"/>
  <c r="I77" i="3"/>
  <c r="I65" i="3"/>
  <c r="I56" i="3"/>
  <c r="I45" i="3"/>
  <c r="I33" i="3"/>
  <c r="I24" i="3"/>
  <c r="I13" i="3"/>
  <c r="F7" i="1"/>
  <c r="F8" i="1"/>
  <c r="F13" i="1"/>
  <c r="F18" i="1"/>
  <c r="F24" i="1"/>
  <c r="F29" i="1"/>
  <c r="F34" i="1"/>
  <c r="F40" i="1"/>
  <c r="F45" i="1"/>
  <c r="F49" i="1"/>
  <c r="F53" i="1"/>
  <c r="F57" i="1"/>
  <c r="F61" i="1"/>
  <c r="F65" i="1"/>
  <c r="F69" i="1"/>
  <c r="F73" i="1"/>
  <c r="F77" i="1"/>
  <c r="F81" i="1"/>
  <c r="G90" i="1"/>
  <c r="G86" i="1"/>
  <c r="G82" i="1"/>
  <c r="G78" i="1"/>
  <c r="G74" i="1"/>
  <c r="G70" i="1"/>
  <c r="G66" i="1"/>
  <c r="G62" i="1"/>
  <c r="G58" i="1"/>
  <c r="G54" i="1"/>
  <c r="G50" i="1"/>
  <c r="G46" i="1"/>
  <c r="G42" i="1"/>
  <c r="G38" i="1"/>
  <c r="G34" i="1"/>
  <c r="G30" i="1"/>
  <c r="G26" i="1"/>
  <c r="G22" i="1"/>
  <c r="G18" i="1"/>
  <c r="G14" i="1"/>
  <c r="G10" i="1"/>
  <c r="G6" i="1"/>
  <c r="F327" i="1"/>
  <c r="F323" i="1"/>
  <c r="F319" i="1"/>
  <c r="F315" i="1"/>
  <c r="F311" i="1"/>
  <c r="F307" i="1"/>
  <c r="F303" i="1"/>
  <c r="F299" i="1"/>
  <c r="F295" i="1"/>
  <c r="F291" i="1"/>
  <c r="F287" i="1"/>
  <c r="F283" i="1"/>
  <c r="F279" i="1"/>
  <c r="F275" i="1"/>
  <c r="F271" i="1"/>
  <c r="F267" i="1"/>
  <c r="F263" i="1"/>
  <c r="F259" i="1"/>
  <c r="F255" i="1"/>
  <c r="F251" i="1"/>
  <c r="F247" i="1"/>
  <c r="F243" i="1"/>
  <c r="F239" i="1"/>
  <c r="F235" i="1"/>
  <c r="F231" i="1"/>
  <c r="F227" i="1"/>
  <c r="F223" i="1"/>
  <c r="F219" i="1"/>
  <c r="F215" i="1"/>
  <c r="F211" i="1"/>
  <c r="F207" i="1"/>
  <c r="F203" i="1"/>
  <c r="F199" i="1"/>
  <c r="F195" i="1"/>
  <c r="F191" i="1"/>
  <c r="F187" i="1"/>
  <c r="F183" i="1"/>
  <c r="F179" i="1"/>
  <c r="F175" i="1"/>
  <c r="F171" i="1"/>
  <c r="F167" i="1"/>
  <c r="F163" i="1"/>
  <c r="F159" i="1"/>
  <c r="F155" i="1"/>
  <c r="F151" i="1"/>
  <c r="F147" i="1"/>
  <c r="F143" i="1"/>
  <c r="F139" i="1"/>
  <c r="F135" i="1"/>
  <c r="F131" i="1"/>
  <c r="F127" i="1"/>
  <c r="F123" i="1"/>
  <c r="F119" i="1"/>
  <c r="F115" i="1"/>
  <c r="F111" i="1"/>
  <c r="F107" i="1"/>
  <c r="F103" i="1"/>
  <c r="F99" i="1"/>
  <c r="F95" i="1"/>
  <c r="F91" i="1"/>
  <c r="F87" i="1"/>
  <c r="F83" i="1"/>
  <c r="F78" i="1"/>
  <c r="F72" i="1"/>
  <c r="F67" i="1"/>
  <c r="F62" i="1"/>
  <c r="F56" i="1"/>
  <c r="F51" i="1"/>
  <c r="F46" i="1"/>
  <c r="F38" i="1"/>
  <c r="F32" i="1"/>
  <c r="F25" i="1"/>
  <c r="F17" i="1"/>
  <c r="F10" i="1"/>
  <c r="H187" i="2"/>
  <c r="U187" i="3" s="1"/>
  <c r="V187" i="3" s="1"/>
  <c r="W187" i="3" s="1"/>
  <c r="H207" i="2"/>
  <c r="U207" i="3" s="1"/>
  <c r="V207" i="3" s="1"/>
  <c r="W207" i="3" s="1"/>
  <c r="H219" i="2"/>
  <c r="U219" i="3" s="1"/>
  <c r="V219" i="3" s="1"/>
  <c r="W219" i="3" s="1"/>
  <c r="H243" i="2"/>
  <c r="U243" i="3" s="1"/>
  <c r="V243" i="3" s="1"/>
  <c r="W243" i="3" s="1"/>
  <c r="H255" i="2"/>
  <c r="U255" i="3" s="1"/>
  <c r="V255" i="3" s="1"/>
  <c r="W255" i="3" s="1"/>
  <c r="H275" i="2"/>
  <c r="U275" i="3" s="1"/>
  <c r="V275" i="3" s="1"/>
  <c r="W275" i="3" s="1"/>
  <c r="H291" i="2"/>
  <c r="U291" i="3" s="1"/>
  <c r="V291" i="3" s="1"/>
  <c r="W291" i="3" s="1"/>
  <c r="H323" i="2"/>
  <c r="U323" i="3" s="1"/>
  <c r="V323" i="3" s="1"/>
  <c r="W323" i="3" s="1"/>
  <c r="F311" i="5"/>
  <c r="F291" i="5"/>
  <c r="F271" i="5"/>
  <c r="F247" i="5"/>
  <c r="F227" i="5"/>
  <c r="F207" i="5"/>
  <c r="F183" i="5"/>
  <c r="F163" i="5"/>
  <c r="F143" i="5"/>
  <c r="F119" i="5"/>
  <c r="F95" i="5"/>
  <c r="F67" i="5"/>
  <c r="F35" i="5"/>
  <c r="F11" i="5"/>
  <c r="F314" i="5"/>
  <c r="F282" i="5"/>
  <c r="F254" i="5"/>
  <c r="F230" i="5"/>
  <c r="F198" i="5"/>
  <c r="F170" i="5"/>
  <c r="F142" i="5"/>
  <c r="F110" i="5"/>
  <c r="F86" i="5"/>
  <c r="F58" i="5"/>
  <c r="F26" i="5"/>
  <c r="F329" i="5"/>
  <c r="F305" i="5"/>
  <c r="F273" i="5"/>
  <c r="F245" i="5"/>
  <c r="F217" i="5"/>
  <c r="F185" i="5"/>
  <c r="F161" i="5"/>
  <c r="F133" i="5"/>
  <c r="F101" i="5"/>
  <c r="F73" i="5"/>
  <c r="F49" i="5"/>
  <c r="F17" i="5"/>
  <c r="F324" i="5"/>
  <c r="F296" i="5"/>
  <c r="F264" i="5"/>
  <c r="F240" i="5"/>
  <c r="F212" i="5"/>
  <c r="F180" i="5"/>
  <c r="F152" i="5"/>
  <c r="F128" i="5"/>
  <c r="F96" i="5"/>
  <c r="F68" i="5"/>
  <c r="F40" i="5"/>
  <c r="F8" i="5"/>
  <c r="H262" i="2"/>
  <c r="U262" i="3" s="1"/>
  <c r="V262" i="3" s="1"/>
  <c r="W262" i="3" s="1"/>
  <c r="H266" i="2"/>
  <c r="U266" i="3" s="1"/>
  <c r="V266" i="3" s="1"/>
  <c r="W266" i="3" s="1"/>
  <c r="H274" i="2"/>
  <c r="U274" i="3" s="1"/>
  <c r="V274" i="3" s="1"/>
  <c r="W274" i="3" s="1"/>
  <c r="H294" i="2"/>
  <c r="U294" i="3" s="1"/>
  <c r="V294" i="3" s="1"/>
  <c r="W294" i="3" s="1"/>
  <c r="H298" i="2"/>
  <c r="U298" i="3" s="1"/>
  <c r="V298" i="3" s="1"/>
  <c r="W298" i="3" s="1"/>
  <c r="H306" i="2"/>
  <c r="U306" i="3" s="1"/>
  <c r="V306" i="3" s="1"/>
  <c r="W306" i="3" s="1"/>
  <c r="H326" i="2"/>
  <c r="U326" i="3" s="1"/>
  <c r="V326" i="3" s="1"/>
  <c r="W326" i="3" s="1"/>
  <c r="H330" i="2"/>
  <c r="U330" i="3" s="1"/>
  <c r="V330" i="3" s="1"/>
  <c r="W330" i="3" s="1"/>
  <c r="H195" i="2"/>
  <c r="U195" i="3" s="1"/>
  <c r="V195" i="3" s="1"/>
  <c r="W195" i="3" s="1"/>
  <c r="H227" i="2"/>
  <c r="U227" i="3" s="1"/>
  <c r="V227" i="3" s="1"/>
  <c r="W227" i="3" s="1"/>
  <c r="H263" i="2"/>
  <c r="U263" i="3" s="1"/>
  <c r="V263" i="3" s="1"/>
  <c r="W263" i="3" s="1"/>
  <c r="F327" i="5"/>
  <c r="F307" i="5"/>
  <c r="F287" i="5"/>
  <c r="F263" i="5"/>
  <c r="F243" i="5"/>
  <c r="F223" i="5"/>
  <c r="F199" i="5"/>
  <c r="F179" i="5"/>
  <c r="F159" i="5"/>
  <c r="F135" i="5"/>
  <c r="F115" i="5"/>
  <c r="F91" i="5"/>
  <c r="F59" i="5"/>
  <c r="F31" i="5"/>
  <c r="F302" i="5"/>
  <c r="F278" i="5"/>
  <c r="F250" i="5"/>
  <c r="F218" i="5"/>
  <c r="F190" i="5"/>
  <c r="F166" i="5"/>
  <c r="F134" i="5"/>
  <c r="F106" i="5"/>
  <c r="F78" i="5"/>
  <c r="F46" i="5"/>
  <c r="F22" i="5"/>
  <c r="F325" i="5"/>
  <c r="F293" i="5"/>
  <c r="F265" i="5"/>
  <c r="F241" i="5"/>
  <c r="F209" i="5"/>
  <c r="F181" i="5"/>
  <c r="F153" i="5"/>
  <c r="F121" i="5"/>
  <c r="F97" i="5"/>
  <c r="F69" i="5"/>
  <c r="F37" i="5"/>
  <c r="F9" i="5"/>
  <c r="F320" i="5"/>
  <c r="F288" i="5"/>
  <c r="F260" i="5"/>
  <c r="F232" i="5"/>
  <c r="F200" i="5"/>
  <c r="F176" i="5"/>
  <c r="F148" i="5"/>
  <c r="F116" i="5"/>
  <c r="F88" i="5"/>
  <c r="F64" i="5"/>
  <c r="I315" i="2"/>
  <c r="I291" i="2"/>
  <c r="I271" i="2"/>
  <c r="I255" i="2"/>
  <c r="I239" i="2"/>
  <c r="I219" i="2"/>
  <c r="I203" i="2"/>
  <c r="I187" i="2"/>
  <c r="I322" i="2"/>
  <c r="I306" i="2"/>
  <c r="I290" i="2"/>
  <c r="I274" i="2"/>
  <c r="I258" i="2"/>
  <c r="I226" i="2"/>
  <c r="I210" i="2"/>
  <c r="I194" i="2"/>
  <c r="I178" i="2"/>
  <c r="I162" i="2"/>
  <c r="I146" i="2"/>
  <c r="I130" i="2"/>
  <c r="I114" i="2"/>
  <c r="I98" i="2"/>
  <c r="I82" i="2"/>
  <c r="I66" i="2"/>
  <c r="I50" i="2"/>
  <c r="I34" i="2"/>
  <c r="I30" i="2"/>
  <c r="I26" i="2"/>
  <c r="I22" i="2"/>
  <c r="I18" i="2"/>
  <c r="I14" i="2"/>
  <c r="I10" i="2"/>
  <c r="I288" i="2"/>
  <c r="I272" i="2"/>
  <c r="I256" i="2"/>
  <c r="I252" i="2"/>
  <c r="I224" i="2"/>
  <c r="I220" i="2"/>
  <c r="I160" i="2"/>
  <c r="I144" i="2"/>
  <c r="I128" i="2"/>
  <c r="I112" i="2"/>
  <c r="I319" i="2"/>
  <c r="I235" i="2"/>
  <c r="I171" i="2"/>
  <c r="I155" i="2"/>
  <c r="I139" i="2"/>
  <c r="I123" i="2"/>
  <c r="I107" i="2"/>
  <c r="I91" i="2"/>
  <c r="I75" i="2"/>
  <c r="I59" i="2"/>
  <c r="I43" i="2"/>
  <c r="I27" i="2"/>
  <c r="I11" i="2"/>
  <c r="H307" i="2"/>
  <c r="U307" i="3" s="1"/>
  <c r="V307" i="3" s="1"/>
  <c r="W307" i="3" s="1"/>
  <c r="H287" i="2"/>
  <c r="U287" i="3" s="1"/>
  <c r="V287" i="3" s="1"/>
  <c r="W287" i="3" s="1"/>
  <c r="H267" i="2"/>
  <c r="U267" i="3" s="1"/>
  <c r="V267" i="3" s="1"/>
  <c r="W267" i="3" s="1"/>
  <c r="H251" i="2"/>
  <c r="U251" i="3" s="1"/>
  <c r="V251" i="3" s="1"/>
  <c r="W251" i="3" s="1"/>
  <c r="H231" i="2"/>
  <c r="U231" i="3" s="1"/>
  <c r="V231" i="3" s="1"/>
  <c r="W231" i="3" s="1"/>
  <c r="H215" i="2"/>
  <c r="U215" i="3" s="1"/>
  <c r="V215" i="3" s="1"/>
  <c r="W215" i="3" s="1"/>
  <c r="H199" i="2"/>
  <c r="U199" i="3" s="1"/>
  <c r="V199" i="3" s="1"/>
  <c r="W199" i="3" s="1"/>
  <c r="H318" i="2"/>
  <c r="U318" i="3" s="1"/>
  <c r="V318" i="3" s="1"/>
  <c r="W318" i="3" s="1"/>
  <c r="H302" i="2"/>
  <c r="U302" i="3" s="1"/>
  <c r="V302" i="3" s="1"/>
  <c r="W302" i="3" s="1"/>
  <c r="H286" i="2"/>
  <c r="U286" i="3" s="1"/>
  <c r="V286" i="3" s="1"/>
  <c r="W286" i="3" s="1"/>
  <c r="H270" i="2"/>
  <c r="U270" i="3" s="1"/>
  <c r="V270" i="3" s="1"/>
  <c r="W270" i="3" s="1"/>
  <c r="H254" i="2"/>
  <c r="U254" i="3" s="1"/>
  <c r="V254" i="3" s="1"/>
  <c r="W254" i="3" s="1"/>
  <c r="H242" i="2"/>
  <c r="U242" i="3" s="1"/>
  <c r="V242" i="3" s="1"/>
  <c r="W242" i="3" s="1"/>
  <c r="H238" i="2"/>
  <c r="U238" i="3" s="1"/>
  <c r="V238" i="3" s="1"/>
  <c r="W238" i="3" s="1"/>
  <c r="H222" i="2"/>
  <c r="U222" i="3" s="1"/>
  <c r="V222" i="3" s="1"/>
  <c r="W222" i="3" s="1"/>
  <c r="H206" i="2"/>
  <c r="U206" i="3" s="1"/>
  <c r="V206" i="3" s="1"/>
  <c r="W206" i="3" s="1"/>
  <c r="H190" i="2"/>
  <c r="U190" i="3" s="1"/>
  <c r="V190" i="3" s="1"/>
  <c r="W190" i="3" s="1"/>
  <c r="H174" i="2"/>
  <c r="U174" i="3" s="1"/>
  <c r="V174" i="3" s="1"/>
  <c r="W174" i="3" s="1"/>
  <c r="H158" i="2"/>
  <c r="U158" i="3" s="1"/>
  <c r="V158" i="3" s="1"/>
  <c r="W158" i="3" s="1"/>
  <c r="H142" i="2"/>
  <c r="U142" i="3" s="1"/>
  <c r="V142" i="3" s="1"/>
  <c r="W142" i="3" s="1"/>
  <c r="H126" i="2"/>
  <c r="U126" i="3" s="1"/>
  <c r="V126" i="3" s="1"/>
  <c r="W126" i="3" s="1"/>
  <c r="H110" i="2"/>
  <c r="U110" i="3" s="1"/>
  <c r="V110" i="3" s="1"/>
  <c r="W110" i="3" s="1"/>
  <c r="H94" i="2"/>
  <c r="U94" i="3" s="1"/>
  <c r="V94" i="3" s="1"/>
  <c r="W94" i="3" s="1"/>
  <c r="H78" i="2"/>
  <c r="U78" i="3" s="1"/>
  <c r="V78" i="3" s="1"/>
  <c r="W78" i="3" s="1"/>
  <c r="H62" i="2"/>
  <c r="U62" i="3" s="1"/>
  <c r="V62" i="3" s="1"/>
  <c r="W62" i="3" s="1"/>
  <c r="H46" i="2"/>
  <c r="U46" i="3" s="1"/>
  <c r="V46" i="3" s="1"/>
  <c r="W46" i="3" s="1"/>
  <c r="H320" i="2"/>
  <c r="U320" i="3" s="1"/>
  <c r="V320" i="3" s="1"/>
  <c r="W320" i="3" s="1"/>
  <c r="H316" i="2"/>
  <c r="U316" i="3" s="1"/>
  <c r="V316" i="3" s="1"/>
  <c r="W316" i="3" s="1"/>
  <c r="H304" i="2"/>
  <c r="U304" i="3" s="1"/>
  <c r="V304" i="3" s="1"/>
  <c r="W304" i="3" s="1"/>
  <c r="H300" i="2"/>
  <c r="U300" i="3" s="1"/>
  <c r="V300" i="3" s="1"/>
  <c r="W300" i="3" s="1"/>
  <c r="H284" i="2"/>
  <c r="U284" i="3" s="1"/>
  <c r="V284" i="3" s="1"/>
  <c r="W284" i="3" s="1"/>
  <c r="H268" i="2"/>
  <c r="U268" i="3" s="1"/>
  <c r="V268" i="3" s="1"/>
  <c r="W268" i="3" s="1"/>
  <c r="H240" i="2"/>
  <c r="U240" i="3" s="1"/>
  <c r="V240" i="3" s="1"/>
  <c r="W240" i="3" s="1"/>
  <c r="H236" i="2"/>
  <c r="U236" i="3" s="1"/>
  <c r="V236" i="3" s="1"/>
  <c r="W236" i="3" s="1"/>
  <c r="H216" i="2"/>
  <c r="U216" i="3" s="1"/>
  <c r="V216" i="3" s="1"/>
  <c r="W216" i="3" s="1"/>
  <c r="H200" i="2"/>
  <c r="U200" i="3" s="1"/>
  <c r="V200" i="3" s="1"/>
  <c r="W200" i="3" s="1"/>
  <c r="H184" i="2"/>
  <c r="U184" i="3" s="1"/>
  <c r="V184" i="3" s="1"/>
  <c r="W184" i="3" s="1"/>
  <c r="H168" i="2"/>
  <c r="U168" i="3" s="1"/>
  <c r="V168" i="3" s="1"/>
  <c r="W168" i="3" s="1"/>
  <c r="H152" i="2"/>
  <c r="U152" i="3" s="1"/>
  <c r="V152" i="3" s="1"/>
  <c r="W152" i="3" s="1"/>
  <c r="H136" i="2"/>
  <c r="U136" i="3" s="1"/>
  <c r="V136" i="3" s="1"/>
  <c r="W136" i="3" s="1"/>
  <c r="H120" i="2"/>
  <c r="U120" i="3" s="1"/>
  <c r="V120" i="3" s="1"/>
  <c r="W120" i="3" s="1"/>
  <c r="H104" i="2"/>
  <c r="U104" i="3" s="1"/>
  <c r="V104" i="3" s="1"/>
  <c r="W104" i="3" s="1"/>
  <c r="H100" i="2"/>
  <c r="U100" i="3" s="1"/>
  <c r="V100" i="3" s="1"/>
  <c r="W100" i="3" s="1"/>
  <c r="H96" i="2"/>
  <c r="U96" i="3" s="1"/>
  <c r="V96" i="3" s="1"/>
  <c r="W96" i="3" s="1"/>
  <c r="H92" i="2"/>
  <c r="U92" i="3" s="1"/>
  <c r="V92" i="3" s="1"/>
  <c r="W92" i="3" s="1"/>
  <c r="H88" i="2"/>
  <c r="U88" i="3" s="1"/>
  <c r="V88" i="3" s="1"/>
  <c r="W88" i="3" s="1"/>
  <c r="H84" i="2"/>
  <c r="U84" i="3" s="1"/>
  <c r="V84" i="3" s="1"/>
  <c r="W84" i="3" s="1"/>
  <c r="H80" i="2"/>
  <c r="U80" i="3" s="1"/>
  <c r="V80" i="3" s="1"/>
  <c r="W80" i="3" s="1"/>
  <c r="H76" i="2"/>
  <c r="U76" i="3" s="1"/>
  <c r="V76" i="3" s="1"/>
  <c r="W76" i="3" s="1"/>
  <c r="H72" i="2"/>
  <c r="U72" i="3" s="1"/>
  <c r="V72" i="3" s="1"/>
  <c r="W72" i="3" s="1"/>
  <c r="H68" i="2"/>
  <c r="U68" i="3" s="1"/>
  <c r="V68" i="3" s="1"/>
  <c r="W68" i="3" s="1"/>
  <c r="H64" i="2"/>
  <c r="U64" i="3" s="1"/>
  <c r="V64" i="3" s="1"/>
  <c r="W64" i="3" s="1"/>
  <c r="H60" i="2"/>
  <c r="U60" i="3" s="1"/>
  <c r="V60" i="3" s="1"/>
  <c r="W60" i="3" s="1"/>
  <c r="H56" i="2"/>
  <c r="U56" i="3" s="1"/>
  <c r="V56" i="3" s="1"/>
  <c r="W56" i="3" s="1"/>
  <c r="H52" i="2"/>
  <c r="U52" i="3" s="1"/>
  <c r="V52" i="3" s="1"/>
  <c r="W52" i="3" s="1"/>
  <c r="H48" i="2"/>
  <c r="U48" i="3" s="1"/>
  <c r="V48" i="3" s="1"/>
  <c r="W48" i="3" s="1"/>
  <c r="H44" i="2"/>
  <c r="U44" i="3" s="1"/>
  <c r="V44" i="3" s="1"/>
  <c r="W44" i="3" s="1"/>
  <c r="H40" i="2"/>
  <c r="U40" i="3" s="1"/>
  <c r="V40" i="3" s="1"/>
  <c r="W40" i="3" s="1"/>
  <c r="H36" i="2"/>
  <c r="U36" i="3" s="1"/>
  <c r="V36" i="3" s="1"/>
  <c r="W36" i="3" s="1"/>
  <c r="H32" i="2"/>
  <c r="U32" i="3" s="1"/>
  <c r="V32" i="3" s="1"/>
  <c r="W32" i="3" s="1"/>
  <c r="H28" i="2"/>
  <c r="U28" i="3" s="1"/>
  <c r="V28" i="3" s="1"/>
  <c r="W28" i="3" s="1"/>
  <c r="H24" i="2"/>
  <c r="U24" i="3" s="1"/>
  <c r="V24" i="3" s="1"/>
  <c r="W24" i="3" s="1"/>
  <c r="H20" i="2"/>
  <c r="U20" i="3" s="1"/>
  <c r="V20" i="3" s="1"/>
  <c r="W20" i="3" s="1"/>
  <c r="H16" i="2"/>
  <c r="U16" i="3" s="1"/>
  <c r="V16" i="3" s="1"/>
  <c r="W16" i="3" s="1"/>
  <c r="H12" i="2"/>
  <c r="U12" i="3" s="1"/>
  <c r="V12" i="3" s="1"/>
  <c r="W12" i="3" s="1"/>
  <c r="H175" i="2"/>
  <c r="U175" i="3" s="1"/>
  <c r="V175" i="3" s="1"/>
  <c r="W175" i="3" s="1"/>
  <c r="H159" i="2"/>
  <c r="U159" i="3" s="1"/>
  <c r="V159" i="3" s="1"/>
  <c r="W159" i="3" s="1"/>
  <c r="H143" i="2"/>
  <c r="U143" i="3" s="1"/>
  <c r="V143" i="3" s="1"/>
  <c r="W143" i="3" s="1"/>
  <c r="H127" i="2"/>
  <c r="U127" i="3" s="1"/>
  <c r="V127" i="3" s="1"/>
  <c r="W127" i="3" s="1"/>
  <c r="H111" i="2"/>
  <c r="U111" i="3" s="1"/>
  <c r="V111" i="3" s="1"/>
  <c r="W111" i="3" s="1"/>
  <c r="H95" i="2"/>
  <c r="U95" i="3" s="1"/>
  <c r="V95" i="3" s="1"/>
  <c r="W95" i="3" s="1"/>
  <c r="H79" i="2"/>
  <c r="U79" i="3" s="1"/>
  <c r="V79" i="3" s="1"/>
  <c r="W79" i="3" s="1"/>
  <c r="H63" i="2"/>
  <c r="U63" i="3" s="1"/>
  <c r="V63" i="3" s="1"/>
  <c r="W63" i="3" s="1"/>
  <c r="H47" i="2"/>
  <c r="U47" i="3" s="1"/>
  <c r="V47" i="3" s="1"/>
  <c r="W47" i="3" s="1"/>
  <c r="H35" i="2"/>
  <c r="U35" i="3" s="1"/>
  <c r="V35" i="3" s="1"/>
  <c r="W35" i="3" s="1"/>
  <c r="H31" i="2"/>
  <c r="U31" i="3" s="1"/>
  <c r="V31" i="3" s="1"/>
  <c r="W31" i="3" s="1"/>
  <c r="H19" i="2"/>
  <c r="U19" i="3" s="1"/>
  <c r="V19" i="3" s="1"/>
  <c r="W19" i="3" s="1"/>
  <c r="H15" i="2"/>
  <c r="U15" i="3" s="1"/>
  <c r="V15" i="3" s="1"/>
  <c r="W15" i="3" s="1"/>
  <c r="H7" i="2"/>
  <c r="U7" i="3" s="1"/>
  <c r="V7" i="3" s="1"/>
  <c r="W7" i="3" s="1"/>
  <c r="F12" i="5"/>
  <c r="F28" i="5"/>
  <c r="F44" i="5"/>
  <c r="F60" i="5"/>
  <c r="F76" i="5"/>
  <c r="F92" i="5"/>
  <c r="F108" i="5"/>
  <c r="F124" i="5"/>
  <c r="F140" i="5"/>
  <c r="F156" i="5"/>
  <c r="F172" i="5"/>
  <c r="F188" i="5"/>
  <c r="F204" i="5"/>
  <c r="F220" i="5"/>
  <c r="F236" i="5"/>
  <c r="F252" i="5"/>
  <c r="F268" i="5"/>
  <c r="F284" i="5"/>
  <c r="F300" i="5"/>
  <c r="F316" i="5"/>
  <c r="F13" i="5"/>
  <c r="F29" i="5"/>
  <c r="F45" i="5"/>
  <c r="F61" i="5"/>
  <c r="F77" i="5"/>
  <c r="F93" i="5"/>
  <c r="F109" i="5"/>
  <c r="F125" i="5"/>
  <c r="F141" i="5"/>
  <c r="F157" i="5"/>
  <c r="F173" i="5"/>
  <c r="F189" i="5"/>
  <c r="F205" i="5"/>
  <c r="F221" i="5"/>
  <c r="F237" i="5"/>
  <c r="F253" i="5"/>
  <c r="F269" i="5"/>
  <c r="F285" i="5"/>
  <c r="F301" i="5"/>
  <c r="F317" i="5"/>
  <c r="F18" i="5"/>
  <c r="F34" i="5"/>
  <c r="F50" i="5"/>
  <c r="F66" i="5"/>
  <c r="F82" i="5"/>
  <c r="F98" i="5"/>
  <c r="F114" i="5"/>
  <c r="F130" i="5"/>
  <c r="F146" i="5"/>
  <c r="F162" i="5"/>
  <c r="F178" i="5"/>
  <c r="F194" i="5"/>
  <c r="F210" i="5"/>
  <c r="F226" i="5"/>
  <c r="F242" i="5"/>
  <c r="F258" i="5"/>
  <c r="F274" i="5"/>
  <c r="F290" i="5"/>
  <c r="F306" i="5"/>
  <c r="F322" i="5"/>
  <c r="F23" i="5"/>
  <c r="F39" i="5"/>
  <c r="F55" i="5"/>
  <c r="F71" i="5"/>
  <c r="F87" i="5"/>
  <c r="F103" i="5"/>
  <c r="F16" i="5"/>
  <c r="F36" i="5"/>
  <c r="F56" i="5"/>
  <c r="F80" i="5"/>
  <c r="F100" i="5"/>
  <c r="F120" i="5"/>
  <c r="F144" i="5"/>
  <c r="F164" i="5"/>
  <c r="F184" i="5"/>
  <c r="F208" i="5"/>
  <c r="F228" i="5"/>
  <c r="F248" i="5"/>
  <c r="F272" i="5"/>
  <c r="F292" i="5"/>
  <c r="F312" i="5"/>
  <c r="F21" i="5"/>
  <c r="F41" i="5"/>
  <c r="F65" i="5"/>
  <c r="F85" i="5"/>
  <c r="F105" i="5"/>
  <c r="F129" i="5"/>
  <c r="F149" i="5"/>
  <c r="F169" i="5"/>
  <c r="F193" i="5"/>
  <c r="F213" i="5"/>
  <c r="F233" i="5"/>
  <c r="F257" i="5"/>
  <c r="F277" i="5"/>
  <c r="F297" i="5"/>
  <c r="F321" i="5"/>
  <c r="F10" i="5"/>
  <c r="F30" i="5"/>
  <c r="F54" i="5"/>
  <c r="F74" i="5"/>
  <c r="F94" i="5"/>
  <c r="F118" i="5"/>
  <c r="F138" i="5"/>
  <c r="F158" i="5"/>
  <c r="F182" i="5"/>
  <c r="F202" i="5"/>
  <c r="F222" i="5"/>
  <c r="F246" i="5"/>
  <c r="F266" i="5"/>
  <c r="F286" i="5"/>
  <c r="F310" i="5"/>
  <c r="F330" i="5"/>
  <c r="F19" i="5"/>
  <c r="F43" i="5"/>
  <c r="F63" i="5"/>
  <c r="F83" i="5"/>
  <c r="F107" i="5"/>
  <c r="F123" i="5"/>
  <c r="F139" i="5"/>
  <c r="F155" i="5"/>
  <c r="F171" i="5"/>
  <c r="F187" i="5"/>
  <c r="F203" i="5"/>
  <c r="F219" i="5"/>
  <c r="F235" i="5"/>
  <c r="F251" i="5"/>
  <c r="F267" i="5"/>
  <c r="F283" i="5"/>
  <c r="F299" i="5"/>
  <c r="F315" i="5"/>
  <c r="F331" i="5"/>
  <c r="I146" i="3"/>
  <c r="I143" i="3"/>
  <c r="I138" i="3"/>
  <c r="I135" i="3"/>
  <c r="I130" i="3"/>
  <c r="I127" i="3"/>
  <c r="I122" i="3"/>
  <c r="I119" i="3"/>
  <c r="I114" i="3"/>
  <c r="I111" i="3"/>
  <c r="I106" i="3"/>
  <c r="I103" i="3"/>
  <c r="I98" i="3"/>
  <c r="I95" i="3"/>
  <c r="I90" i="3"/>
  <c r="I87" i="3"/>
  <c r="I82" i="3"/>
  <c r="I79" i="3"/>
  <c r="I74" i="3"/>
  <c r="I71" i="3"/>
  <c r="I66" i="3"/>
  <c r="I63" i="3"/>
  <c r="I58" i="3"/>
  <c r="I55" i="3"/>
  <c r="I50" i="3"/>
  <c r="I47" i="3"/>
  <c r="I42" i="3"/>
  <c r="I39" i="3"/>
  <c r="I34" i="3"/>
  <c r="I31" i="3"/>
  <c r="I26" i="3"/>
  <c r="I23" i="3"/>
  <c r="I18" i="3"/>
  <c r="I15" i="3"/>
  <c r="I10" i="3"/>
  <c r="I7" i="3"/>
  <c r="I6" i="3"/>
  <c r="I326" i="3"/>
  <c r="I323" i="3"/>
  <c r="I318" i="3"/>
  <c r="I315" i="3"/>
  <c r="I310" i="3"/>
  <c r="I307" i="3"/>
  <c r="I302" i="3"/>
  <c r="I299" i="3"/>
  <c r="I294" i="3"/>
  <c r="I291" i="3"/>
  <c r="I286" i="3"/>
  <c r="I283" i="3"/>
  <c r="I278" i="3"/>
  <c r="I275" i="3"/>
  <c r="I270" i="3"/>
  <c r="I267" i="3"/>
  <c r="I262" i="3"/>
  <c r="I259" i="3"/>
  <c r="I254" i="3"/>
  <c r="I251" i="3"/>
  <c r="I246" i="3"/>
  <c r="I243" i="3"/>
  <c r="I238" i="3"/>
  <c r="I235" i="3"/>
  <c r="I230" i="3"/>
  <c r="I227" i="3"/>
  <c r="I222" i="3"/>
  <c r="I219" i="3"/>
  <c r="I214" i="3"/>
  <c r="I211" i="3"/>
  <c r="I206" i="3"/>
  <c r="I203" i="3"/>
  <c r="I198" i="3"/>
  <c r="I195" i="3"/>
  <c r="I190" i="3"/>
  <c r="I187" i="3"/>
  <c r="I182" i="3"/>
  <c r="I179" i="3"/>
  <c r="I174" i="3"/>
  <c r="I171" i="3"/>
  <c r="I166" i="3"/>
  <c r="I163" i="3"/>
  <c r="I158" i="3"/>
  <c r="I155" i="3"/>
  <c r="I150" i="3"/>
  <c r="I147" i="3"/>
  <c r="I142" i="3"/>
  <c r="I139" i="3"/>
  <c r="I134" i="3"/>
  <c r="I131" i="3"/>
  <c r="I126" i="3"/>
  <c r="I123" i="3"/>
  <c r="I118" i="3"/>
  <c r="I115" i="3"/>
  <c r="I110" i="3"/>
  <c r="I107" i="3"/>
  <c r="I102" i="3"/>
  <c r="I99" i="3"/>
  <c r="I94" i="3"/>
  <c r="I91" i="3"/>
  <c r="I86" i="3"/>
  <c r="I83" i="3"/>
  <c r="I78" i="3"/>
  <c r="I75" i="3"/>
  <c r="I70" i="3"/>
  <c r="I67" i="3"/>
  <c r="I62" i="3"/>
  <c r="I59" i="3"/>
  <c r="I54" i="3"/>
  <c r="I51" i="3"/>
  <c r="I46" i="3"/>
  <c r="I43" i="3"/>
  <c r="I38" i="3"/>
  <c r="I35" i="3"/>
  <c r="I30" i="3"/>
  <c r="I27" i="3"/>
  <c r="I22" i="3"/>
  <c r="I19" i="3"/>
  <c r="I14" i="3"/>
  <c r="H56" i="1"/>
  <c r="H68" i="1"/>
  <c r="H128" i="1"/>
  <c r="H132" i="1"/>
  <c r="H26" i="1"/>
  <c r="H34" i="1"/>
  <c r="H82" i="1"/>
  <c r="H90" i="1"/>
  <c r="H138" i="1"/>
  <c r="H146" i="1"/>
  <c r="H198" i="1"/>
  <c r="H202" i="1"/>
  <c r="H297" i="1"/>
  <c r="H293" i="1"/>
  <c r="H245" i="1"/>
  <c r="H233" i="1"/>
  <c r="H173" i="1"/>
  <c r="H168" i="1"/>
  <c r="H59" i="1"/>
  <c r="H51" i="1"/>
  <c r="H300" i="1"/>
  <c r="H296" i="1"/>
  <c r="H252" i="1"/>
  <c r="H244" i="1"/>
  <c r="H204" i="1"/>
  <c r="H199" i="1"/>
  <c r="H137" i="1"/>
  <c r="H129" i="1"/>
  <c r="H57" i="1"/>
  <c r="H41" i="1"/>
  <c r="F43" i="1"/>
  <c r="F39" i="1"/>
  <c r="F35" i="1"/>
  <c r="F31" i="1"/>
  <c r="F27" i="1"/>
  <c r="F23" i="1"/>
  <c r="F19" i="1"/>
  <c r="F15" i="1"/>
  <c r="F11" i="1"/>
  <c r="E36" i="5"/>
  <c r="E34" i="5"/>
  <c r="E32" i="5"/>
  <c r="E30" i="5"/>
  <c r="E28" i="5"/>
  <c r="E26" i="5"/>
  <c r="E24" i="5"/>
  <c r="E22" i="5"/>
  <c r="E20" i="5"/>
  <c r="E18" i="5"/>
  <c r="E16" i="5"/>
  <c r="E14" i="5"/>
  <c r="E12" i="5"/>
  <c r="E10" i="5"/>
  <c r="E8" i="5"/>
  <c r="K231" i="3" l="1"/>
  <c r="K241" i="3"/>
  <c r="K207" i="3"/>
  <c r="K296" i="3"/>
  <c r="K253" i="3"/>
  <c r="K223" i="3"/>
  <c r="K64" i="3"/>
  <c r="K202" i="3"/>
  <c r="K8" i="3"/>
  <c r="K304" i="3"/>
  <c r="K271" i="3"/>
  <c r="K178" i="3"/>
  <c r="K308" i="3"/>
  <c r="K12" i="3"/>
  <c r="K318" i="3"/>
  <c r="K321" i="3"/>
  <c r="K21" i="3"/>
  <c r="K112" i="3"/>
  <c r="K213" i="3"/>
  <c r="K181" i="3"/>
  <c r="K6" i="3"/>
  <c r="K38" i="3"/>
  <c r="K286" i="3"/>
  <c r="K254" i="3"/>
  <c r="K206" i="3"/>
  <c r="K142" i="3"/>
  <c r="K110" i="3"/>
  <c r="K78" i="3"/>
  <c r="K46" i="3"/>
  <c r="K196" i="3"/>
  <c r="K98" i="3"/>
  <c r="K247" i="3"/>
  <c r="K32" i="3"/>
  <c r="K57" i="3"/>
  <c r="K197" i="3"/>
  <c r="K191" i="3"/>
  <c r="G6" i="3"/>
  <c r="T6" i="3"/>
  <c r="H256" i="1"/>
  <c r="H83" i="1"/>
  <c r="H134" i="1"/>
  <c r="H73" i="1"/>
  <c r="H313" i="1"/>
  <c r="H10" i="1"/>
  <c r="H65" i="1"/>
  <c r="H249" i="1"/>
  <c r="H120" i="1"/>
  <c r="K205" i="3"/>
  <c r="K100" i="3"/>
  <c r="H260" i="1"/>
  <c r="H91" i="1"/>
  <c r="H122" i="1"/>
  <c r="H167" i="1"/>
  <c r="H265" i="1"/>
  <c r="H100" i="1"/>
  <c r="K37" i="3"/>
  <c r="K256" i="3"/>
  <c r="H209" i="1"/>
  <c r="H179" i="1"/>
  <c r="H74" i="1"/>
  <c r="H161" i="1"/>
  <c r="H195" i="1"/>
  <c r="H70" i="1"/>
  <c r="K314" i="3"/>
  <c r="K224" i="3"/>
  <c r="H324" i="1"/>
  <c r="H200" i="1"/>
  <c r="H118" i="1"/>
  <c r="H36" i="1"/>
  <c r="H9" i="1"/>
  <c r="H97" i="1"/>
  <c r="H177" i="1"/>
  <c r="H228" i="1"/>
  <c r="H276" i="1"/>
  <c r="H11" i="1"/>
  <c r="H123" i="1"/>
  <c r="H211" i="1"/>
  <c r="H269" i="1"/>
  <c r="H329" i="1"/>
  <c r="H166" i="1"/>
  <c r="H114" i="1"/>
  <c r="H54" i="1"/>
  <c r="H152" i="1"/>
  <c r="H88" i="1"/>
  <c r="H24" i="1"/>
  <c r="H312" i="1"/>
  <c r="H186" i="1"/>
  <c r="H48" i="1"/>
  <c r="H316" i="1"/>
  <c r="H182" i="1"/>
  <c r="H40" i="1"/>
  <c r="H224" i="1"/>
  <c r="H317" i="1"/>
  <c r="H58" i="1"/>
  <c r="H25" i="1"/>
  <c r="H105" i="1"/>
  <c r="H183" i="1"/>
  <c r="H236" i="1"/>
  <c r="H280" i="1"/>
  <c r="H19" i="1"/>
  <c r="H139" i="1"/>
  <c r="H221" i="1"/>
  <c r="H277" i="1"/>
  <c r="H218" i="1"/>
  <c r="H162" i="1"/>
  <c r="H102" i="1"/>
  <c r="H50" i="1"/>
  <c r="H148" i="1"/>
  <c r="H84" i="1"/>
  <c r="H16" i="1"/>
  <c r="K257" i="3"/>
  <c r="K320" i="3"/>
  <c r="K287" i="3"/>
  <c r="H153" i="1"/>
  <c r="H309" i="1"/>
  <c r="H18" i="1"/>
  <c r="K164" i="3"/>
  <c r="K36" i="3"/>
  <c r="H220" i="1"/>
  <c r="H253" i="1"/>
  <c r="H112" i="1"/>
  <c r="K233" i="3"/>
  <c r="H89" i="1"/>
  <c r="H268" i="1"/>
  <c r="H107" i="1"/>
  <c r="H178" i="1"/>
  <c r="H6" i="1"/>
  <c r="H33" i="1"/>
  <c r="H121" i="1"/>
  <c r="H188" i="1"/>
  <c r="H240" i="1"/>
  <c r="H292" i="1"/>
  <c r="H43" i="1"/>
  <c r="H147" i="1"/>
  <c r="H229" i="1"/>
  <c r="H285" i="1"/>
  <c r="H210" i="1"/>
  <c r="H154" i="1"/>
  <c r="H98" i="1"/>
  <c r="H38" i="1"/>
  <c r="H144" i="1"/>
  <c r="H80" i="1"/>
  <c r="K89" i="3"/>
  <c r="K324" i="3"/>
  <c r="K217" i="3"/>
  <c r="K208" i="3"/>
  <c r="K121" i="3"/>
  <c r="K102" i="3"/>
  <c r="K25" i="3"/>
  <c r="K228" i="3"/>
  <c r="K131" i="3"/>
  <c r="K183" i="3"/>
  <c r="K68" i="3"/>
  <c r="K263" i="3"/>
  <c r="K41" i="3"/>
  <c r="K236" i="3"/>
  <c r="K313" i="3"/>
  <c r="K17" i="3"/>
  <c r="K209" i="3"/>
  <c r="K145" i="3"/>
  <c r="K49" i="3"/>
  <c r="K156" i="3"/>
  <c r="K40" i="3"/>
  <c r="K292" i="3"/>
  <c r="K280" i="3"/>
  <c r="K152" i="3"/>
  <c r="K245" i="3"/>
  <c r="K96" i="3"/>
  <c r="K101" i="3"/>
  <c r="K261" i="3"/>
  <c r="K61" i="3"/>
  <c r="T102" i="5"/>
  <c r="T58" i="5"/>
  <c r="K216" i="3"/>
  <c r="K309" i="3"/>
  <c r="K221" i="3"/>
  <c r="K189" i="3"/>
  <c r="K212" i="3"/>
  <c r="K180" i="3"/>
  <c r="T99" i="5"/>
  <c r="T13" i="5"/>
  <c r="T122" i="5"/>
  <c r="K281" i="3"/>
  <c r="K154" i="3"/>
  <c r="K266" i="3"/>
  <c r="K144" i="3"/>
  <c r="K80" i="3"/>
  <c r="T33" i="5"/>
  <c r="T186" i="5"/>
  <c r="K170" i="3"/>
  <c r="K277" i="3"/>
  <c r="K125" i="3"/>
  <c r="K72" i="3"/>
  <c r="K149" i="3"/>
  <c r="K85" i="3"/>
  <c r="K204" i="3"/>
  <c r="K172" i="3"/>
  <c r="T97" i="5"/>
  <c r="K175" i="3"/>
  <c r="K252" i="3"/>
  <c r="K109" i="3"/>
  <c r="K199" i="3"/>
  <c r="K218" i="3"/>
  <c r="K301" i="3"/>
  <c r="K259" i="3"/>
  <c r="K194" i="3"/>
  <c r="K34" i="3"/>
  <c r="K322" i="3"/>
  <c r="K290" i="3"/>
  <c r="K258" i="3"/>
  <c r="K88" i="3"/>
  <c r="K24" i="3"/>
  <c r="K177" i="3"/>
  <c r="K113" i="3"/>
  <c r="K81" i="3"/>
  <c r="K232" i="3"/>
  <c r="K200" i="3"/>
  <c r="K136" i="3"/>
  <c r="K103" i="3"/>
  <c r="K71" i="3"/>
  <c r="K39" i="3"/>
  <c r="K167" i="3"/>
  <c r="T205" i="5"/>
  <c r="T312" i="5"/>
  <c r="T269" i="5"/>
  <c r="T225" i="5"/>
  <c r="K316" i="3"/>
  <c r="K137" i="3"/>
  <c r="T38" i="5"/>
  <c r="T232" i="5"/>
  <c r="K214" i="3"/>
  <c r="K92" i="3"/>
  <c r="K130" i="3"/>
  <c r="K187" i="3"/>
  <c r="K73" i="3"/>
  <c r="K283" i="3"/>
  <c r="K155" i="3"/>
  <c r="K19" i="3"/>
  <c r="K303" i="3"/>
  <c r="K260" i="3"/>
  <c r="K195" i="3"/>
  <c r="K79" i="3"/>
  <c r="K7" i="3"/>
  <c r="K291" i="3"/>
  <c r="K248" i="3"/>
  <c r="K171" i="3"/>
  <c r="K93" i="3"/>
  <c r="K22" i="3"/>
  <c r="K282" i="3"/>
  <c r="K250" i="3"/>
  <c r="K198" i="3"/>
  <c r="K132" i="3"/>
  <c r="K76" i="3"/>
  <c r="K201" i="3"/>
  <c r="K169" i="3"/>
  <c r="K107" i="3"/>
  <c r="K75" i="3"/>
  <c r="K43" i="3"/>
  <c r="K192" i="3"/>
  <c r="K160" i="3"/>
  <c r="K128" i="3"/>
  <c r="K234" i="3"/>
  <c r="K111" i="3"/>
  <c r="K210" i="3"/>
  <c r="K146" i="3"/>
  <c r="K211" i="3"/>
  <c r="K305" i="3"/>
  <c r="K138" i="3"/>
  <c r="K13" i="3"/>
  <c r="K297" i="3"/>
  <c r="K255" i="3"/>
  <c r="K186" i="3"/>
  <c r="K70" i="3"/>
  <c r="K243" i="3"/>
  <c r="K162" i="3"/>
  <c r="K77" i="3"/>
  <c r="K18" i="3"/>
  <c r="K310" i="3"/>
  <c r="K278" i="3"/>
  <c r="K246" i="3"/>
  <c r="K190" i="3"/>
  <c r="K127" i="3"/>
  <c r="K63" i="3"/>
  <c r="K229" i="3"/>
  <c r="K165" i="3"/>
  <c r="K134" i="3"/>
  <c r="K69" i="3"/>
  <c r="K220" i="3"/>
  <c r="K188" i="3"/>
  <c r="K122" i="3"/>
  <c r="K90" i="3"/>
  <c r="K58" i="3"/>
  <c r="K26" i="3"/>
  <c r="K279" i="3"/>
  <c r="K83" i="3"/>
  <c r="K289" i="3"/>
  <c r="K54" i="3"/>
  <c r="K293" i="3"/>
  <c r="K173" i="3"/>
  <c r="K267" i="3"/>
  <c r="K115" i="3"/>
  <c r="K179" i="3"/>
  <c r="K124" i="3"/>
  <c r="K249" i="3"/>
  <c r="K323" i="3"/>
  <c r="K235" i="3"/>
  <c r="K151" i="3"/>
  <c r="K67" i="3"/>
  <c r="K14" i="3"/>
  <c r="K274" i="3"/>
  <c r="K242" i="3"/>
  <c r="K182" i="3"/>
  <c r="K120" i="3"/>
  <c r="K56" i="3"/>
  <c r="K225" i="3"/>
  <c r="K193" i="3"/>
  <c r="K129" i="3"/>
  <c r="K97" i="3"/>
  <c r="K65" i="3"/>
  <c r="K33" i="3"/>
  <c r="K119" i="3"/>
  <c r="K87" i="3"/>
  <c r="K55" i="3"/>
  <c r="K23" i="3"/>
  <c r="K86" i="3"/>
  <c r="K82" i="3"/>
  <c r="K47" i="3"/>
  <c r="K133" i="3"/>
  <c r="K284" i="3"/>
  <c r="K15" i="3"/>
  <c r="K251" i="3"/>
  <c r="K105" i="3"/>
  <c r="K244" i="3"/>
  <c r="K163" i="3"/>
  <c r="K45" i="3"/>
  <c r="K317" i="3"/>
  <c r="K275" i="3"/>
  <c r="K226" i="3"/>
  <c r="K141" i="3"/>
  <c r="K60" i="3"/>
  <c r="K10" i="3"/>
  <c r="K302" i="3"/>
  <c r="K270" i="3"/>
  <c r="K238" i="3"/>
  <c r="K174" i="3"/>
  <c r="K114" i="3"/>
  <c r="K50" i="3"/>
  <c r="K157" i="3"/>
  <c r="K126" i="3"/>
  <c r="K94" i="3"/>
  <c r="K62" i="3"/>
  <c r="K30" i="3"/>
  <c r="K148" i="3"/>
  <c r="K116" i="3"/>
  <c r="K84" i="3"/>
  <c r="K52" i="3"/>
  <c r="K288" i="3"/>
  <c r="K265" i="3"/>
  <c r="K20" i="3"/>
  <c r="K299" i="3"/>
  <c r="K99" i="3"/>
  <c r="K273" i="3"/>
  <c r="K140" i="3"/>
  <c r="K325" i="3"/>
  <c r="K240" i="3"/>
  <c r="K239" i="3"/>
  <c r="K35" i="3"/>
  <c r="K312" i="3"/>
  <c r="K269" i="3"/>
  <c r="K215" i="3"/>
  <c r="K135" i="3"/>
  <c r="K51" i="3"/>
  <c r="K298" i="3"/>
  <c r="K230" i="3"/>
  <c r="K166" i="3"/>
  <c r="K108" i="3"/>
  <c r="K44" i="3"/>
  <c r="K123" i="3"/>
  <c r="K91" i="3"/>
  <c r="K59" i="3"/>
  <c r="K27" i="3"/>
  <c r="K48" i="3"/>
  <c r="K147" i="3"/>
  <c r="K150" i="3"/>
  <c r="K143" i="3"/>
  <c r="K11" i="3"/>
  <c r="K66" i="3"/>
  <c r="K315" i="3"/>
  <c r="K219" i="3"/>
  <c r="K276" i="3"/>
  <c r="K227" i="3"/>
  <c r="K28" i="3"/>
  <c r="K307" i="3"/>
  <c r="K264" i="3"/>
  <c r="K203" i="3"/>
  <c r="K118" i="3"/>
  <c r="K326" i="3"/>
  <c r="K294" i="3"/>
  <c r="K262" i="3"/>
  <c r="K222" i="3"/>
  <c r="K158" i="3"/>
  <c r="K95" i="3"/>
  <c r="K31" i="3"/>
  <c r="K117" i="3"/>
  <c r="K53" i="3"/>
  <c r="K139" i="3"/>
  <c r="K106" i="3"/>
  <c r="K74" i="3"/>
  <c r="K42" i="3"/>
  <c r="T291" i="5"/>
  <c r="K330" i="3"/>
  <c r="T331" i="5"/>
  <c r="T19" i="5"/>
  <c r="T83" i="5"/>
  <c r="T147" i="5"/>
  <c r="T211" i="5"/>
  <c r="T275" i="5"/>
  <c r="T88" i="5"/>
  <c r="T36" i="5"/>
  <c r="T100" i="5"/>
  <c r="T164" i="5"/>
  <c r="T228" i="5"/>
  <c r="T292" i="5"/>
  <c r="T224" i="5"/>
  <c r="T61" i="5"/>
  <c r="T125" i="5"/>
  <c r="T189" i="5"/>
  <c r="T253" i="5"/>
  <c r="T317" i="5"/>
  <c r="T22" i="5"/>
  <c r="T86" i="5"/>
  <c r="T150" i="5"/>
  <c r="T214" i="5"/>
  <c r="T278" i="5"/>
  <c r="T200" i="5"/>
  <c r="T55" i="5"/>
  <c r="T119" i="5"/>
  <c r="T183" i="5"/>
  <c r="T247" i="5"/>
  <c r="T311" i="5"/>
  <c r="T56" i="5"/>
  <c r="T17" i="5"/>
  <c r="T81" i="5"/>
  <c r="T145" i="5"/>
  <c r="T209" i="5"/>
  <c r="T273" i="5"/>
  <c r="T152" i="5"/>
  <c r="T42" i="5"/>
  <c r="T106" i="5"/>
  <c r="T170" i="5"/>
  <c r="T234" i="5"/>
  <c r="T298" i="5"/>
  <c r="J320" i="5"/>
  <c r="K319" i="3"/>
  <c r="J7" i="5"/>
  <c r="T27" i="5"/>
  <c r="T91" i="5"/>
  <c r="T155" i="5"/>
  <c r="T219" i="5"/>
  <c r="T283" i="5"/>
  <c r="T120" i="5"/>
  <c r="T44" i="5"/>
  <c r="T108" i="5"/>
  <c r="T172" i="5"/>
  <c r="T236" i="5"/>
  <c r="T300" i="5"/>
  <c r="T280" i="5"/>
  <c r="T69" i="5"/>
  <c r="T133" i="5"/>
  <c r="T197" i="5"/>
  <c r="T261" i="5"/>
  <c r="T325" i="5"/>
  <c r="T94" i="5"/>
  <c r="T158" i="5"/>
  <c r="T222" i="5"/>
  <c r="T286" i="5"/>
  <c r="T256" i="5"/>
  <c r="T63" i="5"/>
  <c r="T127" i="5"/>
  <c r="T191" i="5"/>
  <c r="T255" i="5"/>
  <c r="T319" i="5"/>
  <c r="T72" i="5"/>
  <c r="T25" i="5"/>
  <c r="T89" i="5"/>
  <c r="T153" i="5"/>
  <c r="T217" i="5"/>
  <c r="T281" i="5"/>
  <c r="T184" i="5"/>
  <c r="T50" i="5"/>
  <c r="T114" i="5"/>
  <c r="T178" i="5"/>
  <c r="T242" i="5"/>
  <c r="T306" i="5"/>
  <c r="T35" i="5"/>
  <c r="T314" i="5"/>
  <c r="T328" i="5"/>
  <c r="K327" i="3"/>
  <c r="J30" i="5"/>
  <c r="K29" i="3"/>
  <c r="T43" i="5"/>
  <c r="T107" i="5"/>
  <c r="T171" i="5"/>
  <c r="T235" i="5"/>
  <c r="T299" i="5"/>
  <c r="T216" i="5"/>
  <c r="T60" i="5"/>
  <c r="T124" i="5"/>
  <c r="T188" i="5"/>
  <c r="T252" i="5"/>
  <c r="T316" i="5"/>
  <c r="T21" i="5"/>
  <c r="T85" i="5"/>
  <c r="T149" i="5"/>
  <c r="T213" i="5"/>
  <c r="T277" i="5"/>
  <c r="T136" i="5"/>
  <c r="T46" i="5"/>
  <c r="T110" i="5"/>
  <c r="T174" i="5"/>
  <c r="T238" i="5"/>
  <c r="T302" i="5"/>
  <c r="T15" i="5"/>
  <c r="T79" i="5"/>
  <c r="T143" i="5"/>
  <c r="T207" i="5"/>
  <c r="T271" i="5"/>
  <c r="T8" i="5"/>
  <c r="T144" i="5"/>
  <c r="T41" i="5"/>
  <c r="T105" i="5"/>
  <c r="T169" i="5"/>
  <c r="T233" i="5"/>
  <c r="T297" i="5"/>
  <c r="T288" i="5"/>
  <c r="T66" i="5"/>
  <c r="T130" i="5"/>
  <c r="T194" i="5"/>
  <c r="T258" i="5"/>
  <c r="T322" i="5"/>
  <c r="T51" i="5"/>
  <c r="T115" i="5"/>
  <c r="T179" i="5"/>
  <c r="T243" i="5"/>
  <c r="T307" i="5"/>
  <c r="T272" i="5"/>
  <c r="T68" i="5"/>
  <c r="T132" i="5"/>
  <c r="T196" i="5"/>
  <c r="T260" i="5"/>
  <c r="T324" i="5"/>
  <c r="T29" i="5"/>
  <c r="T93" i="5"/>
  <c r="T157" i="5"/>
  <c r="T221" i="5"/>
  <c r="T285" i="5"/>
  <c r="T176" i="5"/>
  <c r="T54" i="5"/>
  <c r="T118" i="5"/>
  <c r="T182" i="5"/>
  <c r="T246" i="5"/>
  <c r="T310" i="5"/>
  <c r="T23" i="5"/>
  <c r="T87" i="5"/>
  <c r="T151" i="5"/>
  <c r="T215" i="5"/>
  <c r="T279" i="5"/>
  <c r="T16" i="5"/>
  <c r="T192" i="5"/>
  <c r="T49" i="5"/>
  <c r="T113" i="5"/>
  <c r="T177" i="5"/>
  <c r="T241" i="5"/>
  <c r="T305" i="5"/>
  <c r="T10" i="5"/>
  <c r="T74" i="5"/>
  <c r="T138" i="5"/>
  <c r="T202" i="5"/>
  <c r="T266" i="5"/>
  <c r="T128" i="5"/>
  <c r="K328" i="3"/>
  <c r="T329" i="5"/>
  <c r="T59" i="5"/>
  <c r="T123" i="5"/>
  <c r="T187" i="5"/>
  <c r="T251" i="5"/>
  <c r="T315" i="5"/>
  <c r="T12" i="5"/>
  <c r="T76" i="5"/>
  <c r="T140" i="5"/>
  <c r="T204" i="5"/>
  <c r="T268" i="5"/>
  <c r="T7" i="5"/>
  <c r="T37" i="5"/>
  <c r="T101" i="5"/>
  <c r="T165" i="5"/>
  <c r="T229" i="5"/>
  <c r="T293" i="5"/>
  <c r="T240" i="5"/>
  <c r="T62" i="5"/>
  <c r="T126" i="5"/>
  <c r="T190" i="5"/>
  <c r="T254" i="5"/>
  <c r="T318" i="5"/>
  <c r="T31" i="5"/>
  <c r="T95" i="5"/>
  <c r="T159" i="5"/>
  <c r="T223" i="5"/>
  <c r="T287" i="5"/>
  <c r="T24" i="5"/>
  <c r="T248" i="5"/>
  <c r="T57" i="5"/>
  <c r="T121" i="5"/>
  <c r="T185" i="5"/>
  <c r="T249" i="5"/>
  <c r="T313" i="5"/>
  <c r="T18" i="5"/>
  <c r="T82" i="5"/>
  <c r="T146" i="5"/>
  <c r="T210" i="5"/>
  <c r="T274" i="5"/>
  <c r="T208" i="5"/>
  <c r="T168" i="5"/>
  <c r="T67" i="5"/>
  <c r="T131" i="5"/>
  <c r="T195" i="5"/>
  <c r="T259" i="5"/>
  <c r="T323" i="5"/>
  <c r="T20" i="5"/>
  <c r="T84" i="5"/>
  <c r="T148" i="5"/>
  <c r="T212" i="5"/>
  <c r="T276" i="5"/>
  <c r="T96" i="5"/>
  <c r="T45" i="5"/>
  <c r="T109" i="5"/>
  <c r="T173" i="5"/>
  <c r="T237" i="5"/>
  <c r="T301" i="5"/>
  <c r="T296" i="5"/>
  <c r="T70" i="5"/>
  <c r="T134" i="5"/>
  <c r="T198" i="5"/>
  <c r="T262" i="5"/>
  <c r="T326" i="5"/>
  <c r="T39" i="5"/>
  <c r="T103" i="5"/>
  <c r="T167" i="5"/>
  <c r="T231" i="5"/>
  <c r="T295" i="5"/>
  <c r="T32" i="5"/>
  <c r="T304" i="5"/>
  <c r="T65" i="5"/>
  <c r="T129" i="5"/>
  <c r="T193" i="5"/>
  <c r="T257" i="5"/>
  <c r="T321" i="5"/>
  <c r="T26" i="5"/>
  <c r="T90" i="5"/>
  <c r="T154" i="5"/>
  <c r="T218" i="5"/>
  <c r="T282" i="5"/>
  <c r="T264" i="5"/>
  <c r="T104" i="5"/>
  <c r="K329" i="3"/>
  <c r="T330" i="5"/>
  <c r="T11" i="5"/>
  <c r="T75" i="5"/>
  <c r="T139" i="5"/>
  <c r="T203" i="5"/>
  <c r="T267" i="5"/>
  <c r="T40" i="5"/>
  <c r="T28" i="5"/>
  <c r="T92" i="5"/>
  <c r="T156" i="5"/>
  <c r="T220" i="5"/>
  <c r="T284" i="5"/>
  <c r="T160" i="5"/>
  <c r="T53" i="5"/>
  <c r="T117" i="5"/>
  <c r="T181" i="5"/>
  <c r="T245" i="5"/>
  <c r="T309" i="5"/>
  <c r="T14" i="5"/>
  <c r="T78" i="5"/>
  <c r="T142" i="5"/>
  <c r="T206" i="5"/>
  <c r="T270" i="5"/>
  <c r="T112" i="5"/>
  <c r="T47" i="5"/>
  <c r="T111" i="5"/>
  <c r="T175" i="5"/>
  <c r="T239" i="5"/>
  <c r="T303" i="5"/>
  <c r="T48" i="5"/>
  <c r="T9" i="5"/>
  <c r="T73" i="5"/>
  <c r="T137" i="5"/>
  <c r="T201" i="5"/>
  <c r="T265" i="5"/>
  <c r="T80" i="5"/>
  <c r="T34" i="5"/>
  <c r="T98" i="5"/>
  <c r="T162" i="5"/>
  <c r="T226" i="5"/>
  <c r="T290" i="5"/>
  <c r="T320" i="5"/>
  <c r="H270" i="1"/>
  <c r="H217" i="1"/>
  <c r="H6" i="3"/>
  <c r="M7" i="5"/>
  <c r="M224" i="5"/>
  <c r="M15" i="5"/>
  <c r="M104" i="5"/>
  <c r="M238" i="5"/>
  <c r="T9" i="3"/>
  <c r="G9" i="3" s="1"/>
  <c r="H9" i="3" s="1"/>
  <c r="L7" i="5"/>
  <c r="H244" i="5"/>
  <c r="H254" i="5"/>
  <c r="H284" i="5"/>
  <c r="H164" i="1"/>
  <c r="H47" i="1"/>
  <c r="H7" i="1"/>
  <c r="H202" i="5"/>
  <c r="H291" i="1"/>
  <c r="H247" i="1"/>
  <c r="H66" i="5"/>
  <c r="H153" i="5"/>
  <c r="H104" i="1"/>
  <c r="H64" i="1"/>
  <c r="H20" i="1"/>
  <c r="H262" i="1"/>
  <c r="C331" i="1"/>
  <c r="B20" i="10" s="1"/>
  <c r="D331" i="1"/>
  <c r="B25" i="10" s="1"/>
  <c r="H93" i="5"/>
  <c r="H29" i="5"/>
  <c r="H48" i="3"/>
  <c r="H168" i="3"/>
  <c r="B28" i="10"/>
  <c r="C28" i="10" s="1"/>
  <c r="H272" i="3"/>
  <c r="H216" i="3"/>
  <c r="H288" i="3"/>
  <c r="H204" i="3"/>
  <c r="H61" i="3"/>
  <c r="K171" i="5"/>
  <c r="K236" i="5"/>
  <c r="H314" i="3"/>
  <c r="H17" i="3"/>
  <c r="K9" i="5"/>
  <c r="K22" i="5"/>
  <c r="K154" i="5"/>
  <c r="K76" i="5"/>
  <c r="K152" i="5"/>
  <c r="H89" i="3"/>
  <c r="K119" i="5"/>
  <c r="H26" i="5"/>
  <c r="H273" i="3"/>
  <c r="H176" i="3"/>
  <c r="H282" i="3"/>
  <c r="H245" i="3"/>
  <c r="H231" i="3"/>
  <c r="H145" i="3"/>
  <c r="H117" i="3"/>
  <c r="H300" i="3"/>
  <c r="H250" i="3"/>
  <c r="S330" i="3"/>
  <c r="F330" i="3" s="1"/>
  <c r="Q330" i="3"/>
  <c r="D330" i="3" s="1"/>
  <c r="D331" i="3" s="1"/>
  <c r="K141" i="5"/>
  <c r="K320" i="5"/>
  <c r="K57" i="5"/>
  <c r="K73" i="5"/>
  <c r="K83" i="5"/>
  <c r="K111" i="5"/>
  <c r="K134" i="5"/>
  <c r="K145" i="5"/>
  <c r="K156" i="5"/>
  <c r="K179" i="5"/>
  <c r="K187" i="5"/>
  <c r="K198" i="5"/>
  <c r="K238" i="5"/>
  <c r="K246" i="5"/>
  <c r="K266" i="5"/>
  <c r="K274" i="5"/>
  <c r="K282" i="5"/>
  <c r="K294" i="5"/>
  <c r="K302" i="5"/>
  <c r="K326" i="5"/>
  <c r="K142" i="5"/>
  <c r="K306" i="5"/>
  <c r="K13" i="5"/>
  <c r="K58" i="5"/>
  <c r="K87" i="5"/>
  <c r="K139" i="5"/>
  <c r="K161" i="5"/>
  <c r="K172" i="5"/>
  <c r="K180" i="5"/>
  <c r="K211" i="5"/>
  <c r="K219" i="5"/>
  <c r="K251" i="5"/>
  <c r="K267" i="5"/>
  <c r="K279" i="5"/>
  <c r="K299" i="5"/>
  <c r="K307" i="5"/>
  <c r="K319" i="5"/>
  <c r="K331" i="5"/>
  <c r="K195" i="5"/>
  <c r="K283" i="5"/>
  <c r="K52" i="5"/>
  <c r="K65" i="5"/>
  <c r="K75" i="5"/>
  <c r="K84" i="5"/>
  <c r="K95" i="5"/>
  <c r="K166" i="5"/>
  <c r="K177" i="5"/>
  <c r="K188" i="5"/>
  <c r="K204" i="5"/>
  <c r="K224" i="5"/>
  <c r="K240" i="5"/>
  <c r="K256" i="5"/>
  <c r="K272" i="5"/>
  <c r="K288" i="5"/>
  <c r="K296" i="5"/>
  <c r="K18" i="5"/>
  <c r="K129" i="5"/>
  <c r="K137" i="5"/>
  <c r="K140" i="5"/>
  <c r="K159" i="5"/>
  <c r="K66" i="5"/>
  <c r="K21" i="5"/>
  <c r="K53" i="5"/>
  <c r="K189" i="5"/>
  <c r="K201" i="5"/>
  <c r="K217" i="5"/>
  <c r="K221" i="5"/>
  <c r="K257" i="5"/>
  <c r="K273" i="5"/>
  <c r="K289" i="5"/>
  <c r="K301" i="5"/>
  <c r="K305" i="5"/>
  <c r="K325" i="5"/>
  <c r="K29" i="5"/>
  <c r="K148" i="5"/>
  <c r="K16" i="5"/>
  <c r="K316" i="5"/>
  <c r="K10" i="5"/>
  <c r="K126" i="5"/>
  <c r="K32" i="5"/>
  <c r="K93" i="5"/>
  <c r="K45" i="5"/>
  <c r="K185" i="5"/>
  <c r="K260" i="5"/>
  <c r="K25" i="5"/>
  <c r="K67" i="5"/>
  <c r="K101" i="5"/>
  <c r="K123" i="5"/>
  <c r="K164" i="5"/>
  <c r="K214" i="5"/>
  <c r="K226" i="5"/>
  <c r="K254" i="5"/>
  <c r="K262" i="5"/>
  <c r="K314" i="5"/>
  <c r="K322" i="5"/>
  <c r="K330" i="5"/>
  <c r="K165" i="5"/>
  <c r="K39" i="5"/>
  <c r="K98" i="5"/>
  <c r="K105" i="5"/>
  <c r="K127" i="5"/>
  <c r="K135" i="5"/>
  <c r="K146" i="5"/>
  <c r="K157" i="5"/>
  <c r="K243" i="5"/>
  <c r="K312" i="5"/>
  <c r="K27" i="5"/>
  <c r="K43" i="5"/>
  <c r="K103" i="5"/>
  <c r="K117" i="5"/>
  <c r="K143" i="5"/>
  <c r="K162" i="5"/>
  <c r="K216" i="5"/>
  <c r="K304" i="5"/>
  <c r="K82" i="5"/>
  <c r="K178" i="5"/>
  <c r="K186" i="5"/>
  <c r="K15" i="5"/>
  <c r="K79" i="5"/>
  <c r="K167" i="5"/>
  <c r="K31" i="5"/>
  <c r="K107" i="5"/>
  <c r="K213" i="5"/>
  <c r="K229" i="5"/>
  <c r="K233" i="5"/>
  <c r="K245" i="5"/>
  <c r="K249" i="5"/>
  <c r="K277" i="5"/>
  <c r="K281" i="5"/>
  <c r="K321" i="5"/>
  <c r="K62" i="5"/>
  <c r="K11" i="5"/>
  <c r="K115" i="5"/>
  <c r="K14" i="5"/>
  <c r="K36" i="5"/>
  <c r="K116" i="5"/>
  <c r="K210" i="5"/>
  <c r="K77" i="5"/>
  <c r="K276" i="5"/>
  <c r="K19" i="5"/>
  <c r="K41" i="5"/>
  <c r="K60" i="5"/>
  <c r="K70" i="5"/>
  <c r="K89" i="5"/>
  <c r="K97" i="5"/>
  <c r="K104" i="5"/>
  <c r="K130" i="5"/>
  <c r="K138" i="5"/>
  <c r="K149" i="5"/>
  <c r="K168" i="5"/>
  <c r="K183" i="5"/>
  <c r="K194" i="5"/>
  <c r="K242" i="5"/>
  <c r="K270" i="5"/>
  <c r="K310" i="5"/>
  <c r="K46" i="5"/>
  <c r="K207" i="5"/>
  <c r="K23" i="5"/>
  <c r="K42" i="5"/>
  <c r="K48" i="5"/>
  <c r="K64" i="5"/>
  <c r="K74" i="5"/>
  <c r="K169" i="5"/>
  <c r="K184" i="5"/>
  <c r="K203" i="5"/>
  <c r="K215" i="5"/>
  <c r="K223" i="5"/>
  <c r="K239" i="5"/>
  <c r="K247" i="5"/>
  <c r="K255" i="5"/>
  <c r="K287" i="5"/>
  <c r="K303" i="5"/>
  <c r="K311" i="5"/>
  <c r="K323" i="5"/>
  <c r="K61" i="5"/>
  <c r="K327" i="5"/>
  <c r="K33" i="5"/>
  <c r="K49" i="5"/>
  <c r="K68" i="5"/>
  <c r="K81" i="5"/>
  <c r="K91" i="5"/>
  <c r="K124" i="5"/>
  <c r="K132" i="5"/>
  <c r="K155" i="5"/>
  <c r="K173" i="5"/>
  <c r="K181" i="5"/>
  <c r="K208" i="5"/>
  <c r="K228" i="5"/>
  <c r="K248" i="5"/>
  <c r="K280" i="5"/>
  <c r="K292" i="5"/>
  <c r="K300" i="5"/>
  <c r="K308" i="5"/>
  <c r="K50" i="5"/>
  <c r="K47" i="5"/>
  <c r="K72" i="5"/>
  <c r="K133" i="5"/>
  <c r="K144" i="5"/>
  <c r="K34" i="5"/>
  <c r="K114" i="5"/>
  <c r="K122" i="5"/>
  <c r="K269" i="5"/>
  <c r="K85" i="5"/>
  <c r="K100" i="5"/>
  <c r="K209" i="5"/>
  <c r="K261" i="5"/>
  <c r="K265" i="5"/>
  <c r="K285" i="5"/>
  <c r="K297" i="5"/>
  <c r="K313" i="5"/>
  <c r="K317" i="5"/>
  <c r="K175" i="5"/>
  <c r="K191" i="5"/>
  <c r="K231" i="5"/>
  <c r="K295" i="5"/>
  <c r="K284" i="5"/>
  <c r="K197" i="5"/>
  <c r="K30" i="5"/>
  <c r="K54" i="5"/>
  <c r="K147" i="5"/>
  <c r="K109" i="5"/>
  <c r="K227" i="5"/>
  <c r="K290" i="5"/>
  <c r="K35" i="5"/>
  <c r="K51" i="5"/>
  <c r="K222" i="5"/>
  <c r="K230" i="5"/>
  <c r="K250" i="5"/>
  <c r="K258" i="5"/>
  <c r="K318" i="5"/>
  <c r="K78" i="5"/>
  <c r="K291" i="5"/>
  <c r="K90" i="5"/>
  <c r="K102" i="5"/>
  <c r="K120" i="5"/>
  <c r="K150" i="5"/>
  <c r="K176" i="5"/>
  <c r="K263" i="5"/>
  <c r="K153" i="5"/>
  <c r="K268" i="5"/>
  <c r="K17" i="5"/>
  <c r="K59" i="5"/>
  <c r="K99" i="5"/>
  <c r="K106" i="5"/>
  <c r="K113" i="5"/>
  <c r="K121" i="5"/>
  <c r="K128" i="5"/>
  <c r="K136" i="5"/>
  <c r="K151" i="5"/>
  <c r="K174" i="5"/>
  <c r="K182" i="5"/>
  <c r="K8" i="5"/>
  <c r="K37" i="5"/>
  <c r="K69" i="5"/>
  <c r="K125" i="5"/>
  <c r="K163" i="5"/>
  <c r="K110" i="5"/>
  <c r="K24" i="5"/>
  <c r="K56" i="5"/>
  <c r="K193" i="5"/>
  <c r="K205" i="5"/>
  <c r="K225" i="5"/>
  <c r="K237" i="5"/>
  <c r="K241" i="5"/>
  <c r="K253" i="5"/>
  <c r="K293" i="5"/>
  <c r="K309" i="5"/>
  <c r="K329" i="5"/>
  <c r="K328" i="5"/>
  <c r="K315" i="5"/>
  <c r="K94" i="5"/>
  <c r="K12" i="5"/>
  <c r="K232" i="5"/>
  <c r="K298" i="5"/>
  <c r="K28" i="5"/>
  <c r="K86" i="5"/>
  <c r="K170" i="5"/>
  <c r="H11" i="3"/>
  <c r="J12" i="5"/>
  <c r="J310" i="5"/>
  <c r="J321" i="5"/>
  <c r="J232" i="5"/>
  <c r="J48" i="5"/>
  <c r="J290" i="5"/>
  <c r="J171" i="5"/>
  <c r="J17" i="5"/>
  <c r="J296" i="5"/>
  <c r="J253" i="5"/>
  <c r="J180" i="5"/>
  <c r="J110" i="5"/>
  <c r="J41" i="5"/>
  <c r="J305" i="5"/>
  <c r="J262" i="5"/>
  <c r="J200" i="5"/>
  <c r="J125" i="5"/>
  <c r="J55" i="5"/>
  <c r="J9" i="5"/>
  <c r="J298" i="5"/>
  <c r="J277" i="5"/>
  <c r="J256" i="5"/>
  <c r="J228" i="5"/>
  <c r="J187" i="5"/>
  <c r="J122" i="5"/>
  <c r="J71" i="5"/>
  <c r="J29" i="5"/>
  <c r="J313" i="5"/>
  <c r="J292" i="5"/>
  <c r="J270" i="5"/>
  <c r="J249" i="5"/>
  <c r="J216" i="5"/>
  <c r="J172" i="5"/>
  <c r="J136" i="5"/>
  <c r="J94" i="5"/>
  <c r="J52" i="5"/>
  <c r="J23" i="5"/>
  <c r="J319" i="5"/>
  <c r="J303" i="5"/>
  <c r="J287" i="5"/>
  <c r="J271" i="5"/>
  <c r="J255" i="5"/>
  <c r="J239" i="5"/>
  <c r="J207" i="5"/>
  <c r="J175" i="5"/>
  <c r="J144" i="5"/>
  <c r="J115" i="5"/>
  <c r="J83" i="5"/>
  <c r="J51" i="5"/>
  <c r="J238" i="5"/>
  <c r="J222" i="5"/>
  <c r="J206" i="5"/>
  <c r="J190" i="5"/>
  <c r="J174" i="5"/>
  <c r="J158" i="5"/>
  <c r="J143" i="5"/>
  <c r="J127" i="5"/>
  <c r="J111" i="5"/>
  <c r="J95" i="5"/>
  <c r="J79" i="5"/>
  <c r="J63" i="5"/>
  <c r="J47" i="5"/>
  <c r="J31" i="5"/>
  <c r="J229" i="5"/>
  <c r="J213" i="5"/>
  <c r="J197" i="5"/>
  <c r="J181" i="5"/>
  <c r="J165" i="5"/>
  <c r="J149" i="5"/>
  <c r="J132" i="5"/>
  <c r="J117" i="5"/>
  <c r="J101" i="5"/>
  <c r="J85" i="5"/>
  <c r="J69" i="5"/>
  <c r="J53" i="5"/>
  <c r="J37" i="5"/>
  <c r="J246" i="5"/>
  <c r="J84" i="5"/>
  <c r="H232" i="3"/>
  <c r="J192" i="5"/>
  <c r="J131" i="5"/>
  <c r="J21" i="5"/>
  <c r="J300" i="5"/>
  <c r="J188" i="5"/>
  <c r="J22" i="5"/>
  <c r="J269" i="5"/>
  <c r="J134" i="5"/>
  <c r="J328" i="5"/>
  <c r="J285" i="5"/>
  <c r="J242" i="5"/>
  <c r="J160" i="5"/>
  <c r="J93" i="5"/>
  <c r="J16" i="5"/>
  <c r="J294" i="5"/>
  <c r="J252" i="5"/>
  <c r="J179" i="5"/>
  <c r="J106" i="5"/>
  <c r="J39" i="5"/>
  <c r="J314" i="5"/>
  <c r="J293" i="5"/>
  <c r="J272" i="5"/>
  <c r="J250" i="5"/>
  <c r="J219" i="5"/>
  <c r="J176" i="5"/>
  <c r="J105" i="5"/>
  <c r="J62" i="5"/>
  <c r="J18" i="5"/>
  <c r="J329" i="5"/>
  <c r="J308" i="5"/>
  <c r="J286" i="5"/>
  <c r="J265" i="5"/>
  <c r="J244" i="5"/>
  <c r="J204" i="5"/>
  <c r="J163" i="5"/>
  <c r="J119" i="5"/>
  <c r="J78" i="5"/>
  <c r="J42" i="5"/>
  <c r="J19" i="5"/>
  <c r="J331" i="5"/>
  <c r="J315" i="5"/>
  <c r="J299" i="5"/>
  <c r="J283" i="5"/>
  <c r="J267" i="5"/>
  <c r="J251" i="5"/>
  <c r="J231" i="5"/>
  <c r="J199" i="5"/>
  <c r="J167" i="5"/>
  <c r="J133" i="5"/>
  <c r="J109" i="5"/>
  <c r="J77" i="5"/>
  <c r="J45" i="5"/>
  <c r="J234" i="5"/>
  <c r="J218" i="5"/>
  <c r="J202" i="5"/>
  <c r="J186" i="5"/>
  <c r="J170" i="5"/>
  <c r="J154" i="5"/>
  <c r="J138" i="5"/>
  <c r="J124" i="5"/>
  <c r="J108" i="5"/>
  <c r="J92" i="5"/>
  <c r="J76" i="5"/>
  <c r="J60" i="5"/>
  <c r="J44" i="5"/>
  <c r="J28" i="5"/>
  <c r="J225" i="5"/>
  <c r="J209" i="5"/>
  <c r="J193" i="5"/>
  <c r="J177" i="5"/>
  <c r="J161" i="5"/>
  <c r="J145" i="5"/>
  <c r="J129" i="5"/>
  <c r="J113" i="5"/>
  <c r="J97" i="5"/>
  <c r="J81" i="5"/>
  <c r="J65" i="5"/>
  <c r="J49" i="5"/>
  <c r="J33" i="5"/>
  <c r="J289" i="5"/>
  <c r="J168" i="5"/>
  <c r="H186" i="3"/>
  <c r="J258" i="5"/>
  <c r="J211" i="5"/>
  <c r="J278" i="5"/>
  <c r="J147" i="5"/>
  <c r="J248" i="5"/>
  <c r="J100" i="5"/>
  <c r="J317" i="5"/>
  <c r="J274" i="5"/>
  <c r="J224" i="5"/>
  <c r="J141" i="5"/>
  <c r="J74" i="5"/>
  <c r="J326" i="5"/>
  <c r="J284" i="5"/>
  <c r="J241" i="5"/>
  <c r="J156" i="5"/>
  <c r="J90" i="5"/>
  <c r="J20" i="5"/>
  <c r="J330" i="5"/>
  <c r="J309" i="5"/>
  <c r="J288" i="5"/>
  <c r="J266" i="5"/>
  <c r="J245" i="5"/>
  <c r="J208" i="5"/>
  <c r="J164" i="5"/>
  <c r="J87" i="5"/>
  <c r="J46" i="5"/>
  <c r="J13" i="5"/>
  <c r="J324" i="5"/>
  <c r="J302" i="5"/>
  <c r="J281" i="5"/>
  <c r="J260" i="5"/>
  <c r="J236" i="5"/>
  <c r="J195" i="5"/>
  <c r="J152" i="5"/>
  <c r="J112" i="5"/>
  <c r="J68" i="5"/>
  <c r="J35" i="5"/>
  <c r="J15" i="5"/>
  <c r="J327" i="5"/>
  <c r="J311" i="5"/>
  <c r="J295" i="5"/>
  <c r="J279" i="5"/>
  <c r="J263" i="5"/>
  <c r="J247" i="5"/>
  <c r="J223" i="5"/>
  <c r="J191" i="5"/>
  <c r="J159" i="5"/>
  <c r="J128" i="5"/>
  <c r="J96" i="5"/>
  <c r="J64" i="5"/>
  <c r="J32" i="5"/>
  <c r="J230" i="5"/>
  <c r="J214" i="5"/>
  <c r="J198" i="5"/>
  <c r="J182" i="5"/>
  <c r="J166" i="5"/>
  <c r="J150" i="5"/>
  <c r="J135" i="5"/>
  <c r="J118" i="5"/>
  <c r="J102" i="5"/>
  <c r="J86" i="5"/>
  <c r="J70" i="5"/>
  <c r="J54" i="5"/>
  <c r="J38" i="5"/>
  <c r="J237" i="5"/>
  <c r="J221" i="5"/>
  <c r="J205" i="5"/>
  <c r="J189" i="5"/>
  <c r="J173" i="5"/>
  <c r="J157" i="5"/>
  <c r="J140" i="5"/>
  <c r="J123" i="5"/>
  <c r="J107" i="5"/>
  <c r="J91" i="5"/>
  <c r="J75" i="5"/>
  <c r="J59" i="5"/>
  <c r="J43" i="5"/>
  <c r="J27" i="5"/>
  <c r="J148" i="5"/>
  <c r="J322" i="5"/>
  <c r="J99" i="5"/>
  <c r="H69" i="3"/>
  <c r="H104" i="3"/>
  <c r="H328" i="3"/>
  <c r="H301" i="3"/>
  <c r="H133" i="3"/>
  <c r="H121" i="3"/>
  <c r="J301" i="5"/>
  <c r="J268" i="5"/>
  <c r="J10" i="5"/>
  <c r="J257" i="5"/>
  <c r="J116" i="5"/>
  <c r="J312" i="5"/>
  <c r="J212" i="5"/>
  <c r="J67" i="5"/>
  <c r="J306" i="5"/>
  <c r="J264" i="5"/>
  <c r="J203" i="5"/>
  <c r="J126" i="5"/>
  <c r="J58" i="5"/>
  <c r="J316" i="5"/>
  <c r="J273" i="5"/>
  <c r="J220" i="5"/>
  <c r="J139" i="5"/>
  <c r="J73" i="5"/>
  <c r="J14" i="5"/>
  <c r="J325" i="5"/>
  <c r="J304" i="5"/>
  <c r="J282" i="5"/>
  <c r="J261" i="5"/>
  <c r="J240" i="5"/>
  <c r="J196" i="5"/>
  <c r="J155" i="5"/>
  <c r="J80" i="5"/>
  <c r="J36" i="5"/>
  <c r="J8" i="5"/>
  <c r="J318" i="5"/>
  <c r="J297" i="5"/>
  <c r="J276" i="5"/>
  <c r="J254" i="5"/>
  <c r="J227" i="5"/>
  <c r="J184" i="5"/>
  <c r="J142" i="5"/>
  <c r="J103" i="5"/>
  <c r="J61" i="5"/>
  <c r="J26" i="5"/>
  <c r="J11" i="5"/>
  <c r="J323" i="5"/>
  <c r="J307" i="5"/>
  <c r="J291" i="5"/>
  <c r="J275" i="5"/>
  <c r="J259" i="5"/>
  <c r="J243" i="5"/>
  <c r="J215" i="5"/>
  <c r="J183" i="5"/>
  <c r="J151" i="5"/>
  <c r="J121" i="5"/>
  <c r="J89" i="5"/>
  <c r="J57" i="5"/>
  <c r="J25" i="5"/>
  <c r="J226" i="5"/>
  <c r="J210" i="5"/>
  <c r="J194" i="5"/>
  <c r="J178" i="5"/>
  <c r="J162" i="5"/>
  <c r="J146" i="5"/>
  <c r="J130" i="5"/>
  <c r="J114" i="5"/>
  <c r="J98" i="5"/>
  <c r="J82" i="5"/>
  <c r="J66" i="5"/>
  <c r="J50" i="5"/>
  <c r="J34" i="5"/>
  <c r="J233" i="5"/>
  <c r="J217" i="5"/>
  <c r="J201" i="5"/>
  <c r="J185" i="5"/>
  <c r="J169" i="5"/>
  <c r="J153" i="5"/>
  <c r="J137" i="5"/>
  <c r="J120" i="5"/>
  <c r="J104" i="5"/>
  <c r="J88" i="5"/>
  <c r="J72" i="5"/>
  <c r="J56" i="5"/>
  <c r="J40" i="5"/>
  <c r="J24" i="5"/>
  <c r="J280" i="5"/>
  <c r="J235" i="5"/>
  <c r="H152" i="3"/>
  <c r="T26" i="3"/>
  <c r="G26" i="3" s="1"/>
  <c r="B3" i="12"/>
  <c r="V6" i="3"/>
  <c r="W6" i="3" s="1"/>
  <c r="S181" i="3"/>
  <c r="F181" i="3" s="1"/>
  <c r="H181" i="3" s="1"/>
  <c r="H154" i="3"/>
  <c r="H223" i="3"/>
  <c r="M235" i="5"/>
  <c r="M182" i="5"/>
  <c r="M80" i="5"/>
  <c r="M178" i="5"/>
  <c r="M331" i="5"/>
  <c r="M203" i="5"/>
  <c r="M139" i="5"/>
  <c r="M63" i="5"/>
  <c r="M315" i="5"/>
  <c r="M251" i="5"/>
  <c r="M187" i="5"/>
  <c r="M123" i="5"/>
  <c r="M43" i="5"/>
  <c r="M286" i="5"/>
  <c r="M202" i="5"/>
  <c r="M118" i="5"/>
  <c r="M30" i="5"/>
  <c r="M277" i="5"/>
  <c r="M193" i="5"/>
  <c r="M105" i="5"/>
  <c r="M21" i="5"/>
  <c r="M272" i="5"/>
  <c r="M184" i="5"/>
  <c r="M100" i="5"/>
  <c r="M16" i="5"/>
  <c r="M55" i="5"/>
  <c r="M322" i="5"/>
  <c r="M258" i="5"/>
  <c r="M194" i="5"/>
  <c r="M130" i="5"/>
  <c r="M66" i="5"/>
  <c r="M269" i="5"/>
  <c r="M205" i="5"/>
  <c r="M141" i="5"/>
  <c r="M77" i="5"/>
  <c r="M13" i="5"/>
  <c r="M284" i="5"/>
  <c r="M220" i="5"/>
  <c r="M156" i="5"/>
  <c r="M92" i="5"/>
  <c r="M28" i="5"/>
  <c r="M116" i="5"/>
  <c r="M232" i="5"/>
  <c r="M9" i="5"/>
  <c r="M121" i="5"/>
  <c r="M241" i="5"/>
  <c r="M22" i="5"/>
  <c r="M134" i="5"/>
  <c r="M250" i="5"/>
  <c r="M31" i="5"/>
  <c r="M135" i="5"/>
  <c r="M223" i="5"/>
  <c r="M307" i="5"/>
  <c r="M68" i="5"/>
  <c r="M180" i="5"/>
  <c r="M296" i="5"/>
  <c r="M73" i="5"/>
  <c r="M185" i="5"/>
  <c r="M305" i="5"/>
  <c r="M86" i="5"/>
  <c r="M198" i="5"/>
  <c r="M314" i="5"/>
  <c r="M95" i="5"/>
  <c r="M183" i="5"/>
  <c r="M271" i="5"/>
  <c r="M276" i="5"/>
  <c r="M62" i="5"/>
  <c r="M167" i="5"/>
  <c r="M57" i="5"/>
  <c r="M186" i="5"/>
  <c r="M259" i="5"/>
  <c r="M195" i="5"/>
  <c r="M326" i="5"/>
  <c r="M102" i="5"/>
  <c r="M201" i="5"/>
  <c r="M308" i="5"/>
  <c r="M84" i="5"/>
  <c r="M231" i="5"/>
  <c r="M47" i="5"/>
  <c r="M150" i="5"/>
  <c r="M249" i="5"/>
  <c r="M25" i="5"/>
  <c r="M132" i="5"/>
  <c r="M122" i="5"/>
  <c r="M295" i="5"/>
  <c r="M113" i="5"/>
  <c r="M126" i="5"/>
  <c r="M107" i="5"/>
  <c r="M94" i="5"/>
  <c r="M10" i="5"/>
  <c r="M248" i="5"/>
  <c r="M103" i="5"/>
  <c r="M39" i="5"/>
  <c r="M114" i="5"/>
  <c r="M50" i="5"/>
  <c r="M317" i="5"/>
  <c r="M253" i="5"/>
  <c r="M189" i="5"/>
  <c r="M125" i="5"/>
  <c r="M61" i="5"/>
  <c r="M268" i="5"/>
  <c r="M204" i="5"/>
  <c r="M140" i="5"/>
  <c r="M76" i="5"/>
  <c r="M12" i="5"/>
  <c r="M148" i="5"/>
  <c r="M260" i="5"/>
  <c r="M37" i="5"/>
  <c r="M153" i="5"/>
  <c r="M265" i="5"/>
  <c r="M46" i="5"/>
  <c r="M166" i="5"/>
  <c r="M278" i="5"/>
  <c r="M59" i="5"/>
  <c r="M159" i="5"/>
  <c r="M243" i="5"/>
  <c r="M327" i="5"/>
  <c r="M96" i="5"/>
  <c r="M212" i="5"/>
  <c r="M324" i="5"/>
  <c r="M101" i="5"/>
  <c r="M217" i="5"/>
  <c r="M329" i="5"/>
  <c r="M110" i="5"/>
  <c r="M230" i="5"/>
  <c r="M11" i="5"/>
  <c r="M119" i="5"/>
  <c r="M207" i="5"/>
  <c r="M291" i="5"/>
  <c r="M53" i="5"/>
  <c r="M174" i="5"/>
  <c r="M255" i="5"/>
  <c r="M52" i="5"/>
  <c r="M177" i="5"/>
  <c r="M298" i="5"/>
  <c r="M323" i="5"/>
  <c r="M151" i="5"/>
  <c r="M270" i="5"/>
  <c r="M42" i="5"/>
  <c r="M145" i="5"/>
  <c r="M256" i="5"/>
  <c r="M24" i="5"/>
  <c r="M191" i="5"/>
  <c r="M318" i="5"/>
  <c r="M90" i="5"/>
  <c r="M197" i="5"/>
  <c r="M304" i="5"/>
  <c r="M72" i="5"/>
  <c r="M211" i="5"/>
  <c r="M127" i="5"/>
  <c r="M216" i="5"/>
  <c r="M229" i="5"/>
  <c r="M171" i="5"/>
  <c r="M19" i="5"/>
  <c r="M257" i="5"/>
  <c r="M85" i="5"/>
  <c r="M306" i="5"/>
  <c r="M283" i="5"/>
  <c r="M219" i="5"/>
  <c r="M155" i="5"/>
  <c r="M83" i="5"/>
  <c r="M330" i="5"/>
  <c r="M246" i="5"/>
  <c r="M158" i="5"/>
  <c r="M74" i="5"/>
  <c r="M321" i="5"/>
  <c r="M233" i="5"/>
  <c r="M149" i="5"/>
  <c r="M65" i="5"/>
  <c r="M312" i="5"/>
  <c r="M228" i="5"/>
  <c r="M144" i="5"/>
  <c r="M56" i="5"/>
  <c r="M87" i="5"/>
  <c r="M23" i="5"/>
  <c r="M290" i="5"/>
  <c r="M226" i="5"/>
  <c r="M162" i="5"/>
  <c r="M98" i="5"/>
  <c r="M34" i="5"/>
  <c r="M301" i="5"/>
  <c r="M237" i="5"/>
  <c r="M173" i="5"/>
  <c r="M109" i="5"/>
  <c r="M45" i="5"/>
  <c r="M316" i="5"/>
  <c r="M252" i="5"/>
  <c r="M188" i="5"/>
  <c r="M124" i="5"/>
  <c r="M60" i="5"/>
  <c r="M64" i="5"/>
  <c r="M176" i="5"/>
  <c r="M288" i="5"/>
  <c r="M69" i="5"/>
  <c r="M181" i="5"/>
  <c r="M293" i="5"/>
  <c r="M78" i="5"/>
  <c r="M190" i="5"/>
  <c r="M302" i="5"/>
  <c r="M91" i="5"/>
  <c r="M179" i="5"/>
  <c r="M263" i="5"/>
  <c r="M8" i="5"/>
  <c r="M128" i="5"/>
  <c r="M240" i="5"/>
  <c r="M17" i="5"/>
  <c r="M133" i="5"/>
  <c r="M245" i="5"/>
  <c r="M26" i="5"/>
  <c r="M142" i="5"/>
  <c r="M254" i="5"/>
  <c r="M35" i="5"/>
  <c r="M143" i="5"/>
  <c r="M227" i="5"/>
  <c r="M311" i="5"/>
  <c r="M48" i="5"/>
  <c r="M165" i="5"/>
  <c r="M294" i="5"/>
  <c r="M168" i="5"/>
  <c r="M289" i="5"/>
  <c r="M79" i="5"/>
  <c r="M279" i="5"/>
  <c r="M111" i="5"/>
  <c r="M214" i="5"/>
  <c r="M313" i="5"/>
  <c r="M89" i="5"/>
  <c r="M196" i="5"/>
  <c r="M319" i="5"/>
  <c r="M147" i="5"/>
  <c r="M262" i="5"/>
  <c r="M38" i="5"/>
  <c r="M137" i="5"/>
  <c r="M244" i="5"/>
  <c r="M20" i="5"/>
  <c r="M234" i="5"/>
  <c r="M215" i="5"/>
  <c r="M112" i="5"/>
  <c r="M299" i="5"/>
  <c r="M266" i="5"/>
  <c r="M169" i="5"/>
  <c r="M164" i="5"/>
  <c r="M242" i="5"/>
  <c r="M267" i="5"/>
  <c r="M310" i="5"/>
  <c r="M222" i="5"/>
  <c r="M138" i="5"/>
  <c r="M54" i="5"/>
  <c r="M297" i="5"/>
  <c r="M213" i="5"/>
  <c r="M129" i="5"/>
  <c r="M41" i="5"/>
  <c r="M292" i="5"/>
  <c r="M208" i="5"/>
  <c r="M120" i="5"/>
  <c r="M36" i="5"/>
  <c r="M71" i="5"/>
  <c r="M274" i="5"/>
  <c r="M210" i="5"/>
  <c r="M146" i="5"/>
  <c r="M82" i="5"/>
  <c r="M18" i="5"/>
  <c r="M285" i="5"/>
  <c r="M221" i="5"/>
  <c r="M157" i="5"/>
  <c r="M93" i="5"/>
  <c r="M29" i="5"/>
  <c r="M300" i="5"/>
  <c r="M236" i="5"/>
  <c r="M172" i="5"/>
  <c r="M108" i="5"/>
  <c r="M44" i="5"/>
  <c r="M88" i="5"/>
  <c r="M200" i="5"/>
  <c r="M320" i="5"/>
  <c r="M97" i="5"/>
  <c r="M209" i="5"/>
  <c r="M325" i="5"/>
  <c r="M106" i="5"/>
  <c r="M218" i="5"/>
  <c r="M115" i="5"/>
  <c r="M199" i="5"/>
  <c r="M287" i="5"/>
  <c r="M40" i="5"/>
  <c r="M152" i="5"/>
  <c r="M264" i="5"/>
  <c r="M49" i="5"/>
  <c r="M161" i="5"/>
  <c r="M273" i="5"/>
  <c r="M58" i="5"/>
  <c r="M170" i="5"/>
  <c r="M282" i="5"/>
  <c r="M67" i="5"/>
  <c r="M163" i="5"/>
  <c r="M247" i="5"/>
  <c r="H178" i="5"/>
  <c r="H242" i="5"/>
  <c r="M160" i="5"/>
  <c r="M281" i="5"/>
  <c r="M75" i="5"/>
  <c r="M280" i="5"/>
  <c r="M70" i="5"/>
  <c r="M175" i="5"/>
  <c r="M239" i="5"/>
  <c r="M51" i="5"/>
  <c r="M154" i="5"/>
  <c r="M261" i="5"/>
  <c r="M33" i="5"/>
  <c r="M136" i="5"/>
  <c r="M275" i="5"/>
  <c r="M99" i="5"/>
  <c r="M206" i="5"/>
  <c r="M309" i="5"/>
  <c r="M81" i="5"/>
  <c r="M192" i="5"/>
  <c r="M32" i="5"/>
  <c r="M328" i="5"/>
  <c r="M27" i="5"/>
  <c r="M131" i="5"/>
  <c r="M225" i="5"/>
  <c r="M117" i="5"/>
  <c r="M303" i="5"/>
  <c r="M14" i="5"/>
  <c r="L294" i="5"/>
  <c r="H154" i="5"/>
  <c r="H158" i="5"/>
  <c r="H321" i="5"/>
  <c r="H25" i="5"/>
  <c r="H328" i="5"/>
  <c r="H200" i="5"/>
  <c r="H72" i="5"/>
  <c r="H215" i="5"/>
  <c r="H106" i="5"/>
  <c r="H46" i="5"/>
  <c r="H205" i="5"/>
  <c r="H269" i="5"/>
  <c r="H180" i="3"/>
  <c r="H101" i="3"/>
  <c r="H325" i="3"/>
  <c r="H180" i="1"/>
  <c r="H63" i="1"/>
  <c r="H181" i="1"/>
  <c r="H255" i="1"/>
  <c r="H93" i="1"/>
  <c r="H227" i="1"/>
  <c r="H306" i="1"/>
  <c r="H77" i="1"/>
  <c r="H219" i="1"/>
  <c r="H299" i="1"/>
  <c r="H294" i="1"/>
  <c r="H61" i="1"/>
  <c r="H111" i="1"/>
  <c r="H213" i="1"/>
  <c r="H279" i="1"/>
  <c r="H157" i="1"/>
  <c r="H259" i="1"/>
  <c r="H330" i="1"/>
  <c r="H141" i="1"/>
  <c r="H251" i="1"/>
  <c r="H323" i="1"/>
  <c r="H208" i="1"/>
  <c r="H171" i="1"/>
  <c r="H71" i="1"/>
  <c r="H298" i="1"/>
  <c r="H207" i="1"/>
  <c r="H12" i="1"/>
  <c r="H28" i="1"/>
  <c r="H44" i="1"/>
  <c r="H60" i="1"/>
  <c r="H76" i="1"/>
  <c r="H92" i="1"/>
  <c r="H108" i="1"/>
  <c r="H124" i="1"/>
  <c r="H140" i="1"/>
  <c r="H156" i="1"/>
  <c r="H14" i="1"/>
  <c r="H30" i="1"/>
  <c r="H46" i="1"/>
  <c r="H62" i="1"/>
  <c r="H78" i="1"/>
  <c r="H94" i="1"/>
  <c r="H110" i="1"/>
  <c r="H126" i="1"/>
  <c r="H142" i="1"/>
  <c r="H158" i="1"/>
  <c r="H174" i="1"/>
  <c r="H190" i="1"/>
  <c r="H206" i="1"/>
  <c r="H321" i="1"/>
  <c r="H305" i="1"/>
  <c r="H289" i="1"/>
  <c r="H273" i="1"/>
  <c r="H257" i="1"/>
  <c r="H241" i="1"/>
  <c r="H225" i="1"/>
  <c r="H205" i="1"/>
  <c r="H184" i="1"/>
  <c r="H163" i="1"/>
  <c r="H131" i="1"/>
  <c r="H99" i="1"/>
  <c r="H67" i="1"/>
  <c r="H35" i="1"/>
  <c r="H320" i="1"/>
  <c r="H304" i="1"/>
  <c r="H288" i="1"/>
  <c r="H272" i="1"/>
  <c r="H93" i="3"/>
  <c r="H37" i="3"/>
  <c r="H257" i="3"/>
  <c r="H17" i="1"/>
  <c r="H49" i="1"/>
  <c r="H81" i="1"/>
  <c r="H113" i="1"/>
  <c r="H145" i="1"/>
  <c r="H172" i="1"/>
  <c r="H193" i="1"/>
  <c r="H215" i="1"/>
  <c r="H232" i="1"/>
  <c r="H248" i="1"/>
  <c r="H264" i="1"/>
  <c r="H284" i="1"/>
  <c r="H308" i="1"/>
  <c r="H328" i="1"/>
  <c r="H27" i="1"/>
  <c r="H75" i="1"/>
  <c r="H115" i="1"/>
  <c r="H155" i="1"/>
  <c r="H189" i="1"/>
  <c r="H216" i="1"/>
  <c r="H237" i="1"/>
  <c r="H261" i="1"/>
  <c r="H281" i="1"/>
  <c r="H301" i="1"/>
  <c r="H325" i="1"/>
  <c r="H214" i="1"/>
  <c r="H194" i="1"/>
  <c r="H170" i="1"/>
  <c r="H150" i="1"/>
  <c r="H130" i="1"/>
  <c r="H106" i="1"/>
  <c r="H86" i="1"/>
  <c r="H66" i="1"/>
  <c r="H42" i="1"/>
  <c r="H22" i="1"/>
  <c r="H160" i="1"/>
  <c r="H136" i="1"/>
  <c r="H116" i="1"/>
  <c r="H96" i="1"/>
  <c r="H72" i="1"/>
  <c r="H52" i="1"/>
  <c r="H32" i="1"/>
  <c r="H8" i="1"/>
  <c r="H55" i="1"/>
  <c r="H175" i="1"/>
  <c r="H127" i="1"/>
  <c r="H73" i="3"/>
  <c r="H64" i="3"/>
  <c r="H132" i="3"/>
  <c r="L20" i="5"/>
  <c r="L36" i="5"/>
  <c r="H183" i="3"/>
  <c r="L19" i="5"/>
  <c r="L60" i="5"/>
  <c r="L76" i="5"/>
  <c r="L97" i="5"/>
  <c r="L130" i="5"/>
  <c r="L149" i="5"/>
  <c r="L183" i="5"/>
  <c r="L270" i="5"/>
  <c r="L286" i="5"/>
  <c r="L330" i="5"/>
  <c r="L105" i="5"/>
  <c r="L127" i="5"/>
  <c r="L146" i="5"/>
  <c r="L43" i="5"/>
  <c r="L99" i="5"/>
  <c r="L113" i="5"/>
  <c r="L128" i="5"/>
  <c r="L151" i="5"/>
  <c r="L304" i="5"/>
  <c r="L178" i="5"/>
  <c r="L15" i="5"/>
  <c r="L79" i="5"/>
  <c r="L152" i="5"/>
  <c r="L167" i="5"/>
  <c r="L213" i="5"/>
  <c r="L237" i="5"/>
  <c r="L249" i="5"/>
  <c r="L273" i="5"/>
  <c r="L321" i="5"/>
  <c r="L207" i="5"/>
  <c r="L283" i="5"/>
  <c r="L290" i="5"/>
  <c r="L14" i="5"/>
  <c r="L30" i="5"/>
  <c r="H234" i="5"/>
  <c r="H143" i="5"/>
  <c r="H100" i="5"/>
  <c r="H243" i="5"/>
  <c r="H279" i="5"/>
  <c r="H60" i="5"/>
  <c r="H305" i="5"/>
  <c r="H193" i="5"/>
  <c r="H141" i="5"/>
  <c r="H65" i="5"/>
  <c r="H13" i="5"/>
  <c r="H208" i="3"/>
  <c r="L175" i="5"/>
  <c r="L227" i="5"/>
  <c r="L291" i="5"/>
  <c r="L78" i="5"/>
  <c r="L306" i="5"/>
  <c r="L275" i="5"/>
  <c r="L16" i="5"/>
  <c r="L24" i="5"/>
  <c r="L32" i="5"/>
  <c r="H308" i="5"/>
  <c r="H228" i="5"/>
  <c r="H175" i="5"/>
  <c r="H122" i="5"/>
  <c r="H74" i="5"/>
  <c r="H302" i="5"/>
  <c r="H195" i="5"/>
  <c r="H115" i="5"/>
  <c r="H322" i="5"/>
  <c r="H252" i="5"/>
  <c r="H130" i="5"/>
  <c r="H28" i="5"/>
  <c r="H285" i="5"/>
  <c r="H237" i="5"/>
  <c r="H177" i="5"/>
  <c r="H113" i="5"/>
  <c r="H49" i="5"/>
  <c r="H184" i="3"/>
  <c r="H32" i="3"/>
  <c r="H151" i="3"/>
  <c r="H255" i="3"/>
  <c r="H326" i="5"/>
  <c r="H294" i="5"/>
  <c r="H262" i="5"/>
  <c r="H230" i="5"/>
  <c r="H198" i="5"/>
  <c r="H166" i="5"/>
  <c r="H134" i="5"/>
  <c r="H102" i="5"/>
  <c r="H70" i="5"/>
  <c r="H38" i="5"/>
  <c r="H320" i="5"/>
  <c r="H304" i="5"/>
  <c r="H288" i="5"/>
  <c r="H272" i="5"/>
  <c r="H256" i="5"/>
  <c r="H240" i="5"/>
  <c r="H224" i="5"/>
  <c r="H208" i="5"/>
  <c r="H192" i="5"/>
  <c r="H176" i="5"/>
  <c r="H160" i="5"/>
  <c r="L126" i="5"/>
  <c r="L260" i="5"/>
  <c r="L312" i="5"/>
  <c r="H175" i="3"/>
  <c r="L206" i="5"/>
  <c r="L11" i="5"/>
  <c r="L12" i="5"/>
  <c r="L28" i="5"/>
  <c r="H247" i="3"/>
  <c r="H191" i="3"/>
  <c r="L210" i="5"/>
  <c r="L41" i="5"/>
  <c r="L70" i="5"/>
  <c r="L89" i="5"/>
  <c r="L104" i="5"/>
  <c r="L119" i="5"/>
  <c r="L138" i="5"/>
  <c r="L168" i="5"/>
  <c r="L194" i="5"/>
  <c r="L234" i="5"/>
  <c r="L242" i="5"/>
  <c r="L278" i="5"/>
  <c r="L298" i="5"/>
  <c r="L310" i="5"/>
  <c r="L326" i="5"/>
  <c r="L116" i="5"/>
  <c r="L98" i="5"/>
  <c r="L112" i="5"/>
  <c r="L135" i="5"/>
  <c r="L176" i="5"/>
  <c r="L263" i="5"/>
  <c r="L231" i="5"/>
  <c r="L27" i="5"/>
  <c r="L106" i="5"/>
  <c r="L121" i="5"/>
  <c r="L136" i="5"/>
  <c r="L158" i="5"/>
  <c r="L216" i="5"/>
  <c r="L82" i="5"/>
  <c r="L40" i="5"/>
  <c r="L125" i="5"/>
  <c r="L31" i="5"/>
  <c r="L63" i="5"/>
  <c r="L197" i="5"/>
  <c r="L233" i="5"/>
  <c r="L281" i="5"/>
  <c r="L301" i="5"/>
  <c r="L327" i="5"/>
  <c r="H258" i="3"/>
  <c r="L165" i="5"/>
  <c r="L22" i="5"/>
  <c r="H180" i="5"/>
  <c r="H323" i="5"/>
  <c r="H126" i="5"/>
  <c r="H30" i="5"/>
  <c r="H140" i="5"/>
  <c r="H241" i="5"/>
  <c r="L10" i="5"/>
  <c r="L18" i="5"/>
  <c r="L26" i="5"/>
  <c r="L34" i="5"/>
  <c r="H282" i="5"/>
  <c r="H207" i="5"/>
  <c r="H170" i="5"/>
  <c r="H116" i="5"/>
  <c r="H52" i="5"/>
  <c r="H286" i="5"/>
  <c r="H174" i="5"/>
  <c r="H67" i="5"/>
  <c r="H316" i="5"/>
  <c r="H204" i="5"/>
  <c r="H108" i="5"/>
  <c r="H281" i="5"/>
  <c r="H221" i="5"/>
  <c r="H157" i="5"/>
  <c r="H109" i="5"/>
  <c r="H218" i="3"/>
  <c r="H188" i="3"/>
  <c r="H236" i="3"/>
  <c r="H320" i="3"/>
  <c r="H217" i="3"/>
  <c r="H280" i="3"/>
  <c r="L170" i="5"/>
  <c r="L35" i="5"/>
  <c r="L51" i="5"/>
  <c r="L160" i="5"/>
  <c r="L214" i="5"/>
  <c r="L226" i="5"/>
  <c r="H250" i="5"/>
  <c r="L254" i="5"/>
  <c r="L262" i="5"/>
  <c r="H298" i="5"/>
  <c r="L314" i="5"/>
  <c r="L322" i="5"/>
  <c r="H330" i="5"/>
  <c r="L55" i="5"/>
  <c r="L13" i="5"/>
  <c r="L45" i="5"/>
  <c r="L58" i="5"/>
  <c r="L71" i="5"/>
  <c r="L77" i="5"/>
  <c r="L87" i="5"/>
  <c r="L161" i="5"/>
  <c r="L172" i="5"/>
  <c r="L180" i="5"/>
  <c r="L199" i="5"/>
  <c r="L211" i="5"/>
  <c r="L219" i="5"/>
  <c r="L235" i="5"/>
  <c r="L251" i="5"/>
  <c r="L259" i="5"/>
  <c r="L267" i="5"/>
  <c r="L279" i="5"/>
  <c r="L299" i="5"/>
  <c r="L307" i="5"/>
  <c r="L319" i="5"/>
  <c r="L331" i="5"/>
  <c r="L190" i="5"/>
  <c r="L33" i="5"/>
  <c r="L49" i="5"/>
  <c r="L68" i="5"/>
  <c r="L81" i="5"/>
  <c r="L91" i="5"/>
  <c r="L166" i="5"/>
  <c r="L173" i="5"/>
  <c r="L181" i="5"/>
  <c r="L192" i="5"/>
  <c r="L208" i="5"/>
  <c r="L228" i="5"/>
  <c r="L248" i="5"/>
  <c r="L280" i="5"/>
  <c r="L292" i="5"/>
  <c r="L300" i="5"/>
  <c r="L308" i="5"/>
  <c r="L47" i="5"/>
  <c r="L129" i="5"/>
  <c r="L137" i="5"/>
  <c r="L159" i="5"/>
  <c r="L66" i="5"/>
  <c r="L118" i="5"/>
  <c r="L21" i="5"/>
  <c r="L53" i="5"/>
  <c r="L88" i="5"/>
  <c r="L100" i="5"/>
  <c r="L189" i="5"/>
  <c r="L217" i="5"/>
  <c r="L253" i="5"/>
  <c r="L257" i="5"/>
  <c r="L269" i="5"/>
  <c r="L285" i="5"/>
  <c r="L289" i="5"/>
  <c r="L305" i="5"/>
  <c r="L325" i="5"/>
  <c r="H161" i="3"/>
  <c r="L141" i="5"/>
  <c r="L236" i="5"/>
  <c r="L268" i="5"/>
  <c r="H313" i="3"/>
  <c r="L154" i="5"/>
  <c r="H8" i="3"/>
  <c r="L191" i="5"/>
  <c r="H167" i="3"/>
  <c r="L54" i="5"/>
  <c r="L25" i="5"/>
  <c r="L67" i="5"/>
  <c r="L101" i="5"/>
  <c r="L123" i="5"/>
  <c r="L164" i="5"/>
  <c r="L202" i="5"/>
  <c r="L222" i="5"/>
  <c r="L230" i="5"/>
  <c r="L250" i="5"/>
  <c r="L258" i="5"/>
  <c r="L318" i="5"/>
  <c r="L212" i="5"/>
  <c r="L23" i="5"/>
  <c r="L29" i="5"/>
  <c r="L42" i="5"/>
  <c r="L48" i="5"/>
  <c r="L64" i="5"/>
  <c r="L74" i="5"/>
  <c r="L80" i="5"/>
  <c r="L108" i="5"/>
  <c r="L131" i="5"/>
  <c r="L139" i="5"/>
  <c r="L157" i="5"/>
  <c r="L169" i="5"/>
  <c r="L184" i="5"/>
  <c r="L203" i="5"/>
  <c r="L215" i="5"/>
  <c r="L223" i="5"/>
  <c r="L239" i="5"/>
  <c r="L247" i="5"/>
  <c r="L255" i="5"/>
  <c r="L271" i="5"/>
  <c r="L287" i="5"/>
  <c r="L303" i="5"/>
  <c r="L311" i="5"/>
  <c r="L323" i="5"/>
  <c r="L9" i="5"/>
  <c r="L315" i="5"/>
  <c r="L52" i="5"/>
  <c r="L65" i="5"/>
  <c r="L75" i="5"/>
  <c r="L84" i="5"/>
  <c r="L95" i="5"/>
  <c r="L124" i="5"/>
  <c r="L132" i="5"/>
  <c r="L155" i="5"/>
  <c r="L177" i="5"/>
  <c r="L188" i="5"/>
  <c r="L196" i="5"/>
  <c r="L204" i="5"/>
  <c r="L224" i="5"/>
  <c r="L240" i="5"/>
  <c r="L256" i="5"/>
  <c r="L272" i="5"/>
  <c r="L288" i="5"/>
  <c r="L296" i="5"/>
  <c r="L324" i="5"/>
  <c r="L50" i="5"/>
  <c r="L72" i="5"/>
  <c r="L133" i="5"/>
  <c r="L140" i="5"/>
  <c r="L144" i="5"/>
  <c r="L171" i="5"/>
  <c r="L114" i="5"/>
  <c r="L92" i="5"/>
  <c r="L96" i="5"/>
  <c r="L201" i="5"/>
  <c r="L209" i="5"/>
  <c r="L221" i="5"/>
  <c r="L229" i="5"/>
  <c r="L245" i="5"/>
  <c r="L265" i="5"/>
  <c r="L277" i="5"/>
  <c r="L297" i="5"/>
  <c r="L313" i="5"/>
  <c r="L317" i="5"/>
  <c r="H265" i="3"/>
  <c r="H306" i="3"/>
  <c r="H239" i="3"/>
  <c r="H194" i="3"/>
  <c r="L61" i="5"/>
  <c r="L153" i="5"/>
  <c r="L244" i="5"/>
  <c r="L276" i="5"/>
  <c r="L320" i="5"/>
  <c r="L185" i="5"/>
  <c r="L218" i="5"/>
  <c r="L316" i="5"/>
  <c r="L232" i="5"/>
  <c r="H144" i="5"/>
  <c r="H128" i="5"/>
  <c r="H112" i="5"/>
  <c r="H96" i="5"/>
  <c r="H80" i="5"/>
  <c r="H64" i="5"/>
  <c r="H48" i="5"/>
  <c r="H32" i="5"/>
  <c r="H16" i="5"/>
  <c r="H319" i="5"/>
  <c r="H303" i="5"/>
  <c r="H287" i="5"/>
  <c r="H271" i="5"/>
  <c r="H255" i="5"/>
  <c r="H223" i="5"/>
  <c r="H191" i="5"/>
  <c r="H159" i="5"/>
  <c r="H127" i="5"/>
  <c r="H95" i="5"/>
  <c r="H79" i="5"/>
  <c r="H47" i="5"/>
  <c r="H31" i="5"/>
  <c r="H159" i="3"/>
  <c r="L115" i="5"/>
  <c r="L38" i="5"/>
  <c r="L44" i="5"/>
  <c r="L57" i="5"/>
  <c r="L73" i="5"/>
  <c r="L83" i="5"/>
  <c r="L93" i="5"/>
  <c r="L111" i="5"/>
  <c r="L134" i="5"/>
  <c r="L145" i="5"/>
  <c r="L156" i="5"/>
  <c r="L179" i="5"/>
  <c r="L187" i="5"/>
  <c r="L198" i="5"/>
  <c r="L238" i="5"/>
  <c r="L246" i="5"/>
  <c r="L266" i="5"/>
  <c r="L274" i="5"/>
  <c r="L282" i="5"/>
  <c r="L302" i="5"/>
  <c r="L295" i="5"/>
  <c r="L39" i="5"/>
  <c r="H77" i="5"/>
  <c r="L90" i="5"/>
  <c r="L102" i="5"/>
  <c r="L120" i="5"/>
  <c r="L150" i="5"/>
  <c r="L243" i="5"/>
  <c r="L147" i="5"/>
  <c r="L17" i="5"/>
  <c r="L59" i="5"/>
  <c r="L103" i="5"/>
  <c r="L109" i="5"/>
  <c r="L117" i="5"/>
  <c r="L143" i="5"/>
  <c r="L162" i="5"/>
  <c r="L200" i="5"/>
  <c r="L220" i="5"/>
  <c r="L264" i="5"/>
  <c r="L148" i="5"/>
  <c r="L174" i="5"/>
  <c r="L182" i="5"/>
  <c r="L186" i="5"/>
  <c r="L37" i="5"/>
  <c r="L69" i="5"/>
  <c r="L163" i="5"/>
  <c r="L110" i="5"/>
  <c r="L122" i="5"/>
  <c r="L56" i="5"/>
  <c r="L85" i="5"/>
  <c r="L107" i="5"/>
  <c r="L193" i="5"/>
  <c r="L205" i="5"/>
  <c r="L225" i="5"/>
  <c r="L241" i="5"/>
  <c r="L261" i="5"/>
  <c r="L293" i="5"/>
  <c r="L309" i="5"/>
  <c r="L329" i="5"/>
  <c r="H149" i="3"/>
  <c r="H287" i="3"/>
  <c r="L94" i="5"/>
  <c r="L195" i="5"/>
  <c r="L62" i="5"/>
  <c r="L252" i="5"/>
  <c r="L284" i="5"/>
  <c r="L328" i="5"/>
  <c r="L142" i="5"/>
  <c r="L46" i="5"/>
  <c r="L86" i="5"/>
  <c r="K108" i="5"/>
  <c r="K252" i="5"/>
  <c r="H160" i="3"/>
  <c r="K40" i="5"/>
  <c r="K160" i="5"/>
  <c r="K200" i="5"/>
  <c r="H45" i="5"/>
  <c r="H237" i="3"/>
  <c r="K206" i="5"/>
  <c r="K71" i="5"/>
  <c r="K199" i="5"/>
  <c r="K202" i="5"/>
  <c r="K131" i="5"/>
  <c r="H162" i="3"/>
  <c r="F331" i="2"/>
  <c r="G331" i="2"/>
  <c r="K278" i="5"/>
  <c r="C331" i="2"/>
  <c r="H156" i="3"/>
  <c r="H268" i="3"/>
  <c r="D332" i="5"/>
  <c r="H266" i="3"/>
  <c r="K38" i="5"/>
  <c r="K118" i="5"/>
  <c r="K63" i="5"/>
  <c r="K235" i="5"/>
  <c r="K259" i="5"/>
  <c r="H242" i="3"/>
  <c r="H199" i="3"/>
  <c r="K234" i="5"/>
  <c r="E331" i="3"/>
  <c r="K158" i="5"/>
  <c r="E331" i="2"/>
  <c r="H321" i="3"/>
  <c r="H189" i="3"/>
  <c r="H263" i="3"/>
  <c r="H202" i="3"/>
  <c r="D331" i="2"/>
  <c r="H215" i="3"/>
  <c r="H331" i="5"/>
  <c r="H315" i="5"/>
  <c r="H299" i="5"/>
  <c r="H283" i="5"/>
  <c r="H267" i="5"/>
  <c r="H251" i="5"/>
  <c r="H235" i="5"/>
  <c r="H219" i="5"/>
  <c r="H203" i="5"/>
  <c r="H187" i="5"/>
  <c r="H171" i="5"/>
  <c r="H155" i="5"/>
  <c r="H139" i="5"/>
  <c r="H123" i="5"/>
  <c r="H196" i="3"/>
  <c r="H172" i="5"/>
  <c r="H92" i="5"/>
  <c r="H23" i="5"/>
  <c r="H301" i="5"/>
  <c r="H257" i="5"/>
  <c r="H217" i="5"/>
  <c r="H173" i="5"/>
  <c r="H129" i="5"/>
  <c r="H89" i="5"/>
  <c r="H192" i="3"/>
  <c r="H34" i="5"/>
  <c r="H98" i="5"/>
  <c r="H162" i="5"/>
  <c r="H226" i="5"/>
  <c r="H290" i="5"/>
  <c r="H311" i="3"/>
  <c r="H285" i="3"/>
  <c r="H256" i="3"/>
  <c r="H228" i="3"/>
  <c r="H200" i="3"/>
  <c r="H172" i="3"/>
  <c r="H144" i="3"/>
  <c r="H85" i="3"/>
  <c r="H29" i="3"/>
  <c r="H324" i="3"/>
  <c r="H296" i="3"/>
  <c r="H241" i="3"/>
  <c r="H212" i="3"/>
  <c r="H185" i="3"/>
  <c r="H96" i="3"/>
  <c r="H40" i="3"/>
  <c r="F331" i="1"/>
  <c r="H17" i="5"/>
  <c r="H33" i="5"/>
  <c r="H57" i="5"/>
  <c r="H81" i="5"/>
  <c r="H97" i="5"/>
  <c r="H121" i="5"/>
  <c r="H145" i="5"/>
  <c r="H161" i="5"/>
  <c r="H185" i="5"/>
  <c r="H209" i="5"/>
  <c r="H225" i="5"/>
  <c r="H249" i="5"/>
  <c r="H273" i="5"/>
  <c r="H289" i="5"/>
  <c r="H313" i="5"/>
  <c r="H44" i="5"/>
  <c r="H76" i="5"/>
  <c r="H114" i="5"/>
  <c r="H151" i="5"/>
  <c r="H188" i="5"/>
  <c r="H220" i="5"/>
  <c r="H258" i="5"/>
  <c r="H300" i="5"/>
  <c r="H51" i="5"/>
  <c r="H94" i="5"/>
  <c r="H131" i="5"/>
  <c r="H179" i="5"/>
  <c r="H222" i="5"/>
  <c r="H259" i="5"/>
  <c r="H307" i="5"/>
  <c r="H10" i="5"/>
  <c r="H36" i="5"/>
  <c r="H58" i="5"/>
  <c r="H90" i="5"/>
  <c r="H111" i="5"/>
  <c r="H138" i="5"/>
  <c r="H164" i="5"/>
  <c r="H186" i="5"/>
  <c r="H218" i="5"/>
  <c r="H239" i="5"/>
  <c r="H266" i="5"/>
  <c r="H292" i="5"/>
  <c r="H314" i="5"/>
  <c r="H21" i="5"/>
  <c r="H37" i="5"/>
  <c r="H61" i="5"/>
  <c r="H85" i="5"/>
  <c r="H101" i="5"/>
  <c r="H125" i="5"/>
  <c r="H149" i="5"/>
  <c r="H165" i="5"/>
  <c r="H189" i="5"/>
  <c r="H213" i="5"/>
  <c r="H229" i="5"/>
  <c r="H253" i="5"/>
  <c r="H277" i="5"/>
  <c r="H293" i="5"/>
  <c r="H317" i="5"/>
  <c r="H12" i="5"/>
  <c r="H50" i="5"/>
  <c r="H87" i="5"/>
  <c r="H124" i="5"/>
  <c r="H156" i="5"/>
  <c r="H194" i="5"/>
  <c r="H236" i="5"/>
  <c r="H268" i="5"/>
  <c r="H306" i="5"/>
  <c r="H8" i="5"/>
  <c r="H62" i="5"/>
  <c r="H110" i="5"/>
  <c r="H136" i="5"/>
  <c r="H190" i="5"/>
  <c r="H238" i="5"/>
  <c r="H264" i="5"/>
  <c r="H318" i="5"/>
  <c r="H15" i="5"/>
  <c r="H42" i="5"/>
  <c r="H63" i="5"/>
  <c r="H80" i="3"/>
  <c r="H170" i="3"/>
  <c r="H224" i="3"/>
  <c r="H281" i="3"/>
  <c r="H107" i="5"/>
  <c r="H91" i="5"/>
  <c r="H75" i="5"/>
  <c r="H59" i="5"/>
  <c r="H43" i="5"/>
  <c r="H27" i="5"/>
  <c r="H11" i="5"/>
  <c r="H21" i="1"/>
  <c r="H23" i="1"/>
  <c r="H85" i="1"/>
  <c r="H133" i="1"/>
  <c r="H185" i="1"/>
  <c r="H222" i="1"/>
  <c r="H246" i="1"/>
  <c r="H278" i="1"/>
  <c r="H302" i="1"/>
  <c r="H319" i="1"/>
  <c r="H69" i="1"/>
  <c r="H151" i="1"/>
  <c r="H197" i="1"/>
  <c r="H243" i="1"/>
  <c r="H286" i="1"/>
  <c r="H311" i="1"/>
  <c r="H87" i="1"/>
  <c r="H165" i="1"/>
  <c r="H212" i="1"/>
  <c r="H258" i="1"/>
  <c r="H287" i="1"/>
  <c r="H318" i="1"/>
  <c r="H39" i="1"/>
  <c r="H169" i="1"/>
  <c r="H266" i="1"/>
  <c r="H327" i="1"/>
  <c r="H45" i="1"/>
  <c r="H196" i="1"/>
  <c r="H267" i="1"/>
  <c r="H109" i="1"/>
  <c r="H295" i="1"/>
  <c r="H125" i="1"/>
  <c r="H303" i="1"/>
  <c r="H226" i="1"/>
  <c r="H235" i="1"/>
  <c r="H105" i="3"/>
  <c r="H295" i="3"/>
  <c r="H305" i="3"/>
  <c r="H277" i="3"/>
  <c r="H248" i="3"/>
  <c r="H221" i="3"/>
  <c r="H193" i="3"/>
  <c r="H128" i="3"/>
  <c r="H72" i="3"/>
  <c r="H16" i="3"/>
  <c r="H316" i="3"/>
  <c r="H290" i="3"/>
  <c r="H261" i="3"/>
  <c r="H233" i="3"/>
  <c r="H177" i="3"/>
  <c r="H137" i="3"/>
  <c r="H81" i="3"/>
  <c r="H25" i="3"/>
  <c r="H315" i="1"/>
  <c r="H283" i="1"/>
  <c r="H242" i="1"/>
  <c r="H191" i="1"/>
  <c r="H119" i="1"/>
  <c r="H37" i="1"/>
  <c r="H322" i="1"/>
  <c r="H290" i="1"/>
  <c r="H250" i="1"/>
  <c r="H201" i="1"/>
  <c r="H135" i="1"/>
  <c r="H53" i="1"/>
  <c r="H271" i="1"/>
  <c r="H239" i="1"/>
  <c r="H203" i="1"/>
  <c r="H159" i="1"/>
  <c r="H95" i="1"/>
  <c r="H31" i="1"/>
  <c r="H103" i="1"/>
  <c r="H234" i="1"/>
  <c r="H310" i="1"/>
  <c r="H53" i="5"/>
  <c r="H117" i="5"/>
  <c r="H181" i="5"/>
  <c r="H245" i="5"/>
  <c r="H309" i="5"/>
  <c r="H329" i="5"/>
  <c r="H297" i="5"/>
  <c r="H265" i="5"/>
  <c r="H233" i="5"/>
  <c r="H201" i="5"/>
  <c r="H169" i="5"/>
  <c r="H137" i="5"/>
  <c r="H105" i="5"/>
  <c r="H73" i="5"/>
  <c r="H41" i="5"/>
  <c r="H9" i="5"/>
  <c r="H310" i="5"/>
  <c r="H278" i="5"/>
  <c r="H246" i="5"/>
  <c r="H214" i="5"/>
  <c r="H182" i="5"/>
  <c r="H150" i="5"/>
  <c r="H118" i="5"/>
  <c r="H86" i="5"/>
  <c r="H54" i="5"/>
  <c r="H22" i="5"/>
  <c r="H312" i="5"/>
  <c r="H296" i="5"/>
  <c r="H248" i="5"/>
  <c r="H232" i="5"/>
  <c r="H216" i="5"/>
  <c r="H184" i="5"/>
  <c r="H168" i="5"/>
  <c r="H152" i="5"/>
  <c r="H120" i="5"/>
  <c r="H104" i="5"/>
  <c r="H88" i="5"/>
  <c r="H56" i="5"/>
  <c r="H40" i="5"/>
  <c r="H24" i="5"/>
  <c r="H327" i="5"/>
  <c r="H311" i="5"/>
  <c r="H295" i="5"/>
  <c r="H263" i="5"/>
  <c r="H247" i="5"/>
  <c r="H231" i="5"/>
  <c r="H199" i="5"/>
  <c r="H167" i="5"/>
  <c r="H135" i="5"/>
  <c r="H119" i="5"/>
  <c r="H103" i="5"/>
  <c r="H71" i="5"/>
  <c r="H55" i="5"/>
  <c r="H39" i="5"/>
  <c r="H7" i="5"/>
  <c r="H21" i="3"/>
  <c r="H136" i="3"/>
  <c r="H197" i="3"/>
  <c r="H252" i="3"/>
  <c r="H308" i="3"/>
  <c r="H297" i="3"/>
  <c r="H271" i="3"/>
  <c r="H213" i="3"/>
  <c r="H113" i="3"/>
  <c r="H57" i="3"/>
  <c r="H309" i="3"/>
  <c r="H253" i="3"/>
  <c r="H226" i="3"/>
  <c r="H165" i="3"/>
  <c r="H125" i="3"/>
  <c r="G331" i="1"/>
  <c r="H307" i="1"/>
  <c r="H274" i="1"/>
  <c r="H230" i="1"/>
  <c r="H176" i="1"/>
  <c r="H101" i="1"/>
  <c r="H13" i="1"/>
  <c r="H314" i="1"/>
  <c r="H282" i="1"/>
  <c r="H238" i="1"/>
  <c r="H187" i="1"/>
  <c r="H117" i="1"/>
  <c r="H29" i="1"/>
  <c r="H263" i="1"/>
  <c r="H231" i="1"/>
  <c r="H192" i="1"/>
  <c r="H143" i="1"/>
  <c r="H79" i="1"/>
  <c r="H15" i="1"/>
  <c r="H149" i="1"/>
  <c r="H254" i="1"/>
  <c r="H326" i="1"/>
  <c r="H18" i="5"/>
  <c r="H82" i="5"/>
  <c r="H146" i="5"/>
  <c r="H210" i="5"/>
  <c r="H274" i="5"/>
  <c r="H69" i="5"/>
  <c r="H133" i="5"/>
  <c r="H197" i="5"/>
  <c r="H261" i="5"/>
  <c r="H325" i="5"/>
  <c r="H270" i="5"/>
  <c r="H206" i="5"/>
  <c r="H142" i="5"/>
  <c r="H78" i="5"/>
  <c r="H14" i="5"/>
  <c r="H324" i="5"/>
  <c r="H276" i="5"/>
  <c r="H260" i="5"/>
  <c r="H212" i="5"/>
  <c r="H196" i="5"/>
  <c r="H148" i="5"/>
  <c r="H132" i="5"/>
  <c r="H84" i="5"/>
  <c r="H68" i="5"/>
  <c r="H20" i="5"/>
  <c r="H291" i="5"/>
  <c r="H275" i="5"/>
  <c r="H227" i="5"/>
  <c r="H211" i="5"/>
  <c r="H163" i="5"/>
  <c r="H147" i="5"/>
  <c r="H83" i="5"/>
  <c r="H35" i="5"/>
  <c r="H19" i="5"/>
  <c r="H49" i="3"/>
  <c r="H209" i="3"/>
  <c r="H319" i="3"/>
  <c r="H292" i="3"/>
  <c r="H207" i="3"/>
  <c r="H153" i="3"/>
  <c r="H41" i="3"/>
  <c r="H329" i="3"/>
  <c r="H304" i="3"/>
  <c r="H276" i="3"/>
  <c r="H157" i="3"/>
  <c r="H112" i="3"/>
  <c r="H53" i="3"/>
  <c r="H45" i="3"/>
  <c r="H88" i="3"/>
  <c r="H129" i="3"/>
  <c r="H205" i="3"/>
  <c r="H284" i="3"/>
  <c r="H327" i="3"/>
  <c r="H124" i="3"/>
  <c r="G332" i="5"/>
  <c r="H225" i="3"/>
  <c r="H13" i="3"/>
  <c r="H56" i="3"/>
  <c r="H141" i="3"/>
  <c r="H169" i="3"/>
  <c r="H210" i="3"/>
  <c r="H148" i="3"/>
  <c r="H84" i="3"/>
  <c r="H52" i="3"/>
  <c r="H20" i="3"/>
  <c r="H183" i="5"/>
  <c r="H24" i="3"/>
  <c r="H65" i="3"/>
  <c r="H109" i="3"/>
  <c r="H173" i="3"/>
  <c r="H234" i="3"/>
  <c r="H274" i="3"/>
  <c r="H293" i="3"/>
  <c r="H317" i="3"/>
  <c r="H140" i="3"/>
  <c r="H108" i="3"/>
  <c r="H76" i="3"/>
  <c r="H44" i="3"/>
  <c r="H12" i="3"/>
  <c r="C332" i="5"/>
  <c r="H244" i="3"/>
  <c r="H92" i="3"/>
  <c r="H60" i="3"/>
  <c r="H28" i="3"/>
  <c r="H280" i="5"/>
  <c r="H264" i="3"/>
  <c r="H97" i="3"/>
  <c r="H229" i="3"/>
  <c r="H249" i="3"/>
  <c r="H269" i="3"/>
  <c r="H312" i="3"/>
  <c r="H116" i="3"/>
  <c r="H99" i="5"/>
  <c r="H331" i="2"/>
  <c r="H289" i="3"/>
  <c r="I331" i="2"/>
  <c r="H164" i="3"/>
  <c r="H303" i="3"/>
  <c r="H33" i="3"/>
  <c r="H77" i="3"/>
  <c r="H120" i="3"/>
  <c r="H178" i="3"/>
  <c r="H201" i="3"/>
  <c r="H220" i="3"/>
  <c r="H240" i="3"/>
  <c r="H260" i="3"/>
  <c r="H279" i="3"/>
  <c r="H298" i="3"/>
  <c r="H322" i="3"/>
  <c r="H100" i="3"/>
  <c r="H68" i="3"/>
  <c r="H36" i="3"/>
  <c r="H35" i="3"/>
  <c r="H51" i="3"/>
  <c r="H115" i="3"/>
  <c r="H163" i="3"/>
  <c r="H211" i="3"/>
  <c r="H259" i="3"/>
  <c r="H307" i="3"/>
  <c r="H39" i="3"/>
  <c r="H87" i="3"/>
  <c r="H119" i="3"/>
  <c r="L8" i="5"/>
  <c r="E332" i="5"/>
  <c r="H22" i="3"/>
  <c r="H38" i="3"/>
  <c r="H54" i="3"/>
  <c r="H70" i="3"/>
  <c r="H86" i="3"/>
  <c r="H102" i="3"/>
  <c r="H118" i="3"/>
  <c r="H134" i="3"/>
  <c r="H150" i="3"/>
  <c r="H166" i="3"/>
  <c r="H182" i="3"/>
  <c r="H198" i="3"/>
  <c r="H214" i="3"/>
  <c r="H230" i="3"/>
  <c r="H246" i="3"/>
  <c r="H262" i="3"/>
  <c r="H278" i="3"/>
  <c r="H294" i="3"/>
  <c r="H310" i="3"/>
  <c r="H326" i="3"/>
  <c r="H10" i="3"/>
  <c r="H42" i="3"/>
  <c r="H58" i="3"/>
  <c r="H74" i="3"/>
  <c r="H90" i="3"/>
  <c r="H106" i="3"/>
  <c r="H122" i="3"/>
  <c r="H138" i="3"/>
  <c r="F332" i="5"/>
  <c r="H83" i="3"/>
  <c r="H131" i="3"/>
  <c r="H179" i="3"/>
  <c r="H227" i="3"/>
  <c r="H275" i="3"/>
  <c r="H323" i="3"/>
  <c r="I331" i="3"/>
  <c r="H55" i="3"/>
  <c r="H71" i="3"/>
  <c r="H135" i="3"/>
  <c r="H27" i="3"/>
  <c r="H43" i="3"/>
  <c r="H59" i="3"/>
  <c r="H75" i="3"/>
  <c r="H91" i="3"/>
  <c r="H107" i="3"/>
  <c r="H123" i="3"/>
  <c r="H139" i="3"/>
  <c r="H155" i="3"/>
  <c r="H171" i="3"/>
  <c r="H187" i="3"/>
  <c r="H203" i="3"/>
  <c r="H219" i="3"/>
  <c r="H235" i="3"/>
  <c r="H251" i="3"/>
  <c r="H267" i="3"/>
  <c r="H283" i="3"/>
  <c r="H299" i="3"/>
  <c r="H315" i="3"/>
  <c r="H15" i="3"/>
  <c r="H31" i="3"/>
  <c r="H47" i="3"/>
  <c r="H63" i="3"/>
  <c r="H79" i="3"/>
  <c r="H95" i="3"/>
  <c r="H111" i="3"/>
  <c r="H127" i="3"/>
  <c r="H143" i="3"/>
  <c r="H19" i="3"/>
  <c r="H67" i="3"/>
  <c r="H99" i="3"/>
  <c r="H147" i="3"/>
  <c r="H195" i="3"/>
  <c r="H243" i="3"/>
  <c r="H291" i="3"/>
  <c r="H7" i="3"/>
  <c r="H23" i="3"/>
  <c r="H103" i="3"/>
  <c r="H14" i="3"/>
  <c r="H30" i="3"/>
  <c r="H46" i="3"/>
  <c r="H62" i="3"/>
  <c r="H78" i="3"/>
  <c r="H94" i="3"/>
  <c r="H110" i="3"/>
  <c r="H126" i="3"/>
  <c r="H142" i="3"/>
  <c r="H158" i="3"/>
  <c r="H174" i="3"/>
  <c r="H190" i="3"/>
  <c r="H206" i="3"/>
  <c r="H222" i="3"/>
  <c r="H238" i="3"/>
  <c r="H254" i="3"/>
  <c r="H270" i="3"/>
  <c r="H286" i="3"/>
  <c r="H302" i="3"/>
  <c r="H318" i="3"/>
  <c r="H18" i="3"/>
  <c r="H34" i="3"/>
  <c r="H50" i="3"/>
  <c r="H66" i="3"/>
  <c r="H82" i="3"/>
  <c r="H98" i="3"/>
  <c r="H114" i="3"/>
  <c r="H130" i="3"/>
  <c r="H146" i="3"/>
  <c r="N7" i="5" l="1"/>
  <c r="C8" i="12"/>
  <c r="B18" i="10"/>
  <c r="B19" i="10"/>
  <c r="G331" i="3"/>
  <c r="N303" i="5"/>
  <c r="H330" i="3"/>
  <c r="H26" i="3"/>
  <c r="N187" i="5"/>
  <c r="N269" i="5"/>
  <c r="D6" i="12"/>
  <c r="N152" i="5"/>
  <c r="D42" i="12"/>
  <c r="K37" i="12"/>
  <c r="J37" i="12"/>
  <c r="K36" i="12"/>
  <c r="J36" i="12"/>
  <c r="C37" i="12"/>
  <c r="C36" i="12"/>
  <c r="N254" i="5"/>
  <c r="N238" i="5"/>
  <c r="N204" i="5"/>
  <c r="C10" i="12"/>
  <c r="B29" i="10"/>
  <c r="N87" i="5"/>
  <c r="N324" i="5"/>
  <c r="N107" i="5"/>
  <c r="N230" i="5"/>
  <c r="N190" i="5"/>
  <c r="N226" i="5"/>
  <c r="N298" i="5"/>
  <c r="N110" i="5"/>
  <c r="N141" i="5"/>
  <c r="N55" i="5"/>
  <c r="N12" i="5"/>
  <c r="N329" i="5"/>
  <c r="N61" i="5"/>
  <c r="N155" i="5"/>
  <c r="N191" i="5"/>
  <c r="N181" i="5"/>
  <c r="N263" i="5"/>
  <c r="N326" i="5"/>
  <c r="N194" i="5"/>
  <c r="N78" i="5"/>
  <c r="N186" i="5"/>
  <c r="N272" i="5"/>
  <c r="N8" i="5"/>
  <c r="N205" i="5"/>
  <c r="N143" i="5"/>
  <c r="N147" i="5"/>
  <c r="N73" i="5"/>
  <c r="N229" i="5"/>
  <c r="N50" i="5"/>
  <c r="N240" i="5"/>
  <c r="N139" i="5"/>
  <c r="N258" i="5"/>
  <c r="N313" i="5"/>
  <c r="N171" i="5"/>
  <c r="N195" i="5"/>
  <c r="N109" i="5"/>
  <c r="N134" i="5"/>
  <c r="N144" i="5"/>
  <c r="N203" i="5"/>
  <c r="N248" i="5"/>
  <c r="N207" i="5"/>
  <c r="C9" i="12"/>
  <c r="B27" i="10"/>
  <c r="N94" i="5"/>
  <c r="N130" i="5"/>
  <c r="N150" i="5"/>
  <c r="N296" i="5"/>
  <c r="N21" i="5"/>
  <c r="N315" i="5"/>
  <c r="N121" i="5"/>
  <c r="N37" i="5"/>
  <c r="N220" i="5"/>
  <c r="N302" i="5"/>
  <c r="N198" i="5"/>
  <c r="N276" i="5"/>
  <c r="N140" i="5"/>
  <c r="N288" i="5"/>
  <c r="N9" i="5"/>
  <c r="N255" i="5"/>
  <c r="N80" i="5"/>
  <c r="N23" i="5"/>
  <c r="N91" i="5"/>
  <c r="N16" i="5"/>
  <c r="N128" i="5"/>
  <c r="N253" i="5"/>
  <c r="N241" i="5"/>
  <c r="N56" i="5"/>
  <c r="N59" i="5"/>
  <c r="N282" i="5"/>
  <c r="N232" i="5"/>
  <c r="N244" i="5"/>
  <c r="N96" i="5"/>
  <c r="N133" i="5"/>
  <c r="N84" i="5"/>
  <c r="N74" i="5"/>
  <c r="N212" i="5"/>
  <c r="N268" i="5"/>
  <c r="N189" i="5"/>
  <c r="N66" i="5"/>
  <c r="N308" i="5"/>
  <c r="N319" i="5"/>
  <c r="N251" i="5"/>
  <c r="N45" i="5"/>
  <c r="N22" i="5"/>
  <c r="N233" i="5"/>
  <c r="N27" i="5"/>
  <c r="N98" i="5"/>
  <c r="N104" i="5"/>
  <c r="N79" i="5"/>
  <c r="N113" i="5"/>
  <c r="N44" i="5"/>
  <c r="N322" i="5"/>
  <c r="N301" i="5"/>
  <c r="N122" i="5"/>
  <c r="N182" i="5"/>
  <c r="N90" i="5"/>
  <c r="N179" i="5"/>
  <c r="N83" i="5"/>
  <c r="N153" i="5"/>
  <c r="N245" i="5"/>
  <c r="N92" i="5"/>
  <c r="N256" i="5"/>
  <c r="N311" i="5"/>
  <c r="N64" i="5"/>
  <c r="N159" i="5"/>
  <c r="N68" i="5"/>
  <c r="N307" i="5"/>
  <c r="N13" i="5"/>
  <c r="N216" i="5"/>
  <c r="N28" i="5"/>
  <c r="N260" i="5"/>
  <c r="N249" i="5"/>
  <c r="N15" i="5"/>
  <c r="N286" i="5"/>
  <c r="N193" i="5"/>
  <c r="N243" i="5"/>
  <c r="N39" i="5"/>
  <c r="N246" i="5"/>
  <c r="N57" i="5"/>
  <c r="N185" i="5"/>
  <c r="N221" i="5"/>
  <c r="N52" i="5"/>
  <c r="N42" i="5"/>
  <c r="N250" i="5"/>
  <c r="N101" i="5"/>
  <c r="N257" i="5"/>
  <c r="N26" i="5"/>
  <c r="N31" i="5"/>
  <c r="N176" i="5"/>
  <c r="N168" i="5"/>
  <c r="N291" i="5"/>
  <c r="N304" i="5"/>
  <c r="N290" i="5"/>
  <c r="N283" i="5"/>
  <c r="N105" i="5"/>
  <c r="N183" i="5"/>
  <c r="N76" i="5"/>
  <c r="N24" i="5"/>
  <c r="N317" i="5"/>
  <c r="J28" i="12"/>
  <c r="C11" i="12"/>
  <c r="D26" i="12" s="1"/>
  <c r="N46" i="5"/>
  <c r="N293" i="5"/>
  <c r="N69" i="5"/>
  <c r="N174" i="5"/>
  <c r="N102" i="5"/>
  <c r="N295" i="5"/>
  <c r="N145" i="5"/>
  <c r="N265" i="5"/>
  <c r="N114" i="5"/>
  <c r="N188" i="5"/>
  <c r="N124" i="5"/>
  <c r="N65" i="5"/>
  <c r="N323" i="5"/>
  <c r="N271" i="5"/>
  <c r="N223" i="5"/>
  <c r="N48" i="5"/>
  <c r="N123" i="5"/>
  <c r="N289" i="5"/>
  <c r="N47" i="5"/>
  <c r="N166" i="5"/>
  <c r="N219" i="5"/>
  <c r="N35" i="5"/>
  <c r="N34" i="5"/>
  <c r="N125" i="5"/>
  <c r="N135" i="5"/>
  <c r="N321" i="5"/>
  <c r="N19" i="5"/>
  <c r="N142" i="5"/>
  <c r="N62" i="5"/>
  <c r="N148" i="5"/>
  <c r="N162" i="5"/>
  <c r="N103" i="5"/>
  <c r="N201" i="5"/>
  <c r="N72" i="5"/>
  <c r="N224" i="5"/>
  <c r="N177" i="5"/>
  <c r="N95" i="5"/>
  <c r="N318" i="5"/>
  <c r="N217" i="5"/>
  <c r="N53" i="5"/>
  <c r="N211" i="5"/>
  <c r="N262" i="5"/>
  <c r="N214" i="5"/>
  <c r="N327" i="5"/>
  <c r="N197" i="5"/>
  <c r="N231" i="5"/>
  <c r="N119" i="5"/>
  <c r="N126" i="5"/>
  <c r="N306" i="5"/>
  <c r="N227" i="5"/>
  <c r="N167" i="5"/>
  <c r="N178" i="5"/>
  <c r="N127" i="5"/>
  <c r="N270" i="5"/>
  <c r="N40" i="5"/>
  <c r="N86" i="5"/>
  <c r="N284" i="5"/>
  <c r="N85" i="5"/>
  <c r="N163" i="5"/>
  <c r="N17" i="5"/>
  <c r="N120" i="5"/>
  <c r="N156" i="5"/>
  <c r="N93" i="5"/>
  <c r="N316" i="5"/>
  <c r="N277" i="5"/>
  <c r="N196" i="5"/>
  <c r="N132" i="5"/>
  <c r="N184" i="5"/>
  <c r="N25" i="5"/>
  <c r="N305" i="5"/>
  <c r="N100" i="5"/>
  <c r="N228" i="5"/>
  <c r="N173" i="5"/>
  <c r="N331" i="5"/>
  <c r="N279" i="5"/>
  <c r="N180" i="5"/>
  <c r="N77" i="5"/>
  <c r="N314" i="5"/>
  <c r="N10" i="5"/>
  <c r="N165" i="5"/>
  <c r="N116" i="5"/>
  <c r="N89" i="5"/>
  <c r="N11" i="5"/>
  <c r="N312" i="5"/>
  <c r="N30" i="5"/>
  <c r="N237" i="5"/>
  <c r="N151" i="5"/>
  <c r="N43" i="5"/>
  <c r="N330" i="5"/>
  <c r="N149" i="5"/>
  <c r="N60" i="5"/>
  <c r="N202" i="5"/>
  <c r="N294" i="5"/>
  <c r="N170" i="5"/>
  <c r="N328" i="5"/>
  <c r="N247" i="5"/>
  <c r="N29" i="5"/>
  <c r="N67" i="5"/>
  <c r="N325" i="5"/>
  <c r="N137" i="5"/>
  <c r="N299" i="5"/>
  <c r="N118" i="5"/>
  <c r="K25" i="12"/>
  <c r="L25" i="12"/>
  <c r="J26" i="12"/>
  <c r="N25" i="12"/>
  <c r="J24" i="12"/>
  <c r="N20" i="12"/>
  <c r="N23" i="12"/>
  <c r="N19" i="12"/>
  <c r="M24" i="12"/>
  <c r="M20" i="12"/>
  <c r="M16" i="12"/>
  <c r="L21" i="12"/>
  <c r="L17" i="12"/>
  <c r="K22" i="12"/>
  <c r="K18" i="12"/>
  <c r="J18" i="12"/>
  <c r="J22" i="12"/>
  <c r="N26" i="12"/>
  <c r="N16" i="12"/>
  <c r="M17" i="12"/>
  <c r="L18" i="12"/>
  <c r="K19" i="12"/>
  <c r="J17" i="12"/>
  <c r="N22" i="12"/>
  <c r="N18" i="12"/>
  <c r="M23" i="12"/>
  <c r="M19" i="12"/>
  <c r="L24" i="12"/>
  <c r="L20" i="12"/>
  <c r="L16" i="12"/>
  <c r="K21" i="12"/>
  <c r="K17" i="12"/>
  <c r="J19" i="12"/>
  <c r="J23" i="12"/>
  <c r="M26" i="12"/>
  <c r="N21" i="12"/>
  <c r="N17" i="12"/>
  <c r="M22" i="12"/>
  <c r="M18" i="12"/>
  <c r="L23" i="12"/>
  <c r="L19" i="12"/>
  <c r="K24" i="12"/>
  <c r="K20" i="12"/>
  <c r="K16" i="12"/>
  <c r="J20" i="12"/>
  <c r="L26" i="12"/>
  <c r="K26" i="12"/>
  <c r="N24" i="12"/>
  <c r="M21" i="12"/>
  <c r="L22" i="12"/>
  <c r="K23" i="12"/>
  <c r="J21" i="12"/>
  <c r="J16" i="12"/>
  <c r="F331" i="3"/>
  <c r="M25" i="12" s="1"/>
  <c r="D19" i="12"/>
  <c r="P19" i="12" s="1"/>
  <c r="D23" i="12"/>
  <c r="P23" i="12" s="1"/>
  <c r="D21" i="12"/>
  <c r="P21" i="12" s="1"/>
  <c r="D25" i="12"/>
  <c r="P25" i="12" s="1"/>
  <c r="D20" i="12"/>
  <c r="P20" i="12" s="1"/>
  <c r="D24" i="12"/>
  <c r="P24" i="12" s="1"/>
  <c r="D17" i="12"/>
  <c r="P17" i="12" s="1"/>
  <c r="D18" i="12"/>
  <c r="P18" i="12" s="1"/>
  <c r="D22" i="12"/>
  <c r="P22" i="12" s="1"/>
  <c r="N278" i="5"/>
  <c r="N274" i="5"/>
  <c r="N218" i="5"/>
  <c r="N209" i="5"/>
  <c r="N287" i="5"/>
  <c r="N164" i="5"/>
  <c r="N236" i="5"/>
  <c r="N129" i="5"/>
  <c r="N300" i="5"/>
  <c r="N18" i="5"/>
  <c r="N82" i="5"/>
  <c r="N210" i="5"/>
  <c r="N273" i="5"/>
  <c r="N97" i="5"/>
  <c r="N199" i="5"/>
  <c r="N239" i="5"/>
  <c r="N175" i="5"/>
  <c r="N259" i="5"/>
  <c r="N71" i="5"/>
  <c r="N261" i="5"/>
  <c r="N266" i="5"/>
  <c r="N115" i="5"/>
  <c r="N169" i="5"/>
  <c r="N54" i="5"/>
  <c r="N154" i="5"/>
  <c r="N88" i="5"/>
  <c r="N292" i="5"/>
  <c r="N208" i="5"/>
  <c r="N49" i="5"/>
  <c r="N267" i="5"/>
  <c r="N172" i="5"/>
  <c r="N51" i="5"/>
  <c r="N106" i="5"/>
  <c r="N99" i="5"/>
  <c r="N36" i="5"/>
  <c r="N158" i="5"/>
  <c r="N309" i="5"/>
  <c r="N117" i="5"/>
  <c r="N75" i="5"/>
  <c r="N81" i="5"/>
  <c r="N136" i="5"/>
  <c r="N112" i="5"/>
  <c r="N310" i="5"/>
  <c r="N41" i="5"/>
  <c r="N32" i="5"/>
  <c r="N213" i="5"/>
  <c r="N146" i="5"/>
  <c r="D16" i="12"/>
  <c r="P16" i="12" s="1"/>
  <c r="N200" i="5"/>
  <c r="N252" i="5"/>
  <c r="N281" i="5"/>
  <c r="N38" i="5"/>
  <c r="N234" i="5"/>
  <c r="N235" i="5"/>
  <c r="N131" i="5"/>
  <c r="N206" i="5"/>
  <c r="N160" i="5"/>
  <c r="N108" i="5"/>
  <c r="N264" i="5"/>
  <c r="N111" i="5"/>
  <c r="N320" i="5"/>
  <c r="N297" i="5"/>
  <c r="N215" i="5"/>
  <c r="N157" i="5"/>
  <c r="N222" i="5"/>
  <c r="N285" i="5"/>
  <c r="N280" i="5"/>
  <c r="N192" i="5"/>
  <c r="N33" i="5"/>
  <c r="N161" i="5"/>
  <c r="N58" i="5"/>
  <c r="N242" i="5"/>
  <c r="N138" i="5"/>
  <c r="N70" i="5"/>
  <c r="N275" i="5"/>
  <c r="N14" i="5"/>
  <c r="N20" i="5"/>
  <c r="N63" i="5"/>
  <c r="N225" i="5"/>
  <c r="B22" i="10"/>
  <c r="H331" i="1"/>
  <c r="B16" i="10" s="1"/>
  <c r="B17" i="10"/>
  <c r="H332" i="5"/>
  <c r="B23" i="10"/>
  <c r="B15" i="10" l="1"/>
  <c r="O17" i="12"/>
  <c r="J38" i="12"/>
  <c r="K38" i="12"/>
  <c r="O21" i="12"/>
  <c r="O22" i="12"/>
  <c r="O20" i="12"/>
  <c r="O19" i="12"/>
  <c r="O23" i="12"/>
  <c r="P26" i="12"/>
  <c r="O16" i="12"/>
  <c r="O18" i="12"/>
  <c r="O24" i="12"/>
  <c r="D38" i="12"/>
  <c r="D11" i="12"/>
  <c r="D12" i="12" s="1"/>
  <c r="D27" i="12"/>
  <c r="B21" i="10"/>
  <c r="B24" i="10"/>
  <c r="C331" i="3" l="1"/>
  <c r="J25" i="12" s="1"/>
  <c r="H331" i="3"/>
  <c r="O25" i="12" s="1"/>
  <c r="O26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Department of Management</author>
  </authors>
  <commentList>
    <comment ref="B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Select a School District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<sst xmlns="http://schemas.openxmlformats.org/spreadsheetml/2006/main" count="4484" uniqueCount="1168">
  <si>
    <t>AGWSR</t>
  </si>
  <si>
    <t>BCLUW</t>
  </si>
  <si>
    <t>CAM</t>
  </si>
  <si>
    <t>CAL</t>
  </si>
  <si>
    <t>GMG</t>
  </si>
  <si>
    <t>HLV</t>
  </si>
  <si>
    <t>PCM</t>
  </si>
  <si>
    <t>A</t>
  </si>
  <si>
    <t>B</t>
  </si>
  <si>
    <t xml:space="preserve">C </t>
  </si>
  <si>
    <t>D</t>
  </si>
  <si>
    <t>C</t>
  </si>
  <si>
    <t xml:space="preserve">REGULAR STATE PAYMENT </t>
  </si>
  <si>
    <t>F</t>
  </si>
  <si>
    <t>G</t>
  </si>
  <si>
    <t>H</t>
  </si>
  <si>
    <t>(A+B+C+D+E+F+G)</t>
  </si>
  <si>
    <t>Includes Preschool, Teacher Salary, Early Intervention, Professional Development and Teacher Leadership</t>
  </si>
  <si>
    <t>AHSTW</t>
  </si>
  <si>
    <t>0009</t>
  </si>
  <si>
    <t>0018</t>
  </si>
  <si>
    <t>0027</t>
  </si>
  <si>
    <t>0063</t>
  </si>
  <si>
    <t>0072</t>
  </si>
  <si>
    <t>0081</t>
  </si>
  <si>
    <t>0099</t>
  </si>
  <si>
    <t>0108</t>
  </si>
  <si>
    <t>0126</t>
  </si>
  <si>
    <t>0135</t>
  </si>
  <si>
    <t>0153</t>
  </si>
  <si>
    <t>0171</t>
  </si>
  <si>
    <t>0225</t>
  </si>
  <si>
    <t>0234</t>
  </si>
  <si>
    <t>0243</t>
  </si>
  <si>
    <t>0261</t>
  </si>
  <si>
    <t>0279</t>
  </si>
  <si>
    <t>0333</t>
  </si>
  <si>
    <t>0355</t>
  </si>
  <si>
    <t>0387</t>
  </si>
  <si>
    <t>0414</t>
  </si>
  <si>
    <t>0423</t>
  </si>
  <si>
    <t>0441</t>
  </si>
  <si>
    <t>0472</t>
  </si>
  <si>
    <t>0504</t>
  </si>
  <si>
    <t>0513</t>
  </si>
  <si>
    <t>0540</t>
  </si>
  <si>
    <t>0549</t>
  </si>
  <si>
    <t>0576</t>
  </si>
  <si>
    <t>0585</t>
  </si>
  <si>
    <t>0594</t>
  </si>
  <si>
    <t>0603</t>
  </si>
  <si>
    <t>0609</t>
  </si>
  <si>
    <t>0621</t>
  </si>
  <si>
    <t>0657</t>
  </si>
  <si>
    <t>0720</t>
  </si>
  <si>
    <t>0729</t>
  </si>
  <si>
    <t>0747</t>
  </si>
  <si>
    <t>0819</t>
  </si>
  <si>
    <t>0846</t>
  </si>
  <si>
    <t>0873</t>
  </si>
  <si>
    <t>0882</t>
  </si>
  <si>
    <t>0914</t>
  </si>
  <si>
    <t>0916</t>
  </si>
  <si>
    <t>0918</t>
  </si>
  <si>
    <t>0936</t>
  </si>
  <si>
    <t>0977</t>
  </si>
  <si>
    <t>0981</t>
  </si>
  <si>
    <t>0999</t>
  </si>
  <si>
    <t>1044</t>
  </si>
  <si>
    <t>1053</t>
  </si>
  <si>
    <t>1062</t>
  </si>
  <si>
    <t>1071</t>
  </si>
  <si>
    <t>1079</t>
  </si>
  <si>
    <t>1080</t>
  </si>
  <si>
    <t>1082</t>
  </si>
  <si>
    <t>1089</t>
  </si>
  <si>
    <t>1093</t>
  </si>
  <si>
    <t>1095</t>
  </si>
  <si>
    <t>1107</t>
  </si>
  <si>
    <t>1116</t>
  </si>
  <si>
    <t>1134</t>
  </si>
  <si>
    <t>1152</t>
  </si>
  <si>
    <t>1197</t>
  </si>
  <si>
    <t>1206</t>
  </si>
  <si>
    <t>1211</t>
  </si>
  <si>
    <t>1215</t>
  </si>
  <si>
    <t>1218</t>
  </si>
  <si>
    <t>1221</t>
  </si>
  <si>
    <t>1233</t>
  </si>
  <si>
    <t>1278</t>
  </si>
  <si>
    <t>1332</t>
  </si>
  <si>
    <t>1337</t>
  </si>
  <si>
    <t>1350</t>
  </si>
  <si>
    <t>1359</t>
  </si>
  <si>
    <t>1368</t>
  </si>
  <si>
    <t>1413</t>
  </si>
  <si>
    <t>1431</t>
  </si>
  <si>
    <t>1476</t>
  </si>
  <si>
    <t>1503</t>
  </si>
  <si>
    <t>1576</t>
  </si>
  <si>
    <t>1602</t>
  </si>
  <si>
    <t>1611</t>
  </si>
  <si>
    <t>1619</t>
  </si>
  <si>
    <t>1638</t>
  </si>
  <si>
    <t>1675</t>
  </si>
  <si>
    <t>1701</t>
  </si>
  <si>
    <t>1719</t>
  </si>
  <si>
    <t>1737</t>
  </si>
  <si>
    <t>1782</t>
  </si>
  <si>
    <t>1791</t>
  </si>
  <si>
    <t>1863</t>
  </si>
  <si>
    <t>1908</t>
  </si>
  <si>
    <t>1917</t>
  </si>
  <si>
    <t>1926</t>
  </si>
  <si>
    <t>1935</t>
  </si>
  <si>
    <t>1944</t>
  </si>
  <si>
    <t>1953</t>
  </si>
  <si>
    <t>1963</t>
  </si>
  <si>
    <t>1965</t>
  </si>
  <si>
    <t>1970</t>
  </si>
  <si>
    <t>1972</t>
  </si>
  <si>
    <t>1975</t>
  </si>
  <si>
    <t>1989</t>
  </si>
  <si>
    <t>2007</t>
  </si>
  <si>
    <t>2088</t>
  </si>
  <si>
    <t>2097</t>
  </si>
  <si>
    <t>2113</t>
  </si>
  <si>
    <t>2124</t>
  </si>
  <si>
    <t>2151</t>
  </si>
  <si>
    <t>2169</t>
  </si>
  <si>
    <t>2295</t>
  </si>
  <si>
    <t>2313</t>
  </si>
  <si>
    <t>2322</t>
  </si>
  <si>
    <t>2369</t>
  </si>
  <si>
    <t>2376</t>
  </si>
  <si>
    <t>2403</t>
  </si>
  <si>
    <t>2457</t>
  </si>
  <si>
    <t>2466</t>
  </si>
  <si>
    <t>2493</t>
  </si>
  <si>
    <t>2502</t>
  </si>
  <si>
    <t>2511</t>
  </si>
  <si>
    <t>2520</t>
  </si>
  <si>
    <t>2556</t>
  </si>
  <si>
    <t>2673</t>
  </si>
  <si>
    <t>2682</t>
  </si>
  <si>
    <t>2709</t>
  </si>
  <si>
    <t>2718</t>
  </si>
  <si>
    <t>2727</t>
  </si>
  <si>
    <t>2754</t>
  </si>
  <si>
    <t>2763</t>
  </si>
  <si>
    <t>2766</t>
  </si>
  <si>
    <t>2772</t>
  </si>
  <si>
    <t>2781</t>
  </si>
  <si>
    <t>2826</t>
  </si>
  <si>
    <t>2834</t>
  </si>
  <si>
    <t>2846</t>
  </si>
  <si>
    <t>2862</t>
  </si>
  <si>
    <t>2977</t>
  </si>
  <si>
    <t>2988</t>
  </si>
  <si>
    <t>3029</t>
  </si>
  <si>
    <t>3033</t>
  </si>
  <si>
    <t>3042</t>
  </si>
  <si>
    <t>3060</t>
  </si>
  <si>
    <t>3105</t>
  </si>
  <si>
    <t>3114</t>
  </si>
  <si>
    <t>3119</t>
  </si>
  <si>
    <t>3141</t>
  </si>
  <si>
    <t>3150</t>
  </si>
  <si>
    <t>3154</t>
  </si>
  <si>
    <t>3168</t>
  </si>
  <si>
    <t>3186</t>
  </si>
  <si>
    <t>3195</t>
  </si>
  <si>
    <t>3204</t>
  </si>
  <si>
    <t>3231</t>
  </si>
  <si>
    <t>3312</t>
  </si>
  <si>
    <t>3330</t>
  </si>
  <si>
    <t>3348</t>
  </si>
  <si>
    <t>3375</t>
  </si>
  <si>
    <t>3420</t>
  </si>
  <si>
    <t>3465</t>
  </si>
  <si>
    <t>3537</t>
  </si>
  <si>
    <t>3555</t>
  </si>
  <si>
    <t>3582</t>
  </si>
  <si>
    <t>3600</t>
  </si>
  <si>
    <t>3609</t>
  </si>
  <si>
    <t>3645</t>
  </si>
  <si>
    <t>3691</t>
  </si>
  <si>
    <t>3715</t>
  </si>
  <si>
    <t>3744</t>
  </si>
  <si>
    <t>3798</t>
  </si>
  <si>
    <t>3816</t>
  </si>
  <si>
    <t>3841</t>
  </si>
  <si>
    <t>3897</t>
  </si>
  <si>
    <t>3906</t>
  </si>
  <si>
    <t>3942</t>
  </si>
  <si>
    <t>3978</t>
  </si>
  <si>
    <t>4023</t>
  </si>
  <si>
    <t>4033</t>
  </si>
  <si>
    <t>4041</t>
  </si>
  <si>
    <t>4043</t>
  </si>
  <si>
    <t>4068</t>
  </si>
  <si>
    <t>4086</t>
  </si>
  <si>
    <t>4104</t>
  </si>
  <si>
    <t>4122</t>
  </si>
  <si>
    <t>4131</t>
  </si>
  <si>
    <t>4149</t>
  </si>
  <si>
    <t>4203</t>
  </si>
  <si>
    <t>4212</t>
  </si>
  <si>
    <t>4269</t>
  </si>
  <si>
    <t>4271</t>
  </si>
  <si>
    <t>4356</t>
  </si>
  <si>
    <t>4419</t>
  </si>
  <si>
    <t>4437</t>
  </si>
  <si>
    <t>4446</t>
  </si>
  <si>
    <t>4491</t>
  </si>
  <si>
    <t>4505</t>
  </si>
  <si>
    <t>4509</t>
  </si>
  <si>
    <t>4518</t>
  </si>
  <si>
    <t>4527</t>
  </si>
  <si>
    <t>4536</t>
  </si>
  <si>
    <t>4554</t>
  </si>
  <si>
    <t>4572</t>
  </si>
  <si>
    <t>4581</t>
  </si>
  <si>
    <t>4599</t>
  </si>
  <si>
    <t>4617</t>
  </si>
  <si>
    <t>4644</t>
  </si>
  <si>
    <t>4662</t>
  </si>
  <si>
    <t>4689</t>
  </si>
  <si>
    <t>4725</t>
  </si>
  <si>
    <t>4772</t>
  </si>
  <si>
    <t>4773</t>
  </si>
  <si>
    <t>4774</t>
  </si>
  <si>
    <t>4775</t>
  </si>
  <si>
    <t>4776</t>
  </si>
  <si>
    <t>4777</t>
  </si>
  <si>
    <t>4778</t>
  </si>
  <si>
    <t>4779</t>
  </si>
  <si>
    <t>4784</t>
  </si>
  <si>
    <t>4785</t>
  </si>
  <si>
    <t>4787</t>
  </si>
  <si>
    <t>4788</t>
  </si>
  <si>
    <t>4797</t>
  </si>
  <si>
    <t>4824</t>
  </si>
  <si>
    <t>4860</t>
  </si>
  <si>
    <t>4869</t>
  </si>
  <si>
    <t>4878</t>
  </si>
  <si>
    <t>4890</t>
  </si>
  <si>
    <t>4905</t>
  </si>
  <si>
    <t>4978</t>
  </si>
  <si>
    <t>4995</t>
  </si>
  <si>
    <t>5013</t>
  </si>
  <si>
    <t>5049</t>
  </si>
  <si>
    <t>5121</t>
  </si>
  <si>
    <t>5139</t>
  </si>
  <si>
    <t>5157</t>
  </si>
  <si>
    <t>5163</t>
  </si>
  <si>
    <t>5166</t>
  </si>
  <si>
    <t>5184</t>
  </si>
  <si>
    <t>5250</t>
  </si>
  <si>
    <t>5256</t>
  </si>
  <si>
    <t>5283</t>
  </si>
  <si>
    <t>5310</t>
  </si>
  <si>
    <t>5319</t>
  </si>
  <si>
    <t>5323</t>
  </si>
  <si>
    <t>5463</t>
  </si>
  <si>
    <t>5486</t>
  </si>
  <si>
    <t>5508</t>
  </si>
  <si>
    <t>5607</t>
  </si>
  <si>
    <t>5643</t>
  </si>
  <si>
    <t>5697</t>
  </si>
  <si>
    <t>5724</t>
  </si>
  <si>
    <t>5751</t>
  </si>
  <si>
    <t>5805</t>
  </si>
  <si>
    <t>5823</t>
  </si>
  <si>
    <t>5832</t>
  </si>
  <si>
    <t>5877</t>
  </si>
  <si>
    <t>5895</t>
  </si>
  <si>
    <t>5922</t>
  </si>
  <si>
    <t>5949</t>
  </si>
  <si>
    <t>5976</t>
  </si>
  <si>
    <t>5994</t>
  </si>
  <si>
    <t>6003</t>
  </si>
  <si>
    <t>6012</t>
  </si>
  <si>
    <t>6030</t>
  </si>
  <si>
    <t>6039</t>
  </si>
  <si>
    <t>6048</t>
  </si>
  <si>
    <t>6091</t>
  </si>
  <si>
    <t>6093</t>
  </si>
  <si>
    <t>6094</t>
  </si>
  <si>
    <t>6095</t>
  </si>
  <si>
    <t>6096</t>
  </si>
  <si>
    <t>6097</t>
  </si>
  <si>
    <t>6098</t>
  </si>
  <si>
    <t>6100</t>
  </si>
  <si>
    <t>6101</t>
  </si>
  <si>
    <t>6102</t>
  </si>
  <si>
    <t>6120</t>
  </si>
  <si>
    <t>6138</t>
  </si>
  <si>
    <t>6165</t>
  </si>
  <si>
    <t>6175</t>
  </si>
  <si>
    <t>6219</t>
  </si>
  <si>
    <t>6246</t>
  </si>
  <si>
    <t>6264</t>
  </si>
  <si>
    <t>6273</t>
  </si>
  <si>
    <t>6408</t>
  </si>
  <si>
    <t>6453</t>
  </si>
  <si>
    <t>6460</t>
  </si>
  <si>
    <t>6462</t>
  </si>
  <si>
    <t>6471</t>
  </si>
  <si>
    <t>6509</t>
  </si>
  <si>
    <t>6512</t>
  </si>
  <si>
    <t>6516</t>
  </si>
  <si>
    <t>6534</t>
  </si>
  <si>
    <t>6561</t>
  </si>
  <si>
    <t>6579</t>
  </si>
  <si>
    <t>6591</t>
  </si>
  <si>
    <t>6592</t>
  </si>
  <si>
    <t>6615</t>
  </si>
  <si>
    <t>6651</t>
  </si>
  <si>
    <t>6660</t>
  </si>
  <si>
    <t>6700</t>
  </si>
  <si>
    <t>6741</t>
  </si>
  <si>
    <t>6759</t>
  </si>
  <si>
    <t>6762</t>
  </si>
  <si>
    <t>6768</t>
  </si>
  <si>
    <t>6795</t>
  </si>
  <si>
    <t>6822</t>
  </si>
  <si>
    <t>6840</t>
  </si>
  <si>
    <t>6854</t>
  </si>
  <si>
    <t>6867</t>
  </si>
  <si>
    <t>6921</t>
  </si>
  <si>
    <t>6930</t>
  </si>
  <si>
    <t>6937</t>
  </si>
  <si>
    <t>6943</t>
  </si>
  <si>
    <t>6950</t>
  </si>
  <si>
    <t>6957</t>
  </si>
  <si>
    <t>6961</t>
  </si>
  <si>
    <t>6969</t>
  </si>
  <si>
    <t>6975</t>
  </si>
  <si>
    <t>6983</t>
  </si>
  <si>
    <t>6985</t>
  </si>
  <si>
    <t>6987</t>
  </si>
  <si>
    <t>6990</t>
  </si>
  <si>
    <t>6992</t>
  </si>
  <si>
    <t>7002</t>
  </si>
  <si>
    <t>7029</t>
  </si>
  <si>
    <t>7038</t>
  </si>
  <si>
    <t>7047</t>
  </si>
  <si>
    <t>7056</t>
  </si>
  <si>
    <t>7092</t>
  </si>
  <si>
    <t>7098</t>
  </si>
  <si>
    <t>7110</t>
  </si>
  <si>
    <t>FiscalYear</t>
  </si>
  <si>
    <t>DistrictNumber</t>
  </si>
  <si>
    <t>Label</t>
  </si>
  <si>
    <t>Original Budget (Aid and Levy 16.12)</t>
  </si>
  <si>
    <t>Preschool State Admin Reduction</t>
  </si>
  <si>
    <t>Juvenile Home Reduction (Starts in January)</t>
  </si>
  <si>
    <t>Spec Ed Excess Pos Balance Reduction</t>
  </si>
  <si>
    <t>Regular State Payment</t>
  </si>
  <si>
    <t>Preschool State Aid (Code 3117)</t>
  </si>
  <si>
    <t>Early Intervention (Code 3216)</t>
  </si>
  <si>
    <t>Professional Development (Code 3376)</t>
  </si>
  <si>
    <t>Teacher Leadership (Code 3116)</t>
  </si>
  <si>
    <t>Pay 1 State Foundation Aid (Code 3111)</t>
  </si>
  <si>
    <t>Pay 2 State Foundation Aid (Code 3111)</t>
  </si>
  <si>
    <t>Pay 3 State Foundation Aid (Code 3111)</t>
  </si>
  <si>
    <t>Pay 1 Regular State Payment Budget</t>
  </si>
  <si>
    <t>Pay 2 Regular State Payment Budget</t>
  </si>
  <si>
    <t>Pay 3 Regular State Payment Budget</t>
  </si>
  <si>
    <t>September Payment</t>
  </si>
  <si>
    <t>October Payment</t>
  </si>
  <si>
    <t>November Payment</t>
  </si>
  <si>
    <t>December Payment</t>
  </si>
  <si>
    <t>January Payment</t>
  </si>
  <si>
    <t>February Payment</t>
  </si>
  <si>
    <t>March Payment</t>
  </si>
  <si>
    <t>April Payment</t>
  </si>
  <si>
    <t>May Payment</t>
  </si>
  <si>
    <t>June Payment</t>
  </si>
  <si>
    <t>Adair-Casey</t>
  </si>
  <si>
    <t>Adel-Desoto-Minburn</t>
  </si>
  <si>
    <t>Akron-Westfield</t>
  </si>
  <si>
    <t>Albert City-Truesdale</t>
  </si>
  <si>
    <t>Albia</t>
  </si>
  <si>
    <t>Alburnett</t>
  </si>
  <si>
    <t>Alden</t>
  </si>
  <si>
    <t>Algona</t>
  </si>
  <si>
    <t>Allamakee</t>
  </si>
  <si>
    <t>North Butler</t>
  </si>
  <si>
    <t>Ames</t>
  </si>
  <si>
    <t>Anamosa</t>
  </si>
  <si>
    <t>Andrew</t>
  </si>
  <si>
    <t>Ankeny</t>
  </si>
  <si>
    <t>Aplington-Parkersburg</t>
  </si>
  <si>
    <t>North Union</t>
  </si>
  <si>
    <t>Ar-We-Va</t>
  </si>
  <si>
    <t>Atlantic</t>
  </si>
  <si>
    <t>Audubon</t>
  </si>
  <si>
    <t>Ballard</t>
  </si>
  <si>
    <t>Baxter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</si>
  <si>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</si>
  <si>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</si>
  <si>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</si>
  <si>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</si>
  <si>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</si>
  <si>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</si>
  <si>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</si>
  <si>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Eddyville-Blakesburg-Fremont</t>
  </si>
  <si>
    <t>Bondurant-Farrar</t>
  </si>
  <si>
    <t>Boone</t>
  </si>
  <si>
    <t>Boyden-Hull</t>
  </si>
  <si>
    <t>West Hancock</t>
  </si>
  <si>
    <t>Brooklyn-Guernsey-Malcom</t>
  </si>
  <si>
    <t>North Iowa</t>
  </si>
  <si>
    <t>Burlington</t>
  </si>
  <si>
    <t>Calamus-Wheatland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</si>
  <si>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</si>
  <si>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</si>
  <si>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</si>
  <si>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</si>
  <si>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</si>
  <si>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</si>
  <si>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</si>
  <si>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</si>
  <si>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 Lee</t>
  </si>
  <si>
    <t>Central Clayton</t>
  </si>
  <si>
    <t>Central De Witt</t>
  </si>
  <si>
    <t>Central City</t>
  </si>
  <si>
    <t>Central Decatur</t>
  </si>
  <si>
    <t>Central Lyon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</si>
  <si>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</si>
  <si>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</si>
  <si>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</si>
  <si>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</si>
  <si>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</si>
  <si>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</si>
  <si>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</si>
  <si>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</si>
  <si>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</si>
  <si>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Clear Creek-Amana</t>
  </si>
  <si>
    <t>Clear Lake</t>
  </si>
  <si>
    <t>Clinton</t>
  </si>
  <si>
    <t>Colfax-Mingo</t>
  </si>
  <si>
    <t>College Community</t>
  </si>
  <si>
    <t>Collins-Maxwell</t>
  </si>
  <si>
    <t>Colo-Nesco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</si>
  <si>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</si>
  <si>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</si>
  <si>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</si>
  <si>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</si>
  <si>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</si>
  <si>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</si>
  <si>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</si>
  <si>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</si>
  <si>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</si>
  <si>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Decorah</t>
  </si>
  <si>
    <t>Delwood</t>
  </si>
  <si>
    <t>Denison</t>
  </si>
  <si>
    <t>Denver</t>
  </si>
  <si>
    <t>Des Moines</t>
  </si>
  <si>
    <t>Diagonal</t>
  </si>
  <si>
    <t>Dike-New Hartford</t>
  </si>
  <si>
    <t>Dubuque</t>
  </si>
  <si>
    <t>Dunkerton</t>
  </si>
  <si>
    <t>Boyer Valley</t>
  </si>
  <si>
    <t>Durant</t>
  </si>
  <si>
    <t>Union</t>
  </si>
  <si>
    <t>Eagle Grove</t>
  </si>
  <si>
    <t>Earlham</t>
  </si>
  <si>
    <t>East Buchanan</t>
  </si>
  <si>
    <t>Easton Valley</t>
  </si>
  <si>
    <t>East Union</t>
  </si>
  <si>
    <t>Eastern Allamakee</t>
  </si>
  <si>
    <t>River Valley</t>
  </si>
  <si>
    <t>Edgewood-Colesburg</t>
  </si>
  <si>
    <t>Eldora-New Providence</t>
  </si>
  <si>
    <t>Emmetsburg</t>
  </si>
  <si>
    <t>English Valleys</t>
  </si>
  <si>
    <t>Essex</t>
  </si>
  <si>
    <t>Estherville-Lincoln Central</t>
  </si>
  <si>
    <t>Exira-Elk Horn-Kimballton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</si>
  <si>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</si>
  <si>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</si>
  <si>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</si>
  <si>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</si>
  <si>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</si>
  <si>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</si>
  <si>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</si>
  <si>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George-Little Rock</t>
  </si>
  <si>
    <t>Gilbert</t>
  </si>
  <si>
    <t>Gilmore City-Bradgate</t>
  </si>
  <si>
    <t>Gladbrook-Reinbeck</t>
  </si>
  <si>
    <t>Glenwood</t>
  </si>
  <si>
    <t>Glidden-Ralston</t>
  </si>
  <si>
    <t>Graettinger-Terril</t>
  </si>
  <si>
    <t>Nodaway Valley</t>
  </si>
  <si>
    <t>Grinnell-Newburg</t>
  </si>
  <si>
    <t>Griswold</t>
  </si>
  <si>
    <t>Grundy Center</t>
  </si>
  <si>
    <t>Guthrie Center</t>
  </si>
  <si>
    <t>Clayton Ridge</t>
  </si>
  <si>
    <t>Hamburg</t>
  </si>
  <si>
    <t>Hampton-Dumont</t>
  </si>
  <si>
    <t>Harlan</t>
  </si>
  <si>
    <t>Harris-Lake Park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</si>
  <si>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</si>
  <si>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</si>
  <si>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</si>
  <si>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</si>
  <si>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</si>
  <si>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</si>
  <si>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</si>
  <si>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Independence</t>
  </si>
  <si>
    <t>Indianola</t>
  </si>
  <si>
    <t>Interstate 35</t>
  </si>
  <si>
    <t>Iowa City</t>
  </si>
  <si>
    <t>Iowa Falls</t>
  </si>
  <si>
    <t>Iowa Valley</t>
  </si>
  <si>
    <t>IKM-Manning</t>
  </si>
  <si>
    <t>Janesville</t>
  </si>
  <si>
    <t>Greene County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</si>
  <si>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</si>
  <si>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</si>
  <si>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</si>
  <si>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</si>
  <si>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</si>
  <si>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</si>
  <si>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</si>
  <si>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</si>
  <si>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</si>
  <si>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</si>
  <si>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East Marshall</t>
  </si>
  <si>
    <t>Le Mars</t>
  </si>
  <si>
    <t>Lenox</t>
  </si>
  <si>
    <t>Lewis Central</t>
  </si>
  <si>
    <t>North Cedar</t>
  </si>
  <si>
    <t>Linn-Mar</t>
  </si>
  <si>
    <t>Lisbon</t>
  </si>
  <si>
    <t>Logan-Magnolia</t>
  </si>
  <si>
    <t>Lone Tree</t>
  </si>
  <si>
    <t>Louisa-Muscatine</t>
  </si>
  <si>
    <t>Lu Verne</t>
  </si>
  <si>
    <t>Lynnville-Sully</t>
  </si>
  <si>
    <t>Madrid</t>
  </si>
  <si>
    <t>East Mills</t>
  </si>
  <si>
    <t>Manson-Northwest Webster</t>
  </si>
  <si>
    <t>Maple Valley-Anthon Oto</t>
  </si>
  <si>
    <t>Maquoketa</t>
  </si>
  <si>
    <t>Maquoketa Valley</t>
  </si>
  <si>
    <t>Marcus-Meriden Cleghorn</t>
  </si>
  <si>
    <t>Marion</t>
  </si>
  <si>
    <t>Marshalltown</t>
  </si>
  <si>
    <t>Martensdale-St Marys</t>
  </si>
  <si>
    <t>Mason City</t>
  </si>
  <si>
    <t>Moc-Floyd Valley</t>
  </si>
  <si>
    <t>Mediapolis</t>
  </si>
  <si>
    <t>Melcher-Dallas</t>
  </si>
  <si>
    <t>Midland</t>
  </si>
  <si>
    <t>Mid-Prairie</t>
  </si>
  <si>
    <t>Missouri Valley</t>
  </si>
  <si>
    <t>MFL Mar Mac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</si>
  <si>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</si>
  <si>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</si>
  <si>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</si>
  <si>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</si>
  <si>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</si>
  <si>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</si>
  <si>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</si>
  <si>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</si>
  <si>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</si>
  <si>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</si>
  <si>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</si>
  <si>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</si>
  <si>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</si>
  <si>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Newell-Fonda</t>
  </si>
  <si>
    <t>New Hampton</t>
  </si>
  <si>
    <t>New London</t>
  </si>
  <si>
    <t>Newton</t>
  </si>
  <si>
    <t>Central Springs</t>
  </si>
  <si>
    <t>Northeast</t>
  </si>
  <si>
    <t>North Mahaska</t>
  </si>
  <si>
    <t>North Linn</t>
  </si>
  <si>
    <t>North Kossuth</t>
  </si>
  <si>
    <t>North Polk</t>
  </si>
  <si>
    <t>North Scott</t>
  </si>
  <si>
    <t>North Tama</t>
  </si>
  <si>
    <t>Northwood-Kensett</t>
  </si>
  <si>
    <t>Norwalk</t>
  </si>
  <si>
    <t>Riverside</t>
  </si>
  <si>
    <t>Oelwein</t>
  </si>
  <si>
    <t>Ogden</t>
  </si>
  <si>
    <t>Okoboji</t>
  </si>
  <si>
    <t>Olin</t>
  </si>
  <si>
    <t>Orient-Macksburg</t>
  </si>
  <si>
    <t>Osage</t>
  </si>
  <si>
    <t>Oskaloosa</t>
  </si>
  <si>
    <t>Ottumwa</t>
  </si>
  <si>
    <t>Panorama</t>
  </si>
  <si>
    <t>Paton-Churdan</t>
  </si>
  <si>
    <t>South O'Brien</t>
  </si>
  <si>
    <t>Pekin</t>
  </si>
  <si>
    <t>Pella</t>
  </si>
  <si>
    <t>Perry</t>
  </si>
  <si>
    <t>Pleasant Valley</t>
  </si>
  <si>
    <t>Pleasantville</t>
  </si>
  <si>
    <t>Pocahontas Area</t>
  </si>
  <si>
    <t>Postville</t>
  </si>
  <si>
    <t>Prairie Valley</t>
  </si>
  <si>
    <t>Red Oak</t>
  </si>
  <si>
    <t>Remsen-Union</t>
  </si>
  <si>
    <t>Riceville</t>
  </si>
  <si>
    <t>Rock Valley</t>
  </si>
  <si>
    <t>Roland-Story</t>
  </si>
  <si>
    <t>Rudd-Rockford-Marble Rock</t>
  </si>
  <si>
    <t>Ruthven-Ayrshire</t>
  </si>
  <si>
    <t>St Ansgar</t>
  </si>
  <si>
    <t>Saydel</t>
  </si>
  <si>
    <t>Schaller-Crestland</t>
  </si>
  <si>
    <t>Schleswig</t>
  </si>
  <si>
    <t>Sergeant Bluff-Luton</t>
  </si>
  <si>
    <t>Seymour</t>
  </si>
  <si>
    <t>West Fork</t>
  </si>
  <si>
    <t>Sheldon</t>
  </si>
  <si>
    <t>Shenandoah</t>
  </si>
  <si>
    <t>Sibley-Ocheyedan</t>
  </si>
  <si>
    <t>Sidney</t>
  </si>
  <si>
    <t>Sigourney</t>
  </si>
  <si>
    <t>Sioux Center</t>
  </si>
  <si>
    <t>Sioux City</t>
  </si>
  <si>
    <t>Sioux Central</t>
  </si>
  <si>
    <t>South Central Calhoun</t>
  </si>
  <si>
    <t>Solon</t>
  </si>
  <si>
    <t>Southeast Warren</t>
  </si>
  <si>
    <t>South Hamilton</t>
  </si>
  <si>
    <t>Southeast Webster-Grand</t>
  </si>
  <si>
    <t>South Page</t>
  </si>
  <si>
    <t>South Tama</t>
  </si>
  <si>
    <t>South Winneshiek</t>
  </si>
  <si>
    <t>Southeast Polk</t>
  </si>
  <si>
    <t>Spencer</t>
  </si>
  <si>
    <t>Spirit Lake</t>
  </si>
  <si>
    <t>Springville</t>
  </si>
  <si>
    <t>Stanton</t>
  </si>
  <si>
    <t>Starmont</t>
  </si>
  <si>
    <t>Storm Lake</t>
  </si>
  <si>
    <t>Stratford</t>
  </si>
  <si>
    <t>West Central Valley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</si>
  <si>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</si>
  <si>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</si>
  <si>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</si>
  <si>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</si>
  <si>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</si>
  <si>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</si>
  <si>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</si>
  <si>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</si>
  <si>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</si>
  <si>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</si>
  <si>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United</t>
  </si>
  <si>
    <t>Urbandale</t>
  </si>
  <si>
    <t>Van Meter</t>
  </si>
  <si>
    <t>Villisca</t>
  </si>
  <si>
    <t>Vinton-Shellsburg</t>
  </si>
  <si>
    <t>Waco</t>
  </si>
  <si>
    <t>East Sac County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</si>
  <si>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</si>
  <si>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</si>
  <si>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</si>
  <si>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</si>
  <si>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</si>
  <si>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</si>
  <si>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</si>
  <si>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</si>
  <si>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</si>
  <si>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</si>
  <si>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</t>
  </si>
  <si>
    <t>West Central</t>
  </si>
  <si>
    <t>West Delaware Co</t>
  </si>
  <si>
    <t>West Des Moines</t>
  </si>
  <si>
    <t>Western Dubuque Co</t>
  </si>
  <si>
    <t>West Harrison</t>
  </si>
  <si>
    <t>West Liberty</t>
  </si>
  <si>
    <t>West Lyon</t>
  </si>
  <si>
    <t>West Marshall</t>
  </si>
  <si>
    <t>West Monona</t>
  </si>
  <si>
    <t>West Sioux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</si>
  <si>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</si>
  <si>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</si>
  <si>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</si>
  <si>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</si>
  <si>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</si>
  <si>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</si>
  <si>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</si>
  <si>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</si>
  <si>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</si>
  <si>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6536</t>
  </si>
  <si>
    <t>1968</t>
  </si>
  <si>
    <t>5510</t>
  </si>
  <si>
    <t>6099</t>
  </si>
  <si>
    <t>5160</t>
  </si>
  <si>
    <t>5325</t>
  </si>
  <si>
    <t>6035</t>
  </si>
  <si>
    <t>Fiscal Year</t>
  </si>
  <si>
    <t>Original Budget 
(Aid and Levy 16.12)</t>
  </si>
  <si>
    <t>Preschool State 
Admin Reduction</t>
  </si>
  <si>
    <t>Juvenile Home 
Reduction 
(Starts in January)</t>
  </si>
  <si>
    <t>Spec Ed Excess Pos 
Balance Reduction
(Starts in March)</t>
  </si>
  <si>
    <t>Teacher Salary (Code 3204)</t>
  </si>
  <si>
    <t>Payment Month</t>
  </si>
  <si>
    <t>September</t>
  </si>
  <si>
    <t>Pay Type - Regular State Payment Budget</t>
  </si>
  <si>
    <t>Pay Type - State Foundation Aid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</si>
  <si>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</si>
  <si>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</si>
  <si>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</si>
  <si>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</si>
  <si>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</si>
  <si>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</si>
  <si>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</si>
  <si>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</si>
  <si>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</si>
  <si>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Pick List for Payment Month</t>
  </si>
  <si>
    <t>Pay 1</t>
  </si>
  <si>
    <t>Pay 2</t>
  </si>
  <si>
    <t>Pay 3</t>
  </si>
  <si>
    <t>Pay 4</t>
  </si>
  <si>
    <t>Payment</t>
  </si>
  <si>
    <t>Paid Thru</t>
  </si>
  <si>
    <t>Paid Thru September</t>
  </si>
  <si>
    <t>Paid Thru October</t>
  </si>
  <si>
    <t>Paid Thru November</t>
  </si>
  <si>
    <t>Paid Thru December</t>
  </si>
  <si>
    <t>Paid Thru January</t>
  </si>
  <si>
    <t>Paid Thru February</t>
  </si>
  <si>
    <t>Paid Thru March</t>
  </si>
  <si>
    <t>Paid Thru April</t>
  </si>
  <si>
    <t>Paid Thru May</t>
  </si>
  <si>
    <t>Paid Thru June</t>
  </si>
  <si>
    <t>Checks</t>
  </si>
  <si>
    <t>Budget minus all reductions</t>
  </si>
  <si>
    <t>Should Equal zero</t>
  </si>
  <si>
    <t>Budget by source minus Budget Total</t>
  </si>
  <si>
    <t>Budget by source minus Individual comp.</t>
  </si>
  <si>
    <t>Payment Total Vs. Payment Source</t>
  </si>
  <si>
    <t>Should = zero</t>
  </si>
  <si>
    <t>Payment by Source minus Payment total</t>
  </si>
  <si>
    <t>Amount</t>
  </si>
  <si>
    <t>Remaining</t>
  </si>
  <si>
    <t>Paste Here</t>
  </si>
  <si>
    <t>Change DE Number to DoM Number</t>
  </si>
  <si>
    <t>Should Equal 0</t>
  </si>
  <si>
    <t>DE Payment vs. This Worksheet</t>
  </si>
  <si>
    <t>Check against DE File - SAS</t>
  </si>
  <si>
    <t>Paste in new data everytime a payment changes to  get juvenile home and special ed added in.</t>
  </si>
  <si>
    <t>Teacher Leadership 
(Code 3116)</t>
  </si>
  <si>
    <t>Preschool State Aid 
(Code 3117)</t>
  </si>
  <si>
    <t>State Foundation Aid 
(Code 3111)</t>
  </si>
  <si>
    <t>Paid totals Paid though Pay 1</t>
  </si>
  <si>
    <t>Paid totals Paid though Pay 2</t>
  </si>
  <si>
    <t>Paid totals Paid though Pay 3</t>
  </si>
  <si>
    <t>Difference</t>
  </si>
  <si>
    <t>Paid Though equals payment times number of Payments</t>
  </si>
  <si>
    <t>Sum of Differences equal Zero</t>
  </si>
  <si>
    <t xml:space="preserve">Payment by Source Sum </t>
  </si>
  <si>
    <t>Budget Total minus Paid through + Amount Remaining</t>
  </si>
  <si>
    <t>Must change payment totals based on month</t>
  </si>
  <si>
    <t>Payment in Series</t>
  </si>
  <si>
    <t>Have to change this reference of the calculation in Payyment by source when payment changes</t>
  </si>
  <si>
    <t>Change index column when payment changes</t>
  </si>
  <si>
    <t>Paid totals Paid though Pay 4</t>
  </si>
  <si>
    <t>Have to change the Payment Total reference from Column C to Column D when you get to Pay 2, and from Column D to Column E when get to pay 3 and from Column E to Column F when get to pay 4</t>
  </si>
  <si>
    <t>June Trueup to Budget</t>
  </si>
  <si>
    <t>Total Unadjusted State Aid (Aid and Levy line 16.12)</t>
  </si>
  <si>
    <t>Plus or Minus: Adjustments</t>
  </si>
  <si>
    <t xml:space="preserve">  Preschool State Administration Reduction</t>
  </si>
  <si>
    <t xml:space="preserve">  Juvenile Home Reduction</t>
  </si>
  <si>
    <t xml:space="preserve">  Special Ed Positive Balance Reduction</t>
  </si>
  <si>
    <t xml:space="preserve">  Special Ed Deficit State Aid</t>
  </si>
  <si>
    <t xml:space="preserve">Equals: Final State Aid </t>
  </si>
  <si>
    <t>REGULAR</t>
  </si>
  <si>
    <t>STATE AID</t>
  </si>
  <si>
    <t xml:space="preserve">Total State Aid </t>
  </si>
  <si>
    <t>Total Instructional Support State Aid</t>
  </si>
  <si>
    <t xml:space="preserve">Income Surtax </t>
  </si>
  <si>
    <t>Total Income Surtax</t>
  </si>
  <si>
    <t>Add in Electronic Funds Transfer Date</t>
  </si>
  <si>
    <t>https://www.educateiowa.gov/pk-12/school-business-and-finance/financial-management/state-payment-information/state-payment</t>
  </si>
  <si>
    <t>Statewide</t>
  </si>
  <si>
    <t>9999</t>
  </si>
  <si>
    <t>Total</t>
  </si>
  <si>
    <t>State Payments to AEA (AEA Flowthrough)</t>
  </si>
  <si>
    <t>Total Payment</t>
  </si>
  <si>
    <t>VPPEL Surtax Rate</t>
  </si>
  <si>
    <t>General Fund Surtax Rate</t>
  </si>
  <si>
    <t>VPPEL Portion</t>
  </si>
  <si>
    <t>General Fund Portion</t>
  </si>
  <si>
    <t>Add statewide and 9999 to data</t>
  </si>
  <si>
    <t>Dist</t>
  </si>
  <si>
    <t>Alta-Aurelia</t>
  </si>
  <si>
    <t>North Fayette Valley</t>
  </si>
  <si>
    <t>Odebolt Arthur Battle Creek Ida Gr</t>
  </si>
  <si>
    <t xml:space="preserve">Must change the reference in Column K once payment changes - Pay 1 to Pay 2 (Column 3 to Column 4) and Pay 2 to Pay 3 (Column 4 to Column 5) and Pay 3 to Pay 4 (Column 5 to Column 6) </t>
  </si>
  <si>
    <t>NAME</t>
  </si>
  <si>
    <t>Special Education Deficit Payment</t>
  </si>
  <si>
    <t>Van Buren County</t>
  </si>
  <si>
    <t xml:space="preserve">Must change the reference in Column T and Column S once payment changes - Pay 1 to Pay 2 (Column 3 to Column 4) and Pay 2 to Pay 3 (Column 4 to Column 5) and Pay 3 to Pay 4 (Column 5 to Column 6) </t>
  </si>
  <si>
    <t>Line 16.12 from Aid And Levy vs Budget Total</t>
  </si>
  <si>
    <t>Control/Notes</t>
  </si>
  <si>
    <t>Preschool Reduction vs. Budget Total</t>
  </si>
  <si>
    <t>Juvenile Home Reduction vs. Budget Total</t>
  </si>
  <si>
    <t>- Will Never Equal Zero because of rounding but should be within a few dollars</t>
  </si>
  <si>
    <t>Check for Negative Payments</t>
  </si>
  <si>
    <t>Should be positive</t>
  </si>
  <si>
    <t>Special Education Excess - Check in March</t>
  </si>
  <si>
    <t>Odebolt Arthur Battle Creek Ida Grove</t>
  </si>
  <si>
    <t>AEA</t>
  </si>
  <si>
    <t>DistSub1</t>
  </si>
  <si>
    <t>DistSub2</t>
  </si>
  <si>
    <t>11</t>
  </si>
  <si>
    <t/>
  </si>
  <si>
    <t>07</t>
  </si>
  <si>
    <t>13</t>
  </si>
  <si>
    <t>12</t>
  </si>
  <si>
    <t>05</t>
  </si>
  <si>
    <t>15</t>
  </si>
  <si>
    <t>10</t>
  </si>
  <si>
    <t>6417</t>
  </si>
  <si>
    <t>01</t>
  </si>
  <si>
    <t>09</t>
  </si>
  <si>
    <t>1854</t>
  </si>
  <si>
    <t>0216</t>
  </si>
  <si>
    <t>5328</t>
  </si>
  <si>
    <t>4751</t>
  </si>
  <si>
    <t>0270</t>
  </si>
  <si>
    <t>2664</t>
  </si>
  <si>
    <t>June Check - Number of Special Ed Deficit Payments</t>
  </si>
  <si>
    <t>Control is from the DE Payment file or the count of payments</t>
  </si>
  <si>
    <t>Southeast Valley</t>
  </si>
  <si>
    <t>E</t>
  </si>
  <si>
    <t>F = A-B-C-D-E</t>
  </si>
  <si>
    <t>F
Regular 
State Payment</t>
  </si>
  <si>
    <t>Resident Charter School Student Reduction</t>
  </si>
  <si>
    <t>Charter School Reduction vs. Budget Total</t>
  </si>
  <si>
    <t>00090000</t>
  </si>
  <si>
    <t>00180000</t>
  </si>
  <si>
    <t>00270000</t>
  </si>
  <si>
    <t>00630000</t>
  </si>
  <si>
    <t>00720000</t>
  </si>
  <si>
    <t>00810000</t>
  </si>
  <si>
    <t>00990000</t>
  </si>
  <si>
    <t>01080000</t>
  </si>
  <si>
    <t>01260000</t>
  </si>
  <si>
    <t>01350000</t>
  </si>
  <si>
    <t>01530000</t>
  </si>
  <si>
    <t>01710000</t>
  </si>
  <si>
    <t>02250000</t>
  </si>
  <si>
    <t>02340000</t>
  </si>
  <si>
    <t>02430000</t>
  </si>
  <si>
    <t>02610000</t>
  </si>
  <si>
    <t>02790000</t>
  </si>
  <si>
    <t>03330000</t>
  </si>
  <si>
    <t>03550000</t>
  </si>
  <si>
    <t>03870000</t>
  </si>
  <si>
    <t>04140000</t>
  </si>
  <si>
    <t>04410000</t>
  </si>
  <si>
    <t>04720000</t>
  </si>
  <si>
    <t>05130000</t>
  </si>
  <si>
    <t>05400000</t>
  </si>
  <si>
    <t>05490000</t>
  </si>
  <si>
    <t>05760000</t>
  </si>
  <si>
    <t>05850000</t>
  </si>
  <si>
    <t>05940000</t>
  </si>
  <si>
    <t>06030000</t>
  </si>
  <si>
    <t>06090000</t>
  </si>
  <si>
    <t>06210000</t>
  </si>
  <si>
    <t>06570000</t>
  </si>
  <si>
    <t>07200000</t>
  </si>
  <si>
    <t>07290000</t>
  </si>
  <si>
    <t>07470000</t>
  </si>
  <si>
    <t>08190000</t>
  </si>
  <si>
    <t>08460000</t>
  </si>
  <si>
    <t>08730000</t>
  </si>
  <si>
    <t>08820000</t>
  </si>
  <si>
    <t>09140000</t>
  </si>
  <si>
    <t>09160000</t>
  </si>
  <si>
    <t>09180000</t>
  </si>
  <si>
    <t>09360000</t>
  </si>
  <si>
    <t>09770000</t>
  </si>
  <si>
    <t>09810000</t>
  </si>
  <si>
    <t>09990000</t>
  </si>
  <si>
    <t>10440000</t>
  </si>
  <si>
    <t>10530000</t>
  </si>
  <si>
    <t>10620000</t>
  </si>
  <si>
    <t>10710000</t>
  </si>
  <si>
    <t>10790000</t>
  </si>
  <si>
    <t>10800000</t>
  </si>
  <si>
    <t>10820000</t>
  </si>
  <si>
    <t>10890000</t>
  </si>
  <si>
    <t>10930000</t>
  </si>
  <si>
    <t>10950000</t>
  </si>
  <si>
    <t>11070000</t>
  </si>
  <si>
    <t>11160000</t>
  </si>
  <si>
    <t>11340000</t>
  </si>
  <si>
    <t>11520000</t>
  </si>
  <si>
    <t>11970000</t>
  </si>
  <si>
    <t>12060000</t>
  </si>
  <si>
    <t>12110000</t>
  </si>
  <si>
    <t>12150000</t>
  </si>
  <si>
    <t>12180000</t>
  </si>
  <si>
    <t>12210000</t>
  </si>
  <si>
    <t>12330000</t>
  </si>
  <si>
    <t>12780000</t>
  </si>
  <si>
    <t>13320000</t>
  </si>
  <si>
    <t>13370000</t>
  </si>
  <si>
    <t>13500000</t>
  </si>
  <si>
    <t>13590000</t>
  </si>
  <si>
    <t>13680000</t>
  </si>
  <si>
    <t>14130000</t>
  </si>
  <si>
    <t>14310000</t>
  </si>
  <si>
    <t>14760000</t>
  </si>
  <si>
    <t>15030000</t>
  </si>
  <si>
    <t>15760000</t>
  </si>
  <si>
    <t>16020000</t>
  </si>
  <si>
    <t>16110000</t>
  </si>
  <si>
    <t>16190000</t>
  </si>
  <si>
    <t>16380000</t>
  </si>
  <si>
    <t>16750000</t>
  </si>
  <si>
    <t>17010000</t>
  </si>
  <si>
    <t>17190000</t>
  </si>
  <si>
    <t>17370000</t>
  </si>
  <si>
    <t>17820000</t>
  </si>
  <si>
    <t>17910000</t>
  </si>
  <si>
    <t>18630000</t>
  </si>
  <si>
    <t>19080000</t>
  </si>
  <si>
    <t>19170000</t>
  </si>
  <si>
    <t>19260000</t>
  </si>
  <si>
    <t>65360000</t>
  </si>
  <si>
    <t>19440000</t>
  </si>
  <si>
    <t>19530000</t>
  </si>
  <si>
    <t>19630000</t>
  </si>
  <si>
    <t>19650000</t>
  </si>
  <si>
    <t>19700000</t>
  </si>
  <si>
    <t>19720000</t>
  </si>
  <si>
    <t>19750000</t>
  </si>
  <si>
    <t>19890000</t>
  </si>
  <si>
    <t>20070000</t>
  </si>
  <si>
    <t>20880000</t>
  </si>
  <si>
    <t>20970000</t>
  </si>
  <si>
    <t>21130000</t>
  </si>
  <si>
    <t>21240000</t>
  </si>
  <si>
    <t>21510000</t>
  </si>
  <si>
    <t>21690000</t>
  </si>
  <si>
    <t>22950000</t>
  </si>
  <si>
    <t>23130000</t>
  </si>
  <si>
    <t>23220000</t>
  </si>
  <si>
    <t>23690000</t>
  </si>
  <si>
    <t>23760000</t>
  </si>
  <si>
    <t>24030000</t>
  </si>
  <si>
    <t>24570000</t>
  </si>
  <si>
    <t>24660000</t>
  </si>
  <si>
    <t>24930000</t>
  </si>
  <si>
    <t>25020000</t>
  </si>
  <si>
    <t>25110000</t>
  </si>
  <si>
    <t>25200000</t>
  </si>
  <si>
    <t>25560000</t>
  </si>
  <si>
    <t>26730000</t>
  </si>
  <si>
    <t>26820000</t>
  </si>
  <si>
    <t>27090000</t>
  </si>
  <si>
    <t>27180000</t>
  </si>
  <si>
    <t>27270000</t>
  </si>
  <si>
    <t>27540000</t>
  </si>
  <si>
    <t>27630000</t>
  </si>
  <si>
    <t>27660000</t>
  </si>
  <si>
    <t>27720000</t>
  </si>
  <si>
    <t>27810000</t>
  </si>
  <si>
    <t>28260000</t>
  </si>
  <si>
    <t>28460000</t>
  </si>
  <si>
    <t>28620000</t>
  </si>
  <si>
    <t>29770000</t>
  </si>
  <si>
    <t>29880000</t>
  </si>
  <si>
    <t>30290000</t>
  </si>
  <si>
    <t>30330000</t>
  </si>
  <si>
    <t>30420000</t>
  </si>
  <si>
    <t>30600000</t>
  </si>
  <si>
    <t>31050000</t>
  </si>
  <si>
    <t>31140000</t>
  </si>
  <si>
    <t>31190000</t>
  </si>
  <si>
    <t>31410000</t>
  </si>
  <si>
    <t>31500000</t>
  </si>
  <si>
    <t>31540000</t>
  </si>
  <si>
    <t>31680000</t>
  </si>
  <si>
    <t>31860000</t>
  </si>
  <si>
    <t>31950000</t>
  </si>
  <si>
    <t>32040000</t>
  </si>
  <si>
    <t>32310000</t>
  </si>
  <si>
    <t>33120000</t>
  </si>
  <si>
    <t>33300000</t>
  </si>
  <si>
    <t>33480000</t>
  </si>
  <si>
    <t>33750000</t>
  </si>
  <si>
    <t>34200000</t>
  </si>
  <si>
    <t>34650000</t>
  </si>
  <si>
    <t>35370000</t>
  </si>
  <si>
    <t>35550000</t>
  </si>
  <si>
    <t>19680000</t>
  </si>
  <si>
    <t>36000000</t>
  </si>
  <si>
    <t>36090000</t>
  </si>
  <si>
    <t>36450000</t>
  </si>
  <si>
    <t>36910000</t>
  </si>
  <si>
    <t>37150000</t>
  </si>
  <si>
    <t>37440000</t>
  </si>
  <si>
    <t>37980000</t>
  </si>
  <si>
    <t>38160000</t>
  </si>
  <si>
    <t>38410000</t>
  </si>
  <si>
    <t>39060000</t>
  </si>
  <si>
    <t>39420000</t>
  </si>
  <si>
    <t>39780000</t>
  </si>
  <si>
    <t>40230000</t>
  </si>
  <si>
    <t>40330000</t>
  </si>
  <si>
    <t>40410000</t>
  </si>
  <si>
    <t>40430000</t>
  </si>
  <si>
    <t>40680000</t>
  </si>
  <si>
    <t>40860000</t>
  </si>
  <si>
    <t>41040000</t>
  </si>
  <si>
    <t>41220000</t>
  </si>
  <si>
    <t>41310000</t>
  </si>
  <si>
    <t>41490000</t>
  </si>
  <si>
    <t>42030000</t>
  </si>
  <si>
    <t>42120000</t>
  </si>
  <si>
    <t>42690000</t>
  </si>
  <si>
    <t>42710000</t>
  </si>
  <si>
    <t>43560000</t>
  </si>
  <si>
    <t>44190000</t>
  </si>
  <si>
    <t>44370000</t>
  </si>
  <si>
    <t>44460000</t>
  </si>
  <si>
    <t>44910000</t>
  </si>
  <si>
    <t>45050000</t>
  </si>
  <si>
    <t>45090000</t>
  </si>
  <si>
    <t>45180000</t>
  </si>
  <si>
    <t>45270000</t>
  </si>
  <si>
    <t>45360000</t>
  </si>
  <si>
    <t>45540000</t>
  </si>
  <si>
    <t>45720000</t>
  </si>
  <si>
    <t>45810000</t>
  </si>
  <si>
    <t>45990000</t>
  </si>
  <si>
    <t>46170000</t>
  </si>
  <si>
    <t>46440000</t>
  </si>
  <si>
    <t>46620000</t>
  </si>
  <si>
    <t>46890000</t>
  </si>
  <si>
    <t>47250000</t>
  </si>
  <si>
    <t>47720000</t>
  </si>
  <si>
    <t>47730000</t>
  </si>
  <si>
    <t>47740000</t>
  </si>
  <si>
    <t>47760000</t>
  </si>
  <si>
    <t>47770000</t>
  </si>
  <si>
    <t>47780000</t>
  </si>
  <si>
    <t>47790000</t>
  </si>
  <si>
    <t>47840000</t>
  </si>
  <si>
    <t>47850000</t>
  </si>
  <si>
    <t>47880000</t>
  </si>
  <si>
    <t>47970000</t>
  </si>
  <si>
    <t>55100000</t>
  </si>
  <si>
    <t>48600000</t>
  </si>
  <si>
    <t>48690000</t>
  </si>
  <si>
    <t>48780000</t>
  </si>
  <si>
    <t>48900000</t>
  </si>
  <si>
    <t>49050000</t>
  </si>
  <si>
    <t>49780000</t>
  </si>
  <si>
    <t>49950000</t>
  </si>
  <si>
    <t>50130000</t>
  </si>
  <si>
    <t>50490000</t>
  </si>
  <si>
    <t>51210000</t>
  </si>
  <si>
    <t>51390000</t>
  </si>
  <si>
    <t>60990000</t>
  </si>
  <si>
    <t>51630000</t>
  </si>
  <si>
    <t>51660000</t>
  </si>
  <si>
    <t>51840000</t>
  </si>
  <si>
    <t>52500000</t>
  </si>
  <si>
    <t>52560000</t>
  </si>
  <si>
    <t>52830000</t>
  </si>
  <si>
    <t>53100000</t>
  </si>
  <si>
    <t>51600000</t>
  </si>
  <si>
    <t>54630000</t>
  </si>
  <si>
    <t>54860000</t>
  </si>
  <si>
    <t>55080000</t>
  </si>
  <si>
    <t>56070000</t>
  </si>
  <si>
    <t>56430000</t>
  </si>
  <si>
    <t>56970000</t>
  </si>
  <si>
    <t>57240000</t>
  </si>
  <si>
    <t>57510000</t>
  </si>
  <si>
    <t>58050000</t>
  </si>
  <si>
    <t>58230000</t>
  </si>
  <si>
    <t>58320000</t>
  </si>
  <si>
    <t>58770000</t>
  </si>
  <si>
    <t>58950000</t>
  </si>
  <si>
    <t>59220000</t>
  </si>
  <si>
    <t>59490000</t>
  </si>
  <si>
    <t>59760000</t>
  </si>
  <si>
    <t>59940000</t>
  </si>
  <si>
    <t>60030000</t>
  </si>
  <si>
    <t>60120000</t>
  </si>
  <si>
    <t>60300000</t>
  </si>
  <si>
    <t>60390000</t>
  </si>
  <si>
    <t>60350000</t>
  </si>
  <si>
    <t>60910000</t>
  </si>
  <si>
    <t>60930000</t>
  </si>
  <si>
    <t>60940000</t>
  </si>
  <si>
    <t>60950000</t>
  </si>
  <si>
    <t>60960000</t>
  </si>
  <si>
    <t>60970000</t>
  </si>
  <si>
    <t>60980000</t>
  </si>
  <si>
    <t>61000000</t>
  </si>
  <si>
    <t>61010000</t>
  </si>
  <si>
    <t>61020000</t>
  </si>
  <si>
    <t>61200000</t>
  </si>
  <si>
    <t>61380000</t>
  </si>
  <si>
    <t>61650000</t>
  </si>
  <si>
    <t>61750000</t>
  </si>
  <si>
    <t>62190000</t>
  </si>
  <si>
    <t>62460000</t>
  </si>
  <si>
    <t>62640000</t>
  </si>
  <si>
    <t>62730000</t>
  </si>
  <si>
    <t>64080000</t>
  </si>
  <si>
    <t>64530000</t>
  </si>
  <si>
    <t>64600000</t>
  </si>
  <si>
    <t>64620000</t>
  </si>
  <si>
    <t>64710000</t>
  </si>
  <si>
    <t>65090000</t>
  </si>
  <si>
    <t>65120000</t>
  </si>
  <si>
    <t>65160000</t>
  </si>
  <si>
    <t>65340000</t>
  </si>
  <si>
    <t>65610000</t>
  </si>
  <si>
    <t>65790000</t>
  </si>
  <si>
    <t>65920000</t>
  </si>
  <si>
    <t>66150000</t>
  </si>
  <si>
    <t>66510000</t>
  </si>
  <si>
    <t>66600000</t>
  </si>
  <si>
    <t>67000000</t>
  </si>
  <si>
    <t>67410000</t>
  </si>
  <si>
    <t>67590000</t>
  </si>
  <si>
    <t>67620000</t>
  </si>
  <si>
    <t>67680000</t>
  </si>
  <si>
    <t>67950000</t>
  </si>
  <si>
    <t>68220000</t>
  </si>
  <si>
    <t>68400000</t>
  </si>
  <si>
    <t>68540000</t>
  </si>
  <si>
    <t>68670000</t>
  </si>
  <si>
    <t>69210000</t>
  </si>
  <si>
    <t>69300000</t>
  </si>
  <si>
    <t>69370000</t>
  </si>
  <si>
    <t>69430000</t>
  </si>
  <si>
    <t>69500000</t>
  </si>
  <si>
    <t>69570000</t>
  </si>
  <si>
    <t>69610000</t>
  </si>
  <si>
    <t>69690000</t>
  </si>
  <si>
    <t>69750000</t>
  </si>
  <si>
    <t>69830000</t>
  </si>
  <si>
    <t>69850000</t>
  </si>
  <si>
    <t>69870000</t>
  </si>
  <si>
    <t>69900000</t>
  </si>
  <si>
    <t>69920000</t>
  </si>
  <si>
    <t>70020000</t>
  </si>
  <si>
    <t>70290000</t>
  </si>
  <si>
    <t>70380000</t>
  </si>
  <si>
    <t>70470000</t>
  </si>
  <si>
    <t>70560000</t>
  </si>
  <si>
    <t>70920000</t>
  </si>
  <si>
    <t>70980000</t>
  </si>
  <si>
    <t>71100000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</si>
</sst>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164" formatCode="0000"/>
    <numFmt numFmtId="165" formatCode="mmmm\ d\,\ yyyy"/>
    <numFmt numFmtId="166" formatCode="\ \ \ mm/dd/yyyy;@"/>
    <numFmt numFmtId="167" formatCode="m/d/yy;@"/>
    <numFmt numFmtId="168" formatCode="mm/dd/yyyy;@"/>
  </numFmts>
  <fonts count="44" x14ac:knownFonts="1">
    <font>
      <sz val="8"/>
      <color theme="1"/>
      <name val="Courier Ne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ourier New"/>
      <family val="2"/>
    </font>
    <font>
      <sz val="8"/>
      <color theme="0"/>
      <name val="Courier New"/>
      <family val="2"/>
    </font>
    <font>
      <sz val="8"/>
      <color rgb="FF9C0006"/>
      <name val="Courier New"/>
      <family val="2"/>
    </font>
    <font>
      <b/>
      <sz val="8"/>
      <color rgb="FFFA7D00"/>
      <name val="Courier New"/>
      <family val="2"/>
    </font>
    <font>
      <b/>
      <sz val="8"/>
      <color theme="0"/>
      <name val="Courier New"/>
      <family val="2"/>
    </font>
    <font>
      <i/>
      <sz val="8"/>
      <color rgb="FF7F7F7F"/>
      <name val="Courier New"/>
      <family val="2"/>
    </font>
    <font>
      <sz val="8"/>
      <color rgb="FF006100"/>
      <name val="Courier New"/>
      <family val="2"/>
    </font>
    <font>
      <b/>
      <sz val="15"/>
      <color theme="3"/>
      <name val="Courier New"/>
      <family val="2"/>
    </font>
    <font>
      <b/>
      <sz val="13"/>
      <color theme="3"/>
      <name val="Courier New"/>
      <family val="2"/>
    </font>
    <font>
      <b/>
      <sz val="11"/>
      <color theme="3"/>
      <name val="Courier New"/>
      <family val="2"/>
    </font>
    <font>
      <sz val="8"/>
      <color rgb="FF3F3F76"/>
      <name val="Courier New"/>
      <family val="2"/>
    </font>
    <font>
      <sz val="8"/>
      <color rgb="FFFA7D00"/>
      <name val="Courier New"/>
      <family val="2"/>
    </font>
    <font>
      <sz val="8"/>
      <color rgb="FF9C6500"/>
      <name val="Courier New"/>
      <family val="2"/>
    </font>
    <font>
      <b/>
      <sz val="8"/>
      <color rgb="FF3F3F3F"/>
      <name val="Courier New"/>
      <family val="2"/>
    </font>
    <font>
      <b/>
      <sz val="18"/>
      <color theme="3"/>
      <name val="Cambria"/>
      <family val="2"/>
      <scheme val="major"/>
    </font>
    <font>
      <b/>
      <sz val="8"/>
      <color theme="1"/>
      <name val="Courier New"/>
      <family val="2"/>
    </font>
    <font>
      <sz val="8"/>
      <color rgb="FFFF0000"/>
      <name val="Courier New"/>
      <family val="2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sz val="10"/>
      <name val="MS Sans Serif"/>
      <family val="2"/>
    </font>
    <font>
      <sz val="16"/>
      <name val="Times New Roman"/>
      <family val="1"/>
    </font>
    <font>
      <sz val="20"/>
      <name val="Times New Roman"/>
      <family val="1"/>
    </font>
    <font>
      <sz val="9.5"/>
      <name val="MS Sans Serif"/>
      <family val="2"/>
    </font>
    <font>
      <sz val="9.5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10" applyNumberFormat="0" applyAlignment="0" applyProtection="0"/>
    <xf numFmtId="0" fontId="9" fillId="28" borderId="11" applyNumberFormat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12" applyNumberFormat="0" applyFill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10" applyNumberFormat="0" applyAlignment="0" applyProtection="0"/>
    <xf numFmtId="0" fontId="16" fillId="0" borderId="15" applyNumberFormat="0" applyFill="0" applyAlignment="0" applyProtection="0"/>
    <xf numFmtId="0" fontId="17" fillId="31" borderId="0" applyNumberFormat="0" applyBorder="0" applyAlignment="0" applyProtection="0"/>
    <xf numFmtId="0" fontId="5" fillId="32" borderId="16" applyNumberFormat="0" applyFont="0" applyAlignment="0" applyProtection="0"/>
    <xf numFmtId="0" fontId="18" fillId="27" borderId="17" applyNumberFormat="0" applyAlignment="0" applyProtection="0"/>
    <xf numFmtId="0" fontId="19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21" fillId="0" borderId="0" applyNumberFormat="0" applyFill="0" applyBorder="0" applyAlignment="0" applyProtection="0"/>
    <xf numFmtId="0" fontId="30" fillId="0" borderId="0"/>
    <xf numFmtId="0" fontId="4" fillId="0" borderId="0"/>
    <xf numFmtId="0" fontId="3" fillId="0" borderId="0"/>
  </cellStyleXfs>
  <cellXfs count="241">
    <xf numFmtId="0" fontId="0" fillId="0" borderId="0" xfId="0"/>
    <xf numFmtId="0" fontId="23" fillId="0" borderId="0" xfId="0" applyFont="1"/>
    <xf numFmtId="49" fontId="23" fillId="0" borderId="0" xfId="0" applyNumberFormat="1" applyFont="1"/>
    <xf numFmtId="3" fontId="23" fillId="0" borderId="0" xfId="0" applyNumberFormat="1" applyFont="1"/>
    <xf numFmtId="3" fontId="29" fillId="0" borderId="0" xfId="0" applyNumberFormat="1" applyFont="1"/>
    <xf numFmtId="0" fontId="29" fillId="0" borderId="0" xfId="0" applyFont="1"/>
    <xf numFmtId="0" fontId="27" fillId="0" borderId="0" xfId="0" applyFont="1" applyFill="1" applyBorder="1"/>
    <xf numFmtId="49" fontId="27" fillId="0" borderId="0" xfId="0" applyNumberFormat="1" applyFont="1" applyFill="1" applyBorder="1"/>
    <xf numFmtId="0" fontId="23" fillId="33" borderId="0" xfId="0" applyFont="1" applyFill="1"/>
    <xf numFmtId="0" fontId="23" fillId="0" borderId="0" xfId="0" applyFont="1" applyAlignment="1">
      <alignment horizontal="center"/>
    </xf>
    <xf numFmtId="164" fontId="24" fillId="0" borderId="0" xfId="0" applyNumberFormat="1" applyFont="1" applyBorder="1" applyAlignment="1" applyProtection="1">
      <protection hidden="1"/>
    </xf>
    <xf numFmtId="0" fontId="25" fillId="0" borderId="0" xfId="0" applyFont="1" applyProtection="1">
      <protection hidden="1"/>
    </xf>
    <xf numFmtId="164" fontId="28" fillId="0" borderId="0" xfId="0" applyNumberFormat="1" applyFont="1" applyBorder="1" applyAlignment="1" applyProtection="1">
      <protection hidden="1"/>
    </xf>
    <xf numFmtId="164" fontId="27" fillId="0" borderId="0" xfId="0" applyNumberFormat="1" applyFont="1" applyProtection="1">
      <protection hidden="1"/>
    </xf>
    <xf numFmtId="0" fontId="27" fillId="0" borderId="0" xfId="0" applyFont="1" applyProtection="1">
      <protection hidden="1"/>
    </xf>
    <xf numFmtId="3" fontId="27" fillId="0" borderId="3" xfId="0" applyNumberFormat="1" applyFont="1" applyBorder="1" applyAlignment="1" applyProtection="1">
      <alignment horizontal="center"/>
      <protection hidden="1"/>
    </xf>
    <xf numFmtId="3" fontId="27" fillId="0" borderId="3" xfId="0" applyNumberFormat="1" applyFont="1" applyFill="1" applyBorder="1" applyAlignment="1" applyProtection="1">
      <alignment horizontal="center"/>
      <protection hidden="1"/>
    </xf>
    <xf numFmtId="164" fontId="27" fillId="34" borderId="0" xfId="0" applyNumberFormat="1" applyFont="1" applyFill="1" applyProtection="1">
      <protection hidden="1"/>
    </xf>
    <xf numFmtId="3" fontId="27" fillId="34" borderId="4" xfId="0" applyNumberFormat="1" applyFont="1" applyFill="1" applyBorder="1" applyAlignment="1" applyProtection="1">
      <alignment horizontal="center" wrapText="1"/>
      <protection hidden="1"/>
    </xf>
    <xf numFmtId="0" fontId="27" fillId="0" borderId="6" xfId="0" applyFont="1" applyBorder="1" applyProtection="1">
      <protection hidden="1"/>
    </xf>
    <xf numFmtId="49" fontId="23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3" fontId="23" fillId="0" borderId="0" xfId="0" applyNumberFormat="1" applyFont="1" applyProtection="1">
      <protection hidden="1"/>
    </xf>
    <xf numFmtId="164" fontId="23" fillId="0" borderId="0" xfId="0" applyNumberFormat="1" applyFont="1" applyProtection="1">
      <protection hidden="1"/>
    </xf>
    <xf numFmtId="3" fontId="23" fillId="0" borderId="1" xfId="0" applyNumberFormat="1" applyFont="1" applyBorder="1" applyProtection="1">
      <protection hidden="1"/>
    </xf>
    <xf numFmtId="164" fontId="22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3" fontId="22" fillId="0" borderId="0" xfId="0" applyNumberFormat="1" applyFont="1" applyProtection="1">
      <protection hidden="1"/>
    </xf>
    <xf numFmtId="164" fontId="26" fillId="0" borderId="0" xfId="0" applyNumberFormat="1" applyFont="1" applyBorder="1" applyAlignment="1" applyProtection="1">
      <protection hidden="1"/>
    </xf>
    <xf numFmtId="3" fontId="26" fillId="0" borderId="2" xfId="0" applyNumberFormat="1" applyFont="1" applyFill="1" applyBorder="1" applyAlignment="1" applyProtection="1">
      <alignment horizontal="center" vertical="center"/>
      <protection hidden="1"/>
    </xf>
    <xf numFmtId="3" fontId="26" fillId="0" borderId="3" xfId="0" applyNumberFormat="1" applyFont="1" applyFill="1" applyBorder="1" applyAlignment="1" applyProtection="1">
      <alignment horizontal="center" vertical="center"/>
      <protection hidden="1"/>
    </xf>
    <xf numFmtId="3" fontId="26" fillId="0" borderId="4" xfId="0" applyNumberFormat="1" applyFont="1" applyBorder="1" applyAlignment="1" applyProtection="1">
      <alignment horizontal="center"/>
      <protection hidden="1"/>
    </xf>
    <xf numFmtId="3" fontId="26" fillId="0" borderId="4" xfId="0" applyNumberFormat="1" applyFont="1" applyFill="1" applyBorder="1" applyAlignment="1" applyProtection="1">
      <alignment horizontal="center"/>
      <protection hidden="1"/>
    </xf>
    <xf numFmtId="3" fontId="26" fillId="0" borderId="4" xfId="0" applyNumberFormat="1" applyFont="1" applyBorder="1" applyAlignment="1" applyProtection="1">
      <alignment horizontal="center" wrapText="1"/>
      <protection hidden="1"/>
    </xf>
    <xf numFmtId="3" fontId="26" fillId="0" borderId="4" xfId="0" applyNumberFormat="1" applyFont="1" applyFill="1" applyBorder="1" applyAlignment="1" applyProtection="1">
      <alignment horizontal="center" wrapText="1"/>
      <protection hidden="1"/>
    </xf>
    <xf numFmtId="164" fontId="24" fillId="34" borderId="0" xfId="0" applyNumberFormat="1" applyFont="1" applyFill="1" applyBorder="1" applyAlignment="1" applyProtection="1">
      <protection hidden="1"/>
    </xf>
    <xf numFmtId="0" fontId="25" fillId="34" borderId="0" xfId="0" applyFont="1" applyFill="1" applyProtection="1">
      <protection hidden="1"/>
    </xf>
    <xf numFmtId="164" fontId="26" fillId="34" borderId="0" xfId="0" applyNumberFormat="1" applyFont="1" applyFill="1" applyBorder="1" applyAlignment="1" applyProtection="1">
      <protection hidden="1"/>
    </xf>
    <xf numFmtId="0" fontId="27" fillId="34" borderId="0" xfId="0" applyFont="1" applyFill="1" applyProtection="1">
      <protection hidden="1"/>
    </xf>
    <xf numFmtId="0" fontId="26" fillId="0" borderId="3" xfId="0" applyFont="1" applyBorder="1" applyAlignment="1" applyProtection="1">
      <alignment horizontal="center"/>
      <protection hidden="1"/>
    </xf>
    <xf numFmtId="3" fontId="26" fillId="0" borderId="5" xfId="0" applyNumberFormat="1" applyFont="1" applyBorder="1" applyAlignment="1" applyProtection="1">
      <alignment horizontal="center"/>
      <protection hidden="1"/>
    </xf>
    <xf numFmtId="0" fontId="26" fillId="0" borderId="5" xfId="0" applyFont="1" applyBorder="1" applyAlignment="1" applyProtection="1">
      <alignment horizontal="center"/>
      <protection hidden="1"/>
    </xf>
    <xf numFmtId="3" fontId="26" fillId="34" borderId="0" xfId="0" applyNumberFormat="1" applyFont="1" applyFill="1" applyBorder="1" applyAlignment="1" applyProtection="1">
      <alignment horizontal="center"/>
      <protection hidden="1"/>
    </xf>
    <xf numFmtId="0" fontId="26" fillId="34" borderId="0" xfId="0" applyFont="1" applyFill="1" applyBorder="1" applyAlignment="1" applyProtection="1">
      <alignment horizontal="center"/>
      <protection hidden="1"/>
    </xf>
    <xf numFmtId="0" fontId="23" fillId="0" borderId="0" xfId="0" applyNumberFormat="1" applyFont="1" applyProtection="1">
      <protection hidden="1"/>
    </xf>
    <xf numFmtId="2" fontId="23" fillId="0" borderId="0" xfId="0" applyNumberFormat="1" applyFont="1" applyProtection="1"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3" fontId="0" fillId="0" borderId="0" xfId="0" applyNumberFormat="1" applyProtection="1">
      <protection hidden="1"/>
    </xf>
    <xf numFmtId="164" fontId="27" fillId="0" borderId="0" xfId="0" applyNumberFormat="1" applyFont="1" applyBorder="1" applyAlignment="1" applyProtection="1">
      <protection hidden="1"/>
    </xf>
    <xf numFmtId="3" fontId="27" fillId="0" borderId="2" xfId="0" applyNumberFormat="1" applyFont="1" applyFill="1" applyBorder="1" applyAlignment="1" applyProtection="1">
      <alignment horizontal="center" vertical="center"/>
      <protection hidden="1"/>
    </xf>
    <xf numFmtId="3" fontId="27" fillId="0" borderId="3" xfId="0" applyNumberFormat="1" applyFont="1" applyFill="1" applyBorder="1" applyAlignment="1" applyProtection="1">
      <alignment horizontal="center" vertical="center"/>
      <protection hidden="1"/>
    </xf>
    <xf numFmtId="4" fontId="27" fillId="0" borderId="3" xfId="0" applyNumberFormat="1" applyFont="1" applyFill="1" applyBorder="1" applyAlignment="1" applyProtection="1">
      <alignment horizontal="center" vertical="center"/>
      <protection hidden="1"/>
    </xf>
    <xf numFmtId="3" fontId="27" fillId="0" borderId="4" xfId="0" applyNumberFormat="1" applyFont="1" applyBorder="1" applyAlignment="1" applyProtection="1">
      <alignment horizontal="center"/>
      <protection hidden="1"/>
    </xf>
    <xf numFmtId="3" fontId="27" fillId="0" borderId="4" xfId="0" applyNumberFormat="1" applyFont="1" applyFill="1" applyBorder="1" applyAlignment="1" applyProtection="1">
      <alignment horizontal="center"/>
      <protection hidden="1"/>
    </xf>
    <xf numFmtId="4" fontId="27" fillId="0" borderId="4" xfId="0" applyNumberFormat="1" applyFont="1" applyFill="1" applyBorder="1" applyAlignment="1" applyProtection="1">
      <alignment horizontal="center"/>
      <protection hidden="1"/>
    </xf>
    <xf numFmtId="3" fontId="27" fillId="34" borderId="0" xfId="0" applyNumberFormat="1" applyFont="1" applyFill="1" applyBorder="1" applyAlignment="1" applyProtection="1">
      <alignment horizontal="center"/>
      <protection hidden="1"/>
    </xf>
    <xf numFmtId="4" fontId="26" fillId="34" borderId="0" xfId="0" applyNumberFormat="1" applyFont="1" applyFill="1" applyBorder="1" applyAlignment="1" applyProtection="1">
      <alignment horizontal="center"/>
      <protection hidden="1"/>
    </xf>
    <xf numFmtId="0" fontId="23" fillId="34" borderId="0" xfId="0" applyFont="1" applyFill="1" applyProtection="1">
      <protection hidden="1"/>
    </xf>
    <xf numFmtId="4" fontId="23" fillId="0" borderId="0" xfId="0" applyNumberFormat="1" applyFont="1" applyProtection="1">
      <protection hidden="1"/>
    </xf>
    <xf numFmtId="3" fontId="26" fillId="0" borderId="3" xfId="0" applyNumberFormat="1" applyFont="1" applyBorder="1" applyAlignment="1" applyProtection="1">
      <alignment horizontal="center"/>
      <protection hidden="1"/>
    </xf>
    <xf numFmtId="3" fontId="26" fillId="0" borderId="5" xfId="0" applyNumberFormat="1" applyFont="1" applyBorder="1" applyAlignment="1" applyProtection="1">
      <alignment horizontal="center" wrapText="1"/>
      <protection hidden="1"/>
    </xf>
    <xf numFmtId="3" fontId="26" fillId="0" borderId="5" xfId="0" applyNumberFormat="1" applyFont="1" applyFill="1" applyBorder="1" applyAlignment="1" applyProtection="1">
      <alignment horizontal="center" wrapText="1"/>
      <protection hidden="1"/>
    </xf>
    <xf numFmtId="2" fontId="23" fillId="0" borderId="0" xfId="0" applyNumberFormat="1" applyFont="1"/>
    <xf numFmtId="0" fontId="27" fillId="34" borderId="0" xfId="0" applyNumberFormat="1" applyFont="1" applyFill="1" applyProtection="1">
      <protection hidden="1"/>
    </xf>
    <xf numFmtId="0" fontId="22" fillId="0" borderId="0" xfId="0" applyNumberFormat="1" applyFont="1" applyProtection="1">
      <protection hidden="1"/>
    </xf>
    <xf numFmtId="0" fontId="0" fillId="0" borderId="0" xfId="0" applyNumberFormat="1" applyProtection="1">
      <protection hidden="1"/>
    </xf>
    <xf numFmtId="2" fontId="27" fillId="34" borderId="0" xfId="0" applyNumberFormat="1" applyFont="1" applyFill="1" applyProtection="1">
      <protection hidden="1"/>
    </xf>
    <xf numFmtId="2" fontId="27" fillId="34" borderId="0" xfId="0" applyNumberFormat="1" applyFont="1" applyFill="1" applyAlignment="1" applyProtection="1">
      <alignment wrapText="1"/>
      <protection hidden="1"/>
    </xf>
    <xf numFmtId="2" fontId="23" fillId="34" borderId="0" xfId="0" applyNumberFormat="1" applyFont="1" applyFill="1" applyProtection="1">
      <protection hidden="1"/>
    </xf>
    <xf numFmtId="3" fontId="32" fillId="0" borderId="0" xfId="42" applyNumberFormat="1" applyFont="1" applyAlignment="1">
      <alignment wrapText="1"/>
    </xf>
    <xf numFmtId="0" fontId="30" fillId="0" borderId="0" xfId="42"/>
    <xf numFmtId="0" fontId="33" fillId="0" borderId="19" xfId="42" applyFont="1" applyBorder="1"/>
    <xf numFmtId="0" fontId="33" fillId="0" borderId="0" xfId="42" applyFont="1" applyBorder="1" applyProtection="1">
      <protection locked="0"/>
    </xf>
    <xf numFmtId="165" fontId="34" fillId="0" borderId="0" xfId="42" applyNumberFormat="1" applyFont="1" applyAlignment="1">
      <alignment horizontal="center"/>
    </xf>
    <xf numFmtId="0" fontId="33" fillId="0" borderId="20" xfId="42" applyFont="1" applyBorder="1"/>
    <xf numFmtId="164" fontId="34" fillId="0" borderId="21" xfId="42" applyNumberFormat="1" applyFont="1" applyBorder="1" applyAlignment="1" applyProtection="1">
      <alignment horizontal="left"/>
      <protection hidden="1"/>
    </xf>
    <xf numFmtId="3" fontId="32" fillId="0" borderId="21" xfId="42" applyNumberFormat="1" applyFont="1" applyBorder="1" applyAlignment="1" applyProtection="1">
      <alignment horizontal="center"/>
      <protection hidden="1"/>
    </xf>
    <xf numFmtId="3" fontId="32" fillId="0" borderId="22" xfId="42" applyNumberFormat="1" applyFont="1" applyBorder="1" applyAlignment="1">
      <alignment horizontal="center"/>
    </xf>
    <xf numFmtId="3" fontId="34" fillId="0" borderId="0" xfId="42" applyNumberFormat="1" applyFont="1" applyAlignment="1">
      <alignment horizontal="center"/>
    </xf>
    <xf numFmtId="0" fontId="33" fillId="0" borderId="0" xfId="42" applyFont="1"/>
    <xf numFmtId="164" fontId="34" fillId="0" borderId="0" xfId="42" applyNumberFormat="1" applyFont="1" applyAlignment="1" applyProtection="1">
      <alignment horizontal="left"/>
      <protection hidden="1"/>
    </xf>
    <xf numFmtId="3" fontId="32" fillId="0" borderId="0" xfId="42" applyNumberFormat="1" applyFont="1" applyAlignment="1" applyProtection="1">
      <alignment horizontal="center"/>
      <protection hidden="1"/>
    </xf>
    <xf numFmtId="3" fontId="32" fillId="0" borderId="0" xfId="42" applyNumberFormat="1" applyFont="1" applyAlignment="1">
      <alignment horizontal="center"/>
    </xf>
    <xf numFmtId="0" fontId="33" fillId="0" borderId="2" xfId="42" applyFont="1" applyBorder="1"/>
    <xf numFmtId="0" fontId="33" fillId="0" borderId="23" xfId="42" applyFont="1" applyBorder="1" applyProtection="1">
      <protection hidden="1"/>
    </xf>
    <xf numFmtId="3" fontId="27" fillId="0" borderId="23" xfId="42" applyNumberFormat="1" applyFont="1" applyBorder="1" applyAlignment="1" applyProtection="1">
      <alignment horizontal="center"/>
      <protection hidden="1"/>
    </xf>
    <xf numFmtId="3" fontId="27" fillId="0" borderId="24" xfId="42" applyNumberFormat="1" applyFont="1" applyBorder="1" applyAlignment="1">
      <alignment horizontal="center"/>
    </xf>
    <xf numFmtId="3" fontId="27" fillId="0" borderId="0" xfId="42" applyNumberFormat="1" applyFont="1" applyAlignment="1">
      <alignment horizontal="center"/>
    </xf>
    <xf numFmtId="0" fontId="27" fillId="0" borderId="19" xfId="42" applyFont="1" applyBorder="1"/>
    <xf numFmtId="0" fontId="35" fillId="0" borderId="0" xfId="42" applyFont="1" applyBorder="1" applyProtection="1">
      <protection hidden="1"/>
    </xf>
    <xf numFmtId="5" fontId="35" fillId="0" borderId="0" xfId="42" applyNumberFormat="1" applyFont="1" applyBorder="1" applyProtection="1">
      <protection hidden="1"/>
    </xf>
    <xf numFmtId="3" fontId="34" fillId="0" borderId="6" xfId="42" applyNumberFormat="1" applyFont="1" applyBorder="1"/>
    <xf numFmtId="5" fontId="35" fillId="0" borderId="0" xfId="42" applyNumberFormat="1" applyFont="1" applyBorder="1"/>
    <xf numFmtId="3" fontId="34" fillId="0" borderId="0" xfId="42" applyNumberFormat="1" applyFont="1"/>
    <xf numFmtId="5" fontId="35" fillId="0" borderId="1" xfId="42" applyNumberFormat="1" applyFont="1" applyBorder="1" applyProtection="1">
      <protection hidden="1"/>
    </xf>
    <xf numFmtId="3" fontId="34" fillId="0" borderId="0" xfId="42" applyNumberFormat="1" applyFont="1" applyBorder="1"/>
    <xf numFmtId="0" fontId="35" fillId="0" borderId="0" xfId="42" applyFont="1" applyBorder="1" applyAlignment="1" applyProtection="1">
      <alignment horizontal="center"/>
      <protection hidden="1"/>
    </xf>
    <xf numFmtId="3" fontId="34" fillId="0" borderId="0" xfId="42" applyNumberFormat="1" applyFont="1" applyProtection="1">
      <protection hidden="1"/>
    </xf>
    <xf numFmtId="5" fontId="35" fillId="0" borderId="0" xfId="42" applyNumberFormat="1" applyFont="1" applyBorder="1" applyAlignment="1" applyProtection="1">
      <alignment horizontal="center"/>
      <protection hidden="1"/>
    </xf>
    <xf numFmtId="0" fontId="35" fillId="0" borderId="21" xfId="42" applyFont="1" applyBorder="1" applyAlignment="1" applyProtection="1">
      <alignment horizontal="center"/>
      <protection hidden="1"/>
    </xf>
    <xf numFmtId="3" fontId="27" fillId="0" borderId="6" xfId="42" applyNumberFormat="1" applyFont="1" applyBorder="1" applyAlignment="1">
      <alignment horizontal="center"/>
    </xf>
    <xf numFmtId="167" fontId="35" fillId="0" borderId="0" xfId="42" applyNumberFormat="1" applyFont="1" applyBorder="1" applyAlignment="1" applyProtection="1">
      <alignment horizontal="left"/>
      <protection hidden="1"/>
    </xf>
    <xf numFmtId="14" fontId="35" fillId="0" borderId="0" xfId="42" applyNumberFormat="1" applyFont="1" applyBorder="1" applyAlignment="1" applyProtection="1">
      <alignment horizontal="left"/>
      <protection hidden="1"/>
    </xf>
    <xf numFmtId="0" fontId="27" fillId="0" borderId="20" xfId="42" applyFont="1" applyBorder="1"/>
    <xf numFmtId="14" fontId="35" fillId="0" borderId="21" xfId="42" applyNumberFormat="1" applyFont="1" applyBorder="1" applyAlignment="1" applyProtection="1">
      <alignment horizontal="left"/>
      <protection hidden="1"/>
    </xf>
    <xf numFmtId="5" fontId="35" fillId="0" borderId="21" xfId="42" applyNumberFormat="1" applyFont="1" applyBorder="1" applyProtection="1">
      <protection hidden="1"/>
    </xf>
    <xf numFmtId="3" fontId="34" fillId="0" borderId="22" xfId="42" applyNumberFormat="1" applyFont="1" applyBorder="1"/>
    <xf numFmtId="0" fontId="27" fillId="0" borderId="0" xfId="42" applyFont="1" applyBorder="1"/>
    <xf numFmtId="0" fontId="27" fillId="0" borderId="2" xfId="42" applyFont="1" applyBorder="1"/>
    <xf numFmtId="14" fontId="35" fillId="0" borderId="23" xfId="42" applyNumberFormat="1" applyFont="1" applyBorder="1" applyAlignment="1" applyProtection="1">
      <alignment horizontal="left"/>
      <protection hidden="1"/>
    </xf>
    <xf numFmtId="5" fontId="35" fillId="0" borderId="23" xfId="42" applyNumberFormat="1" applyFont="1" applyBorder="1" applyProtection="1">
      <protection hidden="1"/>
    </xf>
    <xf numFmtId="3" fontId="34" fillId="0" borderId="24" xfId="42" applyNumberFormat="1" applyFont="1" applyBorder="1"/>
    <xf numFmtId="3" fontId="35" fillId="0" borderId="0" xfId="42" applyNumberFormat="1" applyFont="1" applyBorder="1" applyProtection="1">
      <protection hidden="1"/>
    </xf>
    <xf numFmtId="0" fontId="35" fillId="0" borderId="23" xfId="42" applyFont="1" applyBorder="1" applyProtection="1">
      <protection hidden="1"/>
    </xf>
    <xf numFmtId="3" fontId="35" fillId="0" borderId="23" xfId="42" applyNumberFormat="1" applyFont="1" applyBorder="1" applyProtection="1">
      <protection hidden="1"/>
    </xf>
    <xf numFmtId="7" fontId="35" fillId="0" borderId="0" xfId="42" applyNumberFormat="1" applyFont="1" applyBorder="1" applyProtection="1">
      <protection hidden="1"/>
    </xf>
    <xf numFmtId="7" fontId="35" fillId="0" borderId="1" xfId="42" applyNumberFormat="1" applyFont="1" applyBorder="1" applyProtection="1">
      <protection hidden="1"/>
    </xf>
    <xf numFmtId="0" fontId="33" fillId="0" borderId="21" xfId="42" applyFont="1" applyBorder="1" applyProtection="1">
      <protection hidden="1"/>
    </xf>
    <xf numFmtId="3" fontId="34" fillId="0" borderId="21" xfId="42" applyNumberFormat="1" applyFont="1" applyBorder="1" applyProtection="1">
      <protection hidden="1"/>
    </xf>
    <xf numFmtId="0" fontId="33" fillId="0" borderId="0" xfId="42" applyFont="1" applyBorder="1"/>
    <xf numFmtId="0" fontId="30" fillId="0" borderId="0" xfId="42" applyFont="1"/>
    <xf numFmtId="164" fontId="23" fillId="0" borderId="0" xfId="0" quotePrefix="1" applyNumberFormat="1" applyFont="1" applyProtection="1">
      <protection hidden="1"/>
    </xf>
    <xf numFmtId="0" fontId="4" fillId="0" borderId="0" xfId="43"/>
    <xf numFmtId="49" fontId="23" fillId="0" borderId="0" xfId="0" quotePrefix="1" applyNumberFormat="1" applyFont="1"/>
    <xf numFmtId="5" fontId="35" fillId="0" borderId="0" xfId="42" applyNumberFormat="1" applyFont="1" applyFill="1" applyBorder="1" applyProtection="1">
      <protection hidden="1"/>
    </xf>
    <xf numFmtId="3" fontId="26" fillId="0" borderId="0" xfId="0" applyNumberFormat="1" applyFont="1" applyBorder="1" applyAlignment="1" applyProtection="1">
      <alignment wrapText="1"/>
      <protection hidden="1"/>
    </xf>
    <xf numFmtId="0" fontId="4" fillId="0" borderId="0" xfId="43" applyBorder="1" applyAlignment="1" applyProtection="1">
      <alignment horizontal="center" wrapText="1"/>
      <protection hidden="1"/>
    </xf>
    <xf numFmtId="0" fontId="38" fillId="0" borderId="0" xfId="43" applyFont="1" applyAlignment="1" applyProtection="1">
      <protection hidden="1"/>
    </xf>
    <xf numFmtId="0" fontId="35" fillId="0" borderId="0" xfId="42" applyFont="1" applyBorder="1" applyAlignment="1" applyProtection="1">
      <alignment horizontal="right"/>
      <protection hidden="1"/>
    </xf>
    <xf numFmtId="14" fontId="35" fillId="0" borderId="0" xfId="42" applyNumberFormat="1" applyFont="1" applyBorder="1" applyAlignment="1" applyProtection="1">
      <alignment horizontal="right"/>
      <protection hidden="1"/>
    </xf>
    <xf numFmtId="7" fontId="35" fillId="0" borderId="1" xfId="42" applyNumberFormat="1" applyFont="1" applyBorder="1" applyAlignment="1" applyProtection="1">
      <alignment horizontal="right"/>
      <protection hidden="1"/>
    </xf>
    <xf numFmtId="0" fontId="30" fillId="34" borderId="0" xfId="42" applyFill="1"/>
    <xf numFmtId="3" fontId="34" fillId="34" borderId="0" xfId="42" applyNumberFormat="1" applyFont="1" applyFill="1"/>
    <xf numFmtId="5" fontId="35" fillId="34" borderId="0" xfId="42" applyNumberFormat="1" applyFont="1" applyFill="1" applyBorder="1"/>
    <xf numFmtId="3" fontId="34" fillId="34" borderId="0" xfId="42" applyNumberFormat="1" applyFont="1" applyFill="1" applyBorder="1"/>
    <xf numFmtId="3" fontId="26" fillId="34" borderId="3" xfId="0" applyNumberFormat="1" applyFont="1" applyFill="1" applyBorder="1" applyAlignment="1" applyProtection="1">
      <alignment wrapText="1"/>
      <protection hidden="1"/>
    </xf>
    <xf numFmtId="0" fontId="30" fillId="0" borderId="2" xfId="42" applyBorder="1"/>
    <xf numFmtId="0" fontId="30" fillId="0" borderId="23" xfId="42" applyBorder="1"/>
    <xf numFmtId="0" fontId="30" fillId="0" borderId="24" xfId="42" applyBorder="1"/>
    <xf numFmtId="0" fontId="30" fillId="0" borderId="19" xfId="42" applyBorder="1"/>
    <xf numFmtId="0" fontId="38" fillId="0" borderId="6" xfId="43" applyFont="1" applyBorder="1" applyAlignment="1" applyProtection="1">
      <alignment horizontal="center"/>
      <protection hidden="1"/>
    </xf>
    <xf numFmtId="0" fontId="38" fillId="0" borderId="6" xfId="43" applyFont="1" applyBorder="1" applyAlignment="1" applyProtection="1">
      <alignment horizontal="center" wrapText="1"/>
      <protection hidden="1"/>
    </xf>
    <xf numFmtId="0" fontId="30" fillId="0" borderId="6" xfId="42" applyBorder="1"/>
    <xf numFmtId="0" fontId="30" fillId="0" borderId="20" xfId="42" applyBorder="1"/>
    <xf numFmtId="0" fontId="30" fillId="0" borderId="21" xfId="42" applyBorder="1"/>
    <xf numFmtId="0" fontId="30" fillId="0" borderId="22" xfId="42" applyBorder="1"/>
    <xf numFmtId="3" fontId="26" fillId="34" borderId="24" xfId="0" applyNumberFormat="1" applyFont="1" applyFill="1" applyBorder="1" applyAlignment="1" applyProtection="1">
      <alignment wrapText="1"/>
      <protection hidden="1"/>
    </xf>
    <xf numFmtId="0" fontId="30" fillId="0" borderId="0" xfId="42" applyBorder="1"/>
    <xf numFmtId="5" fontId="30" fillId="0" borderId="0" xfId="42" applyNumberFormat="1" applyBorder="1"/>
    <xf numFmtId="3" fontId="39" fillId="0" borderId="0" xfId="0" applyNumberFormat="1" applyFont="1"/>
    <xf numFmtId="0" fontId="39" fillId="0" borderId="0" xfId="0" applyFont="1"/>
    <xf numFmtId="3" fontId="23" fillId="37" borderId="0" xfId="0" applyNumberFormat="1" applyFont="1" applyFill="1" applyProtection="1">
      <protection hidden="1"/>
    </xf>
    <xf numFmtId="0" fontId="27" fillId="37" borderId="0" xfId="0" applyFont="1" applyFill="1" applyProtection="1">
      <protection hidden="1"/>
    </xf>
    <xf numFmtId="2" fontId="23" fillId="37" borderId="0" xfId="0" applyNumberFormat="1" applyFont="1" applyFill="1" applyAlignment="1" applyProtection="1">
      <alignment horizontal="right"/>
      <protection hidden="1"/>
    </xf>
    <xf numFmtId="3" fontId="23" fillId="37" borderId="0" xfId="0" applyNumberFormat="1" applyFont="1" applyFill="1" applyAlignment="1" applyProtection="1">
      <alignment horizontal="right"/>
      <protection hidden="1"/>
    </xf>
    <xf numFmtId="0" fontId="23" fillId="37" borderId="0" xfId="0" applyFont="1" applyFill="1" applyProtection="1">
      <protection hidden="1"/>
    </xf>
    <xf numFmtId="3" fontId="26" fillId="0" borderId="3" xfId="0" applyNumberFormat="1" applyFont="1" applyFill="1" applyBorder="1" applyAlignment="1" applyProtection="1">
      <alignment horizontal="center"/>
      <protection hidden="1"/>
    </xf>
    <xf numFmtId="3" fontId="26" fillId="0" borderId="5" xfId="0" applyNumberFormat="1" applyFont="1" applyFill="1" applyBorder="1" applyAlignment="1" applyProtection="1">
      <alignment horizontal="center"/>
      <protection hidden="1"/>
    </xf>
    <xf numFmtId="3" fontId="26" fillId="0" borderId="0" xfId="0" applyNumberFormat="1" applyFont="1" applyFill="1" applyBorder="1" applyAlignment="1" applyProtection="1">
      <alignment horizontal="center"/>
      <protection hidden="1"/>
    </xf>
    <xf numFmtId="3" fontId="23" fillId="0" borderId="0" xfId="0" applyNumberFormat="1" applyFont="1" applyFill="1" applyProtection="1">
      <protection hidden="1"/>
    </xf>
    <xf numFmtId="3" fontId="23" fillId="0" borderId="1" xfId="0" applyNumberFormat="1" applyFont="1" applyFill="1" applyBorder="1" applyProtection="1">
      <protection hidden="1"/>
    </xf>
    <xf numFmtId="3" fontId="22" fillId="0" borderId="0" xfId="0" applyNumberFormat="1" applyFont="1" applyFill="1" applyProtection="1">
      <protection hidden="1"/>
    </xf>
    <xf numFmtId="3" fontId="0" fillId="0" borderId="0" xfId="0" applyNumberFormat="1" applyFill="1" applyProtection="1">
      <protection hidden="1"/>
    </xf>
    <xf numFmtId="0" fontId="4" fillId="0" borderId="0" xfId="43" applyAlignment="1">
      <alignment vertical="center" wrapText="1"/>
    </xf>
    <xf numFmtId="0" fontId="4" fillId="34" borderId="0" xfId="43" applyFill="1"/>
    <xf numFmtId="49" fontId="4" fillId="34" borderId="0" xfId="43" applyNumberFormat="1" applyFill="1"/>
    <xf numFmtId="0" fontId="38" fillId="0" borderId="0" xfId="43" applyFont="1" applyAlignment="1">
      <alignment vertical="center" wrapText="1"/>
    </xf>
    <xf numFmtId="0" fontId="38" fillId="0" borderId="0" xfId="43" applyFont="1"/>
    <xf numFmtId="4" fontId="23" fillId="0" borderId="0" xfId="0" applyNumberFormat="1" applyFont="1"/>
    <xf numFmtId="0" fontId="23" fillId="0" borderId="0" xfId="0" quotePrefix="1" applyFont="1"/>
    <xf numFmtId="0" fontId="41" fillId="0" borderId="0" xfId="43" applyFont="1" applyProtection="1">
      <protection hidden="1"/>
    </xf>
    <xf numFmtId="49" fontId="42" fillId="34" borderId="0" xfId="0" applyNumberFormat="1" applyFont="1" applyFill="1" applyBorder="1" applyAlignment="1" applyProtection="1">
      <protection hidden="1"/>
    </xf>
    <xf numFmtId="164" fontId="42" fillId="0" borderId="0" xfId="0" applyNumberFormat="1" applyFont="1" applyAlignment="1" applyProtection="1">
      <protection hidden="1"/>
    </xf>
    <xf numFmtId="49" fontId="42" fillId="34" borderId="0" xfId="0" applyNumberFormat="1" applyFont="1" applyFill="1" applyBorder="1" applyProtection="1">
      <protection hidden="1"/>
    </xf>
    <xf numFmtId="0" fontId="42" fillId="0" borderId="0" xfId="0" applyFont="1" applyProtection="1">
      <protection hidden="1"/>
    </xf>
    <xf numFmtId="0" fontId="43" fillId="36" borderId="0" xfId="0" applyFont="1" applyFill="1" applyProtection="1">
      <protection hidden="1"/>
    </xf>
    <xf numFmtId="0" fontId="43" fillId="0" borderId="0" xfId="0" applyFont="1" applyProtection="1">
      <protection hidden="1"/>
    </xf>
    <xf numFmtId="49" fontId="42" fillId="34" borderId="0" xfId="0" applyNumberFormat="1" applyFont="1" applyFill="1" applyBorder="1" applyAlignment="1" applyProtection="1">
      <alignment horizontal="center"/>
      <protection hidden="1"/>
    </xf>
    <xf numFmtId="0" fontId="40" fillId="0" borderId="0" xfId="0" applyFont="1" applyBorder="1" applyProtection="1">
      <protection hidden="1"/>
    </xf>
    <xf numFmtId="0" fontId="43" fillId="0" borderId="0" xfId="0" applyFont="1" applyBorder="1" applyAlignment="1" applyProtection="1">
      <alignment horizontal="center" wrapText="1"/>
      <protection hidden="1"/>
    </xf>
    <xf numFmtId="0" fontId="43" fillId="0" borderId="21" xfId="0" applyFont="1" applyBorder="1" applyAlignment="1" applyProtection="1">
      <alignment horizontal="center" wrapText="1"/>
      <protection hidden="1"/>
    </xf>
    <xf numFmtId="0" fontId="43" fillId="36" borderId="21" xfId="0" applyFont="1" applyFill="1" applyBorder="1" applyProtection="1">
      <protection hidden="1"/>
    </xf>
    <xf numFmtId="4" fontId="40" fillId="0" borderId="21" xfId="0" applyNumberFormat="1" applyFont="1" applyBorder="1" applyAlignment="1" applyProtection="1">
      <alignment horizontal="center" wrapText="1"/>
      <protection hidden="1"/>
    </xf>
    <xf numFmtId="4" fontId="40" fillId="0" borderId="0" xfId="0" applyNumberFormat="1" applyFont="1" applyBorder="1" applyAlignment="1" applyProtection="1">
      <alignment horizontal="center" wrapText="1"/>
      <protection hidden="1"/>
    </xf>
    <xf numFmtId="4" fontId="41" fillId="0" borderId="0" xfId="43" applyNumberFormat="1" applyFont="1" applyProtection="1">
      <protection hidden="1"/>
    </xf>
    <xf numFmtId="4" fontId="43" fillId="0" borderId="1" xfId="0" applyNumberFormat="1" applyFont="1" applyBorder="1" applyProtection="1">
      <protection hidden="1"/>
    </xf>
    <xf numFmtId="49" fontId="41" fillId="0" borderId="0" xfId="43" applyNumberFormat="1" applyFont="1" applyBorder="1" applyProtection="1">
      <protection hidden="1"/>
    </xf>
    <xf numFmtId="0" fontId="41" fillId="34" borderId="0" xfId="0" applyFont="1" applyFill="1" applyProtection="1">
      <protection hidden="1"/>
    </xf>
    <xf numFmtId="0" fontId="41" fillId="0" borderId="0" xfId="0" applyFont="1" applyProtection="1">
      <protection hidden="1"/>
    </xf>
    <xf numFmtId="49" fontId="41" fillId="34" borderId="0" xfId="0" applyNumberFormat="1" applyFont="1" applyFill="1" applyBorder="1" applyProtection="1">
      <protection hidden="1"/>
    </xf>
    <xf numFmtId="0" fontId="41" fillId="36" borderId="0" xfId="0" applyFont="1" applyFill="1" applyProtection="1">
      <protection hidden="1"/>
    </xf>
    <xf numFmtId="0" fontId="41" fillId="34" borderId="0" xfId="0" applyFont="1" applyFill="1"/>
    <xf numFmtId="0" fontId="41" fillId="0" borderId="25" xfId="0" applyFont="1" applyBorder="1"/>
    <xf numFmtId="0" fontId="41" fillId="34" borderId="25" xfId="0" applyFont="1" applyFill="1" applyBorder="1"/>
    <xf numFmtId="4" fontId="41" fillId="0" borderId="25" xfId="0" applyNumberFormat="1" applyFont="1" applyBorder="1" applyProtection="1">
      <protection hidden="1"/>
    </xf>
    <xf numFmtId="0" fontId="41" fillId="36" borderId="25" xfId="0" applyFont="1" applyFill="1" applyBorder="1" applyProtection="1">
      <protection hidden="1"/>
    </xf>
    <xf numFmtId="0" fontId="41" fillId="33" borderId="0" xfId="0" quotePrefix="1" applyFont="1" applyFill="1" applyProtection="1">
      <protection hidden="1"/>
    </xf>
    <xf numFmtId="168" fontId="30" fillId="33" borderId="0" xfId="42" applyNumberFormat="1" applyFont="1" applyFill="1" applyAlignment="1">
      <alignment horizontal="right"/>
    </xf>
    <xf numFmtId="166" fontId="35" fillId="0" borderId="0" xfId="42" applyNumberFormat="1" applyFont="1" applyBorder="1" applyAlignment="1" applyProtection="1">
      <alignment horizontal="left" indent="1"/>
      <protection hidden="1"/>
    </xf>
    <xf numFmtId="0" fontId="38" fillId="34" borderId="0" xfId="44" applyFont="1" applyFill="1" applyAlignment="1">
      <alignment wrapText="1"/>
    </xf>
    <xf numFmtId="0" fontId="38" fillId="0" borderId="0" xfId="44" applyFont="1" applyAlignment="1">
      <alignment wrapText="1"/>
    </xf>
    <xf numFmtId="0" fontId="3" fillId="34" borderId="25" xfId="44" applyNumberFormat="1" applyFill="1" applyBorder="1"/>
    <xf numFmtId="49" fontId="3" fillId="0" borderId="25" xfId="44" applyNumberFormat="1" applyBorder="1"/>
    <xf numFmtId="49" fontId="3" fillId="34" borderId="25" xfId="44" applyNumberFormat="1" applyFill="1" applyBorder="1"/>
    <xf numFmtId="3" fontId="3" fillId="0" borderId="25" xfId="44" applyNumberFormat="1" applyBorder="1"/>
    <xf numFmtId="0" fontId="2" fillId="0" borderId="0" xfId="43" quotePrefix="1" applyFont="1"/>
    <xf numFmtId="3" fontId="38" fillId="0" borderId="26" xfId="43" applyNumberFormat="1" applyFont="1" applyBorder="1"/>
    <xf numFmtId="0" fontId="1" fillId="0" borderId="0" xfId="43" applyFont="1"/>
    <xf numFmtId="1" fontId="23" fillId="0" borderId="0" xfId="0" applyNumberFormat="1" applyFont="1" applyProtection="1">
      <protection hidden="1"/>
    </xf>
    <xf numFmtId="164" fontId="24" fillId="0" borderId="0" xfId="0" applyNumberFormat="1" applyFont="1" applyBorder="1" applyAlignment="1" applyProtection="1">
      <alignment horizontal="center"/>
      <protection hidden="1"/>
    </xf>
    <xf numFmtId="164" fontId="28" fillId="0" borderId="0" xfId="0" applyNumberFormat="1" applyFont="1" applyBorder="1" applyAlignment="1" applyProtection="1">
      <alignment horizontal="center"/>
      <protection hidden="1"/>
    </xf>
    <xf numFmtId="0" fontId="27" fillId="33" borderId="0" xfId="0" applyFont="1" applyFill="1" applyAlignment="1" applyProtection="1">
      <alignment horizontal="center" wrapText="1"/>
      <protection hidden="1"/>
    </xf>
    <xf numFmtId="0" fontId="26" fillId="0" borderId="0" xfId="0" applyFont="1" applyAlignment="1" applyProtection="1">
      <alignment horizontal="center"/>
      <protection hidden="1"/>
    </xf>
    <xf numFmtId="0" fontId="26" fillId="0" borderId="6" xfId="0" applyFont="1" applyBorder="1" applyAlignment="1" applyProtection="1">
      <alignment horizontal="center"/>
      <protection hidden="1"/>
    </xf>
    <xf numFmtId="3" fontId="26" fillId="0" borderId="7" xfId="0" applyNumberFormat="1" applyFont="1" applyBorder="1" applyAlignment="1" applyProtection="1">
      <alignment horizontal="center" vertical="center"/>
      <protection hidden="1"/>
    </xf>
    <xf numFmtId="3" fontId="26" fillId="0" borderId="8" xfId="0" applyNumberFormat="1" applyFont="1" applyBorder="1" applyAlignment="1" applyProtection="1">
      <alignment horizontal="center" vertical="center"/>
      <protection hidden="1"/>
    </xf>
    <xf numFmtId="3" fontId="26" fillId="0" borderId="9" xfId="0" applyNumberFormat="1" applyFont="1" applyBorder="1" applyAlignment="1" applyProtection="1">
      <alignment horizontal="center" vertical="center"/>
      <protection hidden="1"/>
    </xf>
    <xf numFmtId="164" fontId="28" fillId="0" borderId="0" xfId="0" applyNumberFormat="1" applyFont="1" applyBorder="1" applyAlignment="1" applyProtection="1">
      <alignment horizontal="center" wrapText="1"/>
      <protection hidden="1"/>
    </xf>
    <xf numFmtId="0" fontId="27" fillId="34" borderId="0" xfId="0" applyFont="1" applyFill="1" applyAlignment="1" applyProtection="1">
      <alignment horizontal="center" wrapText="1"/>
      <protection hidden="1"/>
    </xf>
    <xf numFmtId="164" fontId="26" fillId="34" borderId="0" xfId="0" applyNumberFormat="1" applyFont="1" applyFill="1" applyBorder="1" applyAlignment="1" applyProtection="1">
      <alignment horizontal="center" wrapText="1"/>
      <protection hidden="1"/>
    </xf>
    <xf numFmtId="164" fontId="26" fillId="33" borderId="0" xfId="0" applyNumberFormat="1" applyFont="1" applyFill="1" applyBorder="1" applyAlignment="1" applyProtection="1">
      <alignment horizontal="center"/>
      <protection hidden="1"/>
    </xf>
    <xf numFmtId="0" fontId="27" fillId="34" borderId="0" xfId="0" applyNumberFormat="1" applyFont="1" applyFill="1" applyAlignment="1" applyProtection="1">
      <alignment horizontal="center" wrapText="1"/>
      <protection hidden="1"/>
    </xf>
    <xf numFmtId="3" fontId="24" fillId="0" borderId="0" xfId="0" applyNumberFormat="1" applyFont="1" applyBorder="1" applyAlignment="1" applyProtection="1">
      <alignment horizontal="center"/>
      <protection hidden="1"/>
    </xf>
    <xf numFmtId="0" fontId="43" fillId="0" borderId="0" xfId="0" applyFont="1" applyAlignment="1" applyProtection="1">
      <alignment horizontal="center"/>
      <protection hidden="1"/>
    </xf>
    <xf numFmtId="164" fontId="40" fillId="0" borderId="0" xfId="0" applyNumberFormat="1" applyFont="1" applyAlignment="1" applyProtection="1">
      <alignment horizontal="center"/>
      <protection hidden="1"/>
    </xf>
    <xf numFmtId="3" fontId="31" fillId="35" borderId="7" xfId="42" applyNumberFormat="1" applyFont="1" applyFill="1" applyBorder="1" applyAlignment="1">
      <alignment horizontal="center" wrapText="1"/>
    </xf>
    <xf numFmtId="3" fontId="31" fillId="35" borderId="8" xfId="42" applyNumberFormat="1" applyFont="1" applyFill="1" applyBorder="1" applyAlignment="1">
      <alignment horizontal="center" wrapText="1"/>
    </xf>
    <xf numFmtId="3" fontId="31" fillId="35" borderId="9" xfId="42" applyNumberFormat="1" applyFont="1" applyFill="1" applyBorder="1" applyAlignment="1">
      <alignment horizontal="center" wrapText="1"/>
    </xf>
    <xf numFmtId="3" fontId="31" fillId="0" borderId="0" xfId="42" applyNumberFormat="1" applyFont="1" applyBorder="1" applyAlignment="1">
      <alignment horizontal="center" wrapText="1"/>
    </xf>
    <xf numFmtId="3" fontId="31" fillId="0" borderId="6" xfId="42" applyNumberFormat="1" applyFont="1" applyBorder="1" applyAlignment="1">
      <alignment horizontal="center" wrapText="1"/>
    </xf>
    <xf numFmtId="3" fontId="28" fillId="0" borderId="0" xfId="0" applyNumberFormat="1" applyFont="1" applyBorder="1" applyAlignment="1" applyProtection="1">
      <alignment horizontal="center" wrapText="1"/>
      <protection hidden="1"/>
    </xf>
    <xf numFmtId="3" fontId="28" fillId="0" borderId="21" xfId="0" applyNumberFormat="1" applyFont="1" applyBorder="1" applyAlignment="1" applyProtection="1">
      <alignment horizontal="center" wrapText="1"/>
      <protection hidden="1"/>
    </xf>
    <xf numFmtId="3" fontId="28" fillId="0" borderId="0" xfId="0" applyNumberFormat="1" applyFont="1" applyFill="1" applyBorder="1" applyAlignment="1" applyProtection="1">
      <alignment horizontal="center" wrapText="1"/>
      <protection hidden="1"/>
    </xf>
    <xf numFmtId="3" fontId="28" fillId="0" borderId="21" xfId="0" applyNumberFormat="1" applyFont="1" applyFill="1" applyBorder="1" applyAlignment="1" applyProtection="1">
      <alignment horizontal="center" wrapText="1"/>
      <protection hidden="1"/>
    </xf>
    <xf numFmtId="3" fontId="24" fillId="0" borderId="23" xfId="0" applyNumberFormat="1" applyFont="1" applyBorder="1" applyAlignment="1" applyProtection="1">
      <alignment horizontal="center"/>
      <protection hidden="1"/>
    </xf>
    <xf numFmtId="3" fontId="24" fillId="0" borderId="24" xfId="0" applyNumberFormat="1" applyFont="1" applyBorder="1" applyAlignment="1" applyProtection="1">
      <alignment horizontal="center"/>
      <protection hidden="1"/>
    </xf>
    <xf numFmtId="3" fontId="24" fillId="0" borderId="6" xfId="0" applyNumberFormat="1" applyFont="1" applyBorder="1" applyAlignment="1" applyProtection="1">
      <alignment horizontal="center"/>
      <protection hidden="1"/>
    </xf>
    <xf numFmtId="14" fontId="28" fillId="0" borderId="23" xfId="42" applyNumberFormat="1" applyFont="1" applyBorder="1" applyAlignment="1" applyProtection="1">
      <alignment horizontal="center" wrapText="1"/>
      <protection hidden="1"/>
    </xf>
    <xf numFmtId="14" fontId="28" fillId="0" borderId="0" xfId="42" applyNumberFormat="1" applyFont="1" applyBorder="1" applyAlignment="1" applyProtection="1">
      <alignment horizontal="center" wrapText="1"/>
      <protection hidden="1"/>
    </xf>
    <xf numFmtId="14" fontId="28" fillId="0" borderId="21" xfId="42" applyNumberFormat="1" applyFont="1" applyBorder="1" applyAlignment="1" applyProtection="1">
      <alignment horizontal="center" wrapText="1"/>
      <protection hidden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 xr:uid="{00000000-0005-0000-0000-000025000000}"/>
    <cellStyle name="Normal 3" xfId="43" xr:uid="{00000000-0005-0000-0000-000026000000}"/>
    <cellStyle name="Normal 4" xfId="44" xr:uid="{00000000-0005-0000-0000-000027000000}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rive/PAY/FY2017/+StateAidPayment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id"/>
      <sheetName val="June Payment Total"/>
      <sheetName val="Budget Total"/>
      <sheetName val="SpecialEdDeficitPayment"/>
      <sheetName val="IncomeSurtax"/>
      <sheetName val="Data"/>
      <sheetName val="Data-OLD"/>
      <sheetName val="Notes"/>
    </sheetNames>
    <sheetDataSet>
      <sheetData sheetId="0"/>
      <sheetData sheetId="1">
        <row r="6">
          <cell r="A6">
            <v>9</v>
          </cell>
        </row>
      </sheetData>
      <sheetData sheetId="2">
        <row r="7">
          <cell r="A7">
            <v>9</v>
          </cell>
          <cell r="B7" t="str">
            <v>AGWSR</v>
          </cell>
        </row>
        <row r="8">
          <cell r="B8" t="str">
            <v>ADAIR-CASEY</v>
          </cell>
        </row>
        <row r="9">
          <cell r="B9" t="str">
            <v>ADEL-DESOTO-MINBURN</v>
          </cell>
        </row>
        <row r="10">
          <cell r="B10" t="str">
            <v>AKRON-WESTFIELD</v>
          </cell>
        </row>
        <row r="11">
          <cell r="B11" t="str">
            <v>ALBERT CITY-TRUESDALE</v>
          </cell>
        </row>
        <row r="12">
          <cell r="B12" t="str">
            <v>ALBIA</v>
          </cell>
        </row>
        <row r="13">
          <cell r="B13" t="str">
            <v>ALBURNETT</v>
          </cell>
        </row>
        <row r="14">
          <cell r="B14" t="str">
            <v>ALDEN</v>
          </cell>
        </row>
        <row r="15">
          <cell r="B15" t="str">
            <v>ALGONA</v>
          </cell>
        </row>
        <row r="16">
          <cell r="B16" t="str">
            <v>ALLAMAKEE</v>
          </cell>
        </row>
        <row r="17">
          <cell r="B17" t="str">
            <v>NORTH BUTLER</v>
          </cell>
        </row>
        <row r="18">
          <cell r="B18" t="str">
            <v>ALTA</v>
          </cell>
        </row>
        <row r="19">
          <cell r="B19" t="str">
            <v>AMES</v>
          </cell>
        </row>
        <row r="20">
          <cell r="B20" t="str">
            <v>ANAMOSA</v>
          </cell>
        </row>
        <row r="21">
          <cell r="B21" t="str">
            <v>ANDREW</v>
          </cell>
        </row>
        <row r="22">
          <cell r="B22" t="str">
            <v>ANKENY</v>
          </cell>
        </row>
        <row r="23">
          <cell r="B23" t="str">
            <v>APLINGTON-PARKERSBURG</v>
          </cell>
        </row>
        <row r="24">
          <cell r="B24" t="str">
            <v>NORTH UNION</v>
          </cell>
        </row>
        <row r="25">
          <cell r="B25" t="str">
            <v>AR-WE-VA</v>
          </cell>
        </row>
        <row r="26">
          <cell r="B26" t="str">
            <v>ATLANTIC</v>
          </cell>
        </row>
        <row r="27">
          <cell r="B27" t="str">
            <v>AUDUBON</v>
          </cell>
        </row>
        <row r="28">
          <cell r="B28" t="str">
            <v>AURELIA</v>
          </cell>
        </row>
        <row r="29">
          <cell r="B29" t="str">
            <v>AHSTW</v>
          </cell>
        </row>
        <row r="30">
          <cell r="B30" t="str">
            <v>BALLARD</v>
          </cell>
        </row>
        <row r="31">
          <cell r="B31" t="str">
            <v>BATTLE CREEK-IDA GROVE</v>
          </cell>
        </row>
        <row r="32">
          <cell r="B32" t="str">
            <v>BAXTER</v>
          </cell>
        </row>
        <row r="33">
          <cell r="B33" t="str">
            <v>BCLUW</v>
          </cell>
        </row>
        <row r="34">
          <cell r="B34" t="str">
            <v>BEDFORD</v>
          </cell>
        </row>
        <row r="35">
          <cell r="B35" t="str">
            <v>BELLE PLAINE</v>
          </cell>
        </row>
        <row r="36">
          <cell r="B36" t="str">
            <v>BELLEVUE</v>
          </cell>
        </row>
        <row r="37">
          <cell r="B37" t="str">
            <v>BELMOND-KLEMME</v>
          </cell>
        </row>
        <row r="38">
          <cell r="B38" t="str">
            <v>BENNETT</v>
          </cell>
        </row>
        <row r="39">
          <cell r="B39" t="str">
            <v>BENTON</v>
          </cell>
        </row>
        <row r="40">
          <cell r="B40" t="str">
            <v>BETTENDORF</v>
          </cell>
        </row>
        <row r="41">
          <cell r="B41" t="str">
            <v>EDDYVILLE-BLAKESBURG-FREMONT</v>
          </cell>
        </row>
        <row r="42">
          <cell r="B42" t="str">
            <v>BONDURANT-FARRAR</v>
          </cell>
        </row>
        <row r="43">
          <cell r="B43" t="str">
            <v>BOONE</v>
          </cell>
        </row>
        <row r="44">
          <cell r="B44" t="str">
            <v>BOYDEN-HULL</v>
          </cell>
        </row>
        <row r="45">
          <cell r="B45" t="str">
            <v>WEST HANCOCK</v>
          </cell>
        </row>
        <row r="46">
          <cell r="B46" t="str">
            <v>BROOKLYN-GUERNSEY-MALCOM</v>
          </cell>
        </row>
        <row r="47">
          <cell r="B47" t="str">
            <v>NORTH IOWA</v>
          </cell>
        </row>
        <row r="48">
          <cell r="B48" t="str">
            <v>BURLINGTON</v>
          </cell>
        </row>
        <row r="49">
          <cell r="B49" t="str">
            <v>CAM</v>
          </cell>
        </row>
        <row r="50">
          <cell r="B50" t="str">
            <v>CAL</v>
          </cell>
        </row>
        <row r="51">
          <cell r="B51" t="str">
            <v>CALAMUS/WHEATLAND</v>
          </cell>
        </row>
        <row r="52">
          <cell r="B52" t="str">
            <v>CAMANCHE</v>
          </cell>
        </row>
        <row r="53">
          <cell r="B53" t="str">
            <v>CARDINAL</v>
          </cell>
        </row>
        <row r="54">
          <cell r="B54" t="str">
            <v>CARLISLE</v>
          </cell>
        </row>
        <row r="55">
          <cell r="B55" t="str">
            <v>CARROLL</v>
          </cell>
        </row>
        <row r="56">
          <cell r="B56" t="str">
            <v>CEDAR FALLS</v>
          </cell>
        </row>
        <row r="57">
          <cell r="B57" t="str">
            <v>CEDAR RAPIDS</v>
          </cell>
        </row>
        <row r="58">
          <cell r="B58" t="str">
            <v>CENTER POINT-URBANA</v>
          </cell>
        </row>
        <row r="59">
          <cell r="B59" t="str">
            <v>CENTERVILLE</v>
          </cell>
        </row>
        <row r="60">
          <cell r="B60" t="str">
            <v>CENTRAL LEE</v>
          </cell>
        </row>
        <row r="61">
          <cell r="B61" t="str">
            <v>CENTRAL CLAYTON</v>
          </cell>
        </row>
        <row r="62">
          <cell r="B62" t="str">
            <v>CENTRAL DE WITT</v>
          </cell>
        </row>
        <row r="63">
          <cell r="B63" t="str">
            <v>CENTRAL CITY</v>
          </cell>
        </row>
        <row r="64">
          <cell r="B64" t="str">
            <v>CENTRAL DECATUR</v>
          </cell>
        </row>
        <row r="65">
          <cell r="B65" t="str">
            <v>CENTRAL LYON</v>
          </cell>
        </row>
        <row r="66">
          <cell r="B66" t="str">
            <v>CHARITON</v>
          </cell>
        </row>
        <row r="67">
          <cell r="B67" t="str">
            <v>CHARLES CITY</v>
          </cell>
        </row>
        <row r="68">
          <cell r="B68" t="str">
            <v>CHARTER OAK-UTE</v>
          </cell>
        </row>
        <row r="69">
          <cell r="B69" t="str">
            <v>CHEROKEE</v>
          </cell>
        </row>
        <row r="70">
          <cell r="B70" t="str">
            <v>CLARINDA</v>
          </cell>
        </row>
        <row r="71">
          <cell r="B71" t="str">
            <v>CLARION-GOLDFIELD-DOWS</v>
          </cell>
        </row>
        <row r="72">
          <cell r="B72" t="str">
            <v>CLARKE</v>
          </cell>
        </row>
        <row r="73">
          <cell r="B73" t="str">
            <v>CLARKSVILLE</v>
          </cell>
        </row>
        <row r="74">
          <cell r="B74" t="str">
            <v>CLAY CENTRAL-EVERLY</v>
          </cell>
        </row>
        <row r="75">
          <cell r="B75" t="str">
            <v>CLEAR CREEK-AMANA</v>
          </cell>
        </row>
        <row r="76">
          <cell r="B76" t="str">
            <v>CLEAR LAKE</v>
          </cell>
        </row>
        <row r="77">
          <cell r="B77" t="str">
            <v>CLINTON</v>
          </cell>
        </row>
        <row r="78">
          <cell r="B78" t="str">
            <v>COLFAX-MINGO</v>
          </cell>
        </row>
        <row r="79">
          <cell r="B79" t="str">
            <v>COLLEGE</v>
          </cell>
        </row>
        <row r="80">
          <cell r="B80" t="str">
            <v>COLLINS-MAXWELL</v>
          </cell>
        </row>
        <row r="81">
          <cell r="B81" t="str">
            <v>COLO-NESCO</v>
          </cell>
        </row>
        <row r="82">
          <cell r="B82" t="str">
            <v>COLUMBUS</v>
          </cell>
        </row>
        <row r="83">
          <cell r="B83" t="str">
            <v>COON RAPIDS-BAYARD</v>
          </cell>
        </row>
        <row r="84">
          <cell r="B84" t="str">
            <v>CORNING</v>
          </cell>
        </row>
        <row r="85">
          <cell r="B85" t="str">
            <v>COUNCIL BLUFFS</v>
          </cell>
        </row>
        <row r="86">
          <cell r="B86" t="str">
            <v>CRESTON</v>
          </cell>
        </row>
        <row r="87">
          <cell r="B87" t="str">
            <v>DALLAS CENTER-GRIMES</v>
          </cell>
        </row>
        <row r="88">
          <cell r="B88" t="str">
            <v>DANVILLE</v>
          </cell>
        </row>
        <row r="89">
          <cell r="B89" t="str">
            <v>DAVENPORT</v>
          </cell>
        </row>
        <row r="90">
          <cell r="B90" t="str">
            <v>DAVIS COUNTY</v>
          </cell>
        </row>
        <row r="91">
          <cell r="B91" t="str">
            <v>DECORAH</v>
          </cell>
        </row>
        <row r="92">
          <cell r="B92" t="str">
            <v>DELWOOD</v>
          </cell>
        </row>
        <row r="93">
          <cell r="B93" t="str">
            <v>DENISON</v>
          </cell>
        </row>
        <row r="94">
          <cell r="B94" t="str">
            <v>DENVER</v>
          </cell>
        </row>
        <row r="95">
          <cell r="B95" t="str">
            <v>DES MOINES</v>
          </cell>
        </row>
        <row r="96">
          <cell r="B96" t="str">
            <v>DIAGONAL</v>
          </cell>
        </row>
        <row r="97">
          <cell r="B97" t="str">
            <v>DIKE-NEW HARTFORD</v>
          </cell>
        </row>
        <row r="98">
          <cell r="B98" t="str">
            <v>DUBUQUE</v>
          </cell>
        </row>
        <row r="99">
          <cell r="B99" t="str">
            <v>DUNKERTON</v>
          </cell>
        </row>
        <row r="100">
          <cell r="B100" t="str">
            <v>BOYER VALLEY</v>
          </cell>
        </row>
        <row r="101">
          <cell r="B101" t="str">
            <v>DURANT</v>
          </cell>
        </row>
        <row r="102">
          <cell r="B102" t="str">
            <v>UNION</v>
          </cell>
        </row>
        <row r="103">
          <cell r="B103" t="str">
            <v>EAGLE GROVE</v>
          </cell>
        </row>
        <row r="104">
          <cell r="B104" t="str">
            <v>EARLHAM</v>
          </cell>
        </row>
        <row r="105">
          <cell r="B105" t="str">
            <v>EAST BUCHANAN</v>
          </cell>
        </row>
        <row r="106">
          <cell r="B106" t="str">
            <v>EASTON VALLEY</v>
          </cell>
        </row>
        <row r="107">
          <cell r="B107" t="str">
            <v>EAST UNION</v>
          </cell>
        </row>
        <row r="108">
          <cell r="B108" t="str">
            <v>EASTERN ALLAMAKEE</v>
          </cell>
        </row>
        <row r="109">
          <cell r="B109" t="str">
            <v>RIVER VALLEY</v>
          </cell>
        </row>
        <row r="110">
          <cell r="B110" t="str">
            <v>EDGEWOOD-COLESBURG</v>
          </cell>
        </row>
        <row r="111">
          <cell r="B111" t="str">
            <v>ELDORA-NEW PROVIDENCE</v>
          </cell>
        </row>
        <row r="112">
          <cell r="B112" t="str">
            <v>EMMETSBURG</v>
          </cell>
        </row>
        <row r="113">
          <cell r="B113" t="str">
            <v>ENGLISH VALLEYS</v>
          </cell>
        </row>
        <row r="114">
          <cell r="B114" t="str">
            <v>ESSEX</v>
          </cell>
        </row>
        <row r="115">
          <cell r="B115" t="str">
            <v>ESTHERVILLE-LINCOLN CENTRAL</v>
          </cell>
        </row>
        <row r="116">
          <cell r="B116" t="str">
            <v>EXIRA-ELK HORN-KIMBALLTON</v>
          </cell>
        </row>
        <row r="117">
          <cell r="B117" t="str">
            <v>FAIRFIELD</v>
          </cell>
        </row>
        <row r="118">
          <cell r="B118" t="str">
            <v>FOREST CITY</v>
          </cell>
        </row>
        <row r="119">
          <cell r="B119" t="str">
            <v>FORT DODGE</v>
          </cell>
        </row>
        <row r="120">
          <cell r="B120" t="str">
            <v>FORT MADISON</v>
          </cell>
        </row>
        <row r="121">
          <cell r="B121" t="str">
            <v>FREMONT-MILLS</v>
          </cell>
        </row>
        <row r="122">
          <cell r="B122" t="str">
            <v>GALVA-HOLSTEIN</v>
          </cell>
        </row>
        <row r="123">
          <cell r="B123" t="str">
            <v>GARNER-HAYFIELD-VENTURA</v>
          </cell>
        </row>
        <row r="124">
          <cell r="B124" t="str">
            <v>GEORGE-LITTLE ROCK</v>
          </cell>
        </row>
        <row r="125">
          <cell r="B125" t="str">
            <v>GILBERT</v>
          </cell>
        </row>
        <row r="126">
          <cell r="B126" t="str">
            <v>GILMORE CITY-BRADGATE</v>
          </cell>
        </row>
        <row r="127">
          <cell r="B127" t="str">
            <v>GLADBROOK-REINBECK</v>
          </cell>
        </row>
        <row r="128">
          <cell r="B128" t="str">
            <v>GLENWOOD</v>
          </cell>
        </row>
        <row r="129">
          <cell r="B129" t="str">
            <v>GLIDDEN-RALSTON</v>
          </cell>
        </row>
        <row r="130">
          <cell r="B130" t="str">
            <v>GRAETTINGER-TERRIL</v>
          </cell>
        </row>
        <row r="131">
          <cell r="B131" t="str">
            <v>NODAWAY VALLEY</v>
          </cell>
        </row>
        <row r="132">
          <cell r="B132" t="str">
            <v>GMG</v>
          </cell>
        </row>
        <row r="133">
          <cell r="B133" t="str">
            <v>GRINNELL-NEWBURG</v>
          </cell>
        </row>
        <row r="134">
          <cell r="B134" t="str">
            <v>GRISWOLD</v>
          </cell>
        </row>
        <row r="135">
          <cell r="B135" t="str">
            <v>GRUNDY CENTER</v>
          </cell>
        </row>
        <row r="136">
          <cell r="B136" t="str">
            <v>GUTHRIE CENTER</v>
          </cell>
        </row>
        <row r="137">
          <cell r="B137" t="str">
            <v>CLAYTON RIDGE</v>
          </cell>
        </row>
        <row r="138">
          <cell r="B138" t="str">
            <v>HLV</v>
          </cell>
        </row>
        <row r="139">
          <cell r="B139" t="str">
            <v>HAMBURG</v>
          </cell>
        </row>
        <row r="140">
          <cell r="B140" t="str">
            <v>HAMPTON-DUMONT</v>
          </cell>
        </row>
        <row r="141">
          <cell r="B141" t="str">
            <v>HARLAN</v>
          </cell>
        </row>
        <row r="142">
          <cell r="B142" t="str">
            <v>HARMONY</v>
          </cell>
        </row>
        <row r="143">
          <cell r="B143" t="str">
            <v>HARRIS-LAKE PARK</v>
          </cell>
        </row>
        <row r="144">
          <cell r="B144" t="str">
            <v>HARTLEY-MELVIN-SANBORN</v>
          </cell>
        </row>
        <row r="145">
          <cell r="B145" t="str">
            <v>HIGHLAND</v>
          </cell>
        </row>
        <row r="146">
          <cell r="B146" t="str">
            <v>HINTON</v>
          </cell>
        </row>
        <row r="147">
          <cell r="B147" t="str">
            <v>HOWARD-WINNESHIEK</v>
          </cell>
        </row>
        <row r="148">
          <cell r="B148" t="str">
            <v>HUBBARD-RADCLIFFE</v>
          </cell>
        </row>
        <row r="149">
          <cell r="B149" t="str">
            <v>HUDSON</v>
          </cell>
        </row>
        <row r="150">
          <cell r="B150" t="str">
            <v>HUMBOLDT</v>
          </cell>
        </row>
        <row r="151">
          <cell r="B151" t="str">
            <v>INDEPENDENCE</v>
          </cell>
        </row>
        <row r="152">
          <cell r="B152" t="str">
            <v>INDIANOLA</v>
          </cell>
        </row>
        <row r="153">
          <cell r="B153" t="str">
            <v>INTERSTATE 35</v>
          </cell>
        </row>
        <row r="154">
          <cell r="B154" t="str">
            <v>IOWA CITY</v>
          </cell>
        </row>
        <row r="155">
          <cell r="B155" t="str">
            <v>IOWA FALLS</v>
          </cell>
        </row>
        <row r="156">
          <cell r="B156" t="str">
            <v>IOWA VALLEY</v>
          </cell>
        </row>
        <row r="157">
          <cell r="B157" t="str">
            <v>IKM-MANNING</v>
          </cell>
        </row>
        <row r="158">
          <cell r="B158" t="str">
            <v>JANESVILLE</v>
          </cell>
        </row>
        <row r="159">
          <cell r="B159" t="str">
            <v>GREENE COUNTY</v>
          </cell>
        </row>
        <row r="160">
          <cell r="B160" t="str">
            <v>JESUP</v>
          </cell>
        </row>
        <row r="161">
          <cell r="B161" t="str">
            <v>JOHNSTON</v>
          </cell>
        </row>
        <row r="162">
          <cell r="B162" t="str">
            <v>KEOKUK</v>
          </cell>
        </row>
        <row r="163">
          <cell r="B163" t="str">
            <v>KEOTA</v>
          </cell>
        </row>
        <row r="164">
          <cell r="B164" t="str">
            <v>KINGSLEY-PIERSON</v>
          </cell>
        </row>
        <row r="165">
          <cell r="B165" t="str">
            <v>KNOXVILLE</v>
          </cell>
        </row>
        <row r="166">
          <cell r="B166" t="str">
            <v>LAKE MILLS</v>
          </cell>
        </row>
        <row r="167">
          <cell r="B167" t="str">
            <v>LAMONI</v>
          </cell>
        </row>
        <row r="168">
          <cell r="B168" t="str">
            <v>LAURENS-MARATHON</v>
          </cell>
        </row>
        <row r="169">
          <cell r="B169" t="str">
            <v>LAWTON-BRONSON</v>
          </cell>
        </row>
        <row r="170">
          <cell r="B170" t="str">
            <v>EAST MARSHALL</v>
          </cell>
        </row>
        <row r="171">
          <cell r="B171" t="str">
            <v>LE MARS</v>
          </cell>
        </row>
        <row r="172">
          <cell r="B172" t="str">
            <v>LENOX</v>
          </cell>
        </row>
        <row r="173">
          <cell r="B173" t="str">
            <v>LEWIS CENTRAL</v>
          </cell>
        </row>
        <row r="174">
          <cell r="B174" t="str">
            <v>NORTH CEDAR</v>
          </cell>
        </row>
        <row r="175">
          <cell r="B175" t="str">
            <v>LINN-MAR</v>
          </cell>
        </row>
        <row r="176">
          <cell r="B176" t="str">
            <v>LISBON</v>
          </cell>
        </row>
        <row r="177">
          <cell r="B177" t="str">
            <v>LOGAN-MAGNOLIA</v>
          </cell>
        </row>
        <row r="178">
          <cell r="B178" t="str">
            <v>LONE TREE</v>
          </cell>
        </row>
        <row r="179">
          <cell r="B179" t="str">
            <v>LOUISA-MUSCATINE</v>
          </cell>
        </row>
        <row r="180">
          <cell r="B180" t="str">
            <v>LU VERNE</v>
          </cell>
        </row>
        <row r="181">
          <cell r="B181" t="str">
            <v>LYNNVILLE-SULLY</v>
          </cell>
        </row>
        <row r="182">
          <cell r="B182" t="str">
            <v>MADRID</v>
          </cell>
        </row>
        <row r="183">
          <cell r="B183" t="str">
            <v>EAST MILLS</v>
          </cell>
        </row>
        <row r="184">
          <cell r="B184" t="str">
            <v>MANSON-NORTHWEST WEBSTER</v>
          </cell>
        </row>
        <row r="185">
          <cell r="B185" t="str">
            <v>MAPLE VALLEY-ANTHON OTO</v>
          </cell>
        </row>
        <row r="186">
          <cell r="B186" t="str">
            <v>MAQUOKETA</v>
          </cell>
        </row>
        <row r="187">
          <cell r="B187" t="str">
            <v>MAQUOKETA VALLEY</v>
          </cell>
        </row>
        <row r="188">
          <cell r="B188" t="str">
            <v>MARCUS-MERIDEN CLEGHORN</v>
          </cell>
        </row>
        <row r="189">
          <cell r="B189" t="str">
            <v>MARION</v>
          </cell>
        </row>
        <row r="190">
          <cell r="B190" t="str">
            <v>MARSHALLTOWN</v>
          </cell>
        </row>
        <row r="191">
          <cell r="B191" t="str">
            <v>MARTENSDALE-ST MARYS</v>
          </cell>
        </row>
        <row r="192">
          <cell r="B192" t="str">
            <v>MASON CITY</v>
          </cell>
        </row>
        <row r="193">
          <cell r="B193" t="str">
            <v>MOC-FLOYD VALLEY</v>
          </cell>
        </row>
        <row r="194">
          <cell r="B194" t="str">
            <v>MEDIAPOLIS</v>
          </cell>
        </row>
        <row r="195">
          <cell r="B195" t="str">
            <v>MELCHER-DALLAS</v>
          </cell>
        </row>
        <row r="196">
          <cell r="B196" t="str">
            <v>MIDLAND</v>
          </cell>
        </row>
        <row r="197">
          <cell r="B197" t="str">
            <v>MID-PRAIRIE</v>
          </cell>
        </row>
        <row r="198">
          <cell r="B198" t="str">
            <v>MISSOURI VALLEY</v>
          </cell>
        </row>
        <row r="199">
          <cell r="B199" t="str">
            <v>MFL MAR MAC</v>
          </cell>
        </row>
        <row r="200">
          <cell r="B200" t="str">
            <v>MONTEZUMA</v>
          </cell>
        </row>
        <row r="201">
          <cell r="B201" t="str">
            <v>MONTICELLO</v>
          </cell>
        </row>
        <row r="202">
          <cell r="B202" t="str">
            <v>MORAVIA</v>
          </cell>
        </row>
        <row r="203">
          <cell r="B203" t="str">
            <v>MORMON TRAIL</v>
          </cell>
        </row>
        <row r="204">
          <cell r="B204" t="str">
            <v>MORNING SUN</v>
          </cell>
        </row>
        <row r="205">
          <cell r="B205" t="str">
            <v>MOULTON-UDELL</v>
          </cell>
        </row>
        <row r="206">
          <cell r="B206" t="str">
            <v>MOUNT AYR</v>
          </cell>
        </row>
        <row r="207">
          <cell r="B207" t="str">
            <v>MOUNT PLEASANT</v>
          </cell>
        </row>
        <row r="208">
          <cell r="B208" t="str">
            <v>MOUNT VERNON</v>
          </cell>
        </row>
        <row r="209">
          <cell r="B209" t="str">
            <v>MURRAY</v>
          </cell>
        </row>
        <row r="210">
          <cell r="B210" t="str">
            <v>MUSCATINE</v>
          </cell>
        </row>
        <row r="211">
          <cell r="B211" t="str">
            <v>NASHUA-PLAINFIELD</v>
          </cell>
        </row>
        <row r="212">
          <cell r="B212" t="str">
            <v>NEVADA</v>
          </cell>
        </row>
        <row r="213">
          <cell r="B213" t="str">
            <v>NEWELL-FONDA</v>
          </cell>
        </row>
        <row r="214">
          <cell r="B214" t="str">
            <v>NEW HAMPTON</v>
          </cell>
        </row>
        <row r="215">
          <cell r="B215" t="str">
            <v>NEW LONDON</v>
          </cell>
        </row>
        <row r="216">
          <cell r="B216" t="str">
            <v>NEWTON</v>
          </cell>
        </row>
        <row r="217">
          <cell r="B217" t="str">
            <v>CENTRAL SPRINGS</v>
          </cell>
        </row>
        <row r="218">
          <cell r="B218" t="str">
            <v>NORTHEAST</v>
          </cell>
        </row>
        <row r="219">
          <cell r="B219" t="str">
            <v>NORTH FAYETTE</v>
          </cell>
        </row>
        <row r="220">
          <cell r="B220" t="str">
            <v>NORTHEAST HAMILTON</v>
          </cell>
        </row>
        <row r="221">
          <cell r="B221" t="str">
            <v>NORTH MAHASKA</v>
          </cell>
        </row>
        <row r="222">
          <cell r="B222" t="str">
            <v>NORTH LINN</v>
          </cell>
        </row>
        <row r="223">
          <cell r="B223" t="str">
            <v>NORTH KOSSUTH</v>
          </cell>
        </row>
        <row r="224">
          <cell r="B224" t="str">
            <v>NORTH POLK</v>
          </cell>
        </row>
        <row r="225">
          <cell r="B225" t="str">
            <v>NORTH SCOTT</v>
          </cell>
        </row>
        <row r="226">
          <cell r="B226" t="str">
            <v>NORTH TAMA</v>
          </cell>
        </row>
        <row r="227">
          <cell r="B227" t="str">
            <v>NORTH WINNESHIEK</v>
          </cell>
        </row>
        <row r="228">
          <cell r="B228" t="str">
            <v>NORTHWOOD-KENSETT</v>
          </cell>
        </row>
        <row r="229">
          <cell r="B229" t="str">
            <v>NORWALK</v>
          </cell>
        </row>
        <row r="230">
          <cell r="B230" t="str">
            <v>RIVERSIDE</v>
          </cell>
        </row>
        <row r="231">
          <cell r="B231" t="str">
            <v>ODEBOLT-ARTHUR</v>
          </cell>
        </row>
        <row r="232">
          <cell r="B232" t="str">
            <v>OELWEIN</v>
          </cell>
        </row>
        <row r="233">
          <cell r="B233" t="str">
            <v>OGDEN</v>
          </cell>
        </row>
        <row r="234">
          <cell r="B234" t="str">
            <v>OKOBOJI</v>
          </cell>
        </row>
        <row r="235">
          <cell r="B235" t="str">
            <v>OLIN</v>
          </cell>
        </row>
        <row r="236">
          <cell r="B236" t="str">
            <v>ORIENT-MACKSBURG</v>
          </cell>
        </row>
        <row r="237">
          <cell r="B237" t="str">
            <v>OSAGE</v>
          </cell>
        </row>
        <row r="238">
          <cell r="B238" t="str">
            <v>OSKALOOSA</v>
          </cell>
        </row>
        <row r="239">
          <cell r="B239" t="str">
            <v>OTTUMWA</v>
          </cell>
        </row>
        <row r="240">
          <cell r="B240" t="str">
            <v>PANORAMA</v>
          </cell>
        </row>
        <row r="241">
          <cell r="B241" t="str">
            <v>PATON-CHURDAN</v>
          </cell>
        </row>
        <row r="242">
          <cell r="B242" t="str">
            <v>SOUTH O'BRIEN</v>
          </cell>
        </row>
        <row r="243">
          <cell r="B243" t="str">
            <v>PEKIN</v>
          </cell>
        </row>
        <row r="244">
          <cell r="B244" t="str">
            <v>PELLA</v>
          </cell>
        </row>
        <row r="245">
          <cell r="B245" t="str">
            <v>PERRY</v>
          </cell>
        </row>
        <row r="246">
          <cell r="B246" t="str">
            <v>PLEASANT VALLEY</v>
          </cell>
        </row>
        <row r="247">
          <cell r="B247" t="str">
            <v>PLEASANTVILLE</v>
          </cell>
        </row>
        <row r="248">
          <cell r="B248" t="str">
            <v>POCAHONTAS AREA</v>
          </cell>
        </row>
        <row r="249">
          <cell r="B249" t="str">
            <v>POSTVILLE</v>
          </cell>
        </row>
        <row r="250">
          <cell r="B250" t="str">
            <v>PCM</v>
          </cell>
        </row>
        <row r="251">
          <cell r="B251" t="str">
            <v>PRAIRIE VALLEY</v>
          </cell>
        </row>
        <row r="252">
          <cell r="B252" t="str">
            <v>RED OAK</v>
          </cell>
        </row>
        <row r="253">
          <cell r="B253" t="str">
            <v>REMSEN-UNION</v>
          </cell>
        </row>
        <row r="254">
          <cell r="B254" t="str">
            <v>RICEVILLE</v>
          </cell>
        </row>
        <row r="255">
          <cell r="B255" t="str">
            <v>ROCK VALLEY</v>
          </cell>
        </row>
        <row r="256">
          <cell r="B256" t="str">
            <v>ROLAND-STORY</v>
          </cell>
        </row>
        <row r="257">
          <cell r="B257" t="str">
            <v>RUDD-ROCKFORD-MARBLE ROCK</v>
          </cell>
        </row>
        <row r="258">
          <cell r="B258" t="str">
            <v>RUTHVEN-AYRSHIRE</v>
          </cell>
        </row>
        <row r="259">
          <cell r="B259" t="str">
            <v>ST ANSGAR</v>
          </cell>
        </row>
        <row r="260">
          <cell r="B260" t="str">
            <v>SAYDEL</v>
          </cell>
        </row>
        <row r="261">
          <cell r="B261" t="str">
            <v>SCHALLER-CRESTLAND</v>
          </cell>
        </row>
        <row r="262">
          <cell r="B262" t="str">
            <v>SCHLESWIG</v>
          </cell>
        </row>
        <row r="263">
          <cell r="B263" t="str">
            <v>SERGEANT BLUFF-LUTON</v>
          </cell>
        </row>
        <row r="264">
          <cell r="B264" t="str">
            <v>SEYMOUR</v>
          </cell>
        </row>
        <row r="265">
          <cell r="B265" t="str">
            <v>WEST FORK</v>
          </cell>
        </row>
        <row r="266">
          <cell r="B266" t="str">
            <v>SHELDON</v>
          </cell>
        </row>
        <row r="267">
          <cell r="B267" t="str">
            <v>SHENANDOAH</v>
          </cell>
        </row>
        <row r="268">
          <cell r="B268" t="str">
            <v>SIBLEY-OCHEYEDAN</v>
          </cell>
        </row>
        <row r="269">
          <cell r="B269" t="str">
            <v>SIDNEY</v>
          </cell>
        </row>
        <row r="270">
          <cell r="B270" t="str">
            <v>SIGOURNEY</v>
          </cell>
        </row>
        <row r="271">
          <cell r="B271" t="str">
            <v>SIOUX CENTER</v>
          </cell>
        </row>
        <row r="272">
          <cell r="B272" t="str">
            <v>SIOUX CITY</v>
          </cell>
        </row>
        <row r="273">
          <cell r="B273" t="str">
            <v>SIOUX CENTRAL</v>
          </cell>
        </row>
        <row r="274">
          <cell r="B274" t="str">
            <v>SOUTH CENTRAL CALHOUN</v>
          </cell>
        </row>
        <row r="275">
          <cell r="B275" t="str">
            <v>SOLON</v>
          </cell>
        </row>
        <row r="276">
          <cell r="B276" t="str">
            <v>SOUTHEAST WARREN</v>
          </cell>
        </row>
        <row r="277">
          <cell r="B277" t="str">
            <v>SOUTH HAMILTON</v>
          </cell>
        </row>
        <row r="278">
          <cell r="B278" t="str">
            <v>SOUTHEAST WEBSTER-GRAND</v>
          </cell>
        </row>
        <row r="279">
          <cell r="B279" t="str">
            <v>SOUTH PAGE</v>
          </cell>
        </row>
        <row r="280">
          <cell r="B280" t="str">
            <v>SOUTH TAMA</v>
          </cell>
        </row>
        <row r="281">
          <cell r="B281" t="str">
            <v>SOUTH WINNESHIEK</v>
          </cell>
        </row>
        <row r="282">
          <cell r="B282" t="str">
            <v>SOUTHEAST POLK</v>
          </cell>
        </row>
        <row r="283">
          <cell r="B283" t="str">
            <v>SPENCER</v>
          </cell>
        </row>
        <row r="284">
          <cell r="B284" t="str">
            <v>SPIRIT LAKE</v>
          </cell>
        </row>
        <row r="285">
          <cell r="B285" t="str">
            <v>SPRINGVILLE</v>
          </cell>
        </row>
        <row r="286">
          <cell r="B286" t="str">
            <v>STANTON</v>
          </cell>
        </row>
        <row r="287">
          <cell r="B287" t="str">
            <v>STARMONT</v>
          </cell>
        </row>
        <row r="288">
          <cell r="B288" t="str">
            <v>STORM LAKE</v>
          </cell>
        </row>
        <row r="289">
          <cell r="B289" t="str">
            <v>STRATFORD</v>
          </cell>
        </row>
        <row r="290">
          <cell r="B290" t="str">
            <v>WEST CENTRAL VALLEY</v>
          </cell>
        </row>
        <row r="291">
          <cell r="B291" t="str">
            <v>SUMNER-FREDERICKSBURG</v>
          </cell>
        </row>
        <row r="292">
          <cell r="B292" t="str">
            <v>TIPTON</v>
          </cell>
        </row>
        <row r="293">
          <cell r="B293" t="str">
            <v>TREYNOR</v>
          </cell>
        </row>
        <row r="294">
          <cell r="B294" t="str">
            <v>TRI-CENTER</v>
          </cell>
        </row>
        <row r="295">
          <cell r="B295" t="str">
            <v>TRI-COUNTY</v>
          </cell>
        </row>
        <row r="296">
          <cell r="B296" t="str">
            <v>TRIPOLI</v>
          </cell>
        </row>
        <row r="297">
          <cell r="B297" t="str">
            <v>TURKEY VALLEY</v>
          </cell>
        </row>
        <row r="298">
          <cell r="B298" t="str">
            <v>TWIN CEDARS</v>
          </cell>
        </row>
        <row r="299">
          <cell r="B299" t="str">
            <v>TWIN RIVERS</v>
          </cell>
        </row>
        <row r="300">
          <cell r="B300" t="str">
            <v>UNDERWOOD</v>
          </cell>
        </row>
        <row r="301">
          <cell r="B301" t="str">
            <v>UNITED</v>
          </cell>
        </row>
        <row r="302">
          <cell r="B302" t="str">
            <v>URBANDALE</v>
          </cell>
        </row>
        <row r="303">
          <cell r="B303" t="str">
            <v>VALLEY</v>
          </cell>
        </row>
        <row r="304">
          <cell r="B304" t="str">
            <v>VAN BUREN</v>
          </cell>
        </row>
        <row r="305">
          <cell r="B305" t="str">
            <v>VAN METER</v>
          </cell>
        </row>
        <row r="306">
          <cell r="B306" t="str">
            <v>VILLISCA</v>
          </cell>
        </row>
        <row r="307">
          <cell r="B307" t="str">
            <v>VINTON-SHELLSBURG</v>
          </cell>
        </row>
        <row r="308">
          <cell r="B308" t="str">
            <v>WACO</v>
          </cell>
        </row>
        <row r="309">
          <cell r="B309" t="str">
            <v>EAST SAC COUNTY</v>
          </cell>
        </row>
        <row r="310">
          <cell r="B310" t="str">
            <v>WAPELLO</v>
          </cell>
        </row>
        <row r="311">
          <cell r="B311" t="str">
            <v>WAPSIE VALLEY</v>
          </cell>
        </row>
        <row r="312">
          <cell r="B312" t="str">
            <v>WASHINGTON</v>
          </cell>
        </row>
        <row r="313">
          <cell r="B313" t="str">
            <v>WATERLOO</v>
          </cell>
        </row>
        <row r="314">
          <cell r="B314" t="str">
            <v>WAUKEE</v>
          </cell>
        </row>
        <row r="315">
          <cell r="B315" t="str">
            <v>WAVERLY-SHELL ROCK</v>
          </cell>
        </row>
        <row r="316">
          <cell r="B316" t="str">
            <v>WAYNE</v>
          </cell>
        </row>
        <row r="317">
          <cell r="B317" t="str">
            <v>WEBSTER CITY</v>
          </cell>
        </row>
        <row r="318">
          <cell r="B318" t="str">
            <v>WEST BEND-MALLARD</v>
          </cell>
        </row>
        <row r="319">
          <cell r="B319" t="str">
            <v>WEST BRANCH</v>
          </cell>
        </row>
        <row r="320">
          <cell r="B320" t="str">
            <v>WEST BURLINGTON</v>
          </cell>
        </row>
        <row r="321">
          <cell r="B321" t="str">
            <v>WEST CENTRAL</v>
          </cell>
        </row>
        <row r="322">
          <cell r="B322" t="str">
            <v>WEST DELAWARE CO</v>
          </cell>
        </row>
        <row r="323">
          <cell r="B323" t="str">
            <v>WEST DES MOINES</v>
          </cell>
        </row>
        <row r="324">
          <cell r="B324" t="str">
            <v>WESTERN DUBUQUE CO</v>
          </cell>
        </row>
        <row r="325">
          <cell r="B325" t="str">
            <v>WEST HARRISON</v>
          </cell>
        </row>
        <row r="326">
          <cell r="B326" t="str">
            <v>WEST LIBERTY</v>
          </cell>
        </row>
        <row r="327">
          <cell r="B327" t="str">
            <v>WEST LYON</v>
          </cell>
        </row>
        <row r="328">
          <cell r="B328" t="str">
            <v>WEST MARSHALL</v>
          </cell>
        </row>
        <row r="329">
          <cell r="B329" t="str">
            <v>WEST MONONA</v>
          </cell>
        </row>
        <row r="330">
          <cell r="B330" t="str">
            <v>WEST SIOUX</v>
          </cell>
        </row>
        <row r="331">
          <cell r="B331" t="str">
            <v>WESTWOOD</v>
          </cell>
        </row>
        <row r="332">
          <cell r="B332" t="str">
            <v>WHITING</v>
          </cell>
        </row>
        <row r="333">
          <cell r="B333" t="str">
            <v>WILLIAMSBURG</v>
          </cell>
        </row>
        <row r="334">
          <cell r="B334" t="str">
            <v>WILTON</v>
          </cell>
        </row>
        <row r="335">
          <cell r="B335" t="str">
            <v>WINFIELD-MT UNION</v>
          </cell>
        </row>
        <row r="336">
          <cell r="B336" t="str">
            <v>WINTERSET</v>
          </cell>
        </row>
        <row r="337">
          <cell r="B337" t="str">
            <v>WOODBINE</v>
          </cell>
        </row>
        <row r="338">
          <cell r="B338" t="str">
            <v>WOODBURY CENTRAL</v>
          </cell>
        </row>
        <row r="339">
          <cell r="B339" t="str">
            <v>WOODWARD-GRANGER</v>
          </cell>
        </row>
        <row r="340">
          <cell r="B340" t="str">
            <v>STATEWIDE</v>
          </cell>
        </row>
      </sheetData>
      <sheetData sheetId="3">
        <row r="10">
          <cell r="B10">
            <v>18</v>
          </cell>
        </row>
      </sheetData>
      <sheetData sheetId="4">
        <row r="6">
          <cell r="A6">
            <v>18</v>
          </cell>
        </row>
      </sheetData>
      <sheetData sheetId="5">
        <row r="4">
          <cell r="A4">
            <v>7</v>
          </cell>
        </row>
      </sheetData>
      <sheetData sheetId="6" refreshError="1"/>
      <sheetData sheetId="7">
        <row r="1">
          <cell r="B1">
            <v>2017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" displayName="Data" ref="A1:AO327" totalsRowShown="0" headerRowDxfId="42" dataDxfId="41">
  <autoFilter ref="A1:AO327" xr:uid="{00000000-0009-0000-0100-000001000000}"/>
  <tableColumns count="41">
    <tableColumn id="1" xr3:uid="{00000000-0010-0000-0000-000001000000}" name="FiscalYear" dataDxfId="40"/>
    <tableColumn id="2" xr3:uid="{00000000-0010-0000-0000-000002000000}" name="Dist" dataDxfId="39"/>
    <tableColumn id="3" xr3:uid="{00000000-0010-0000-0000-000003000000}" name="DistrictNumber" dataDxfId="38"/>
    <tableColumn id="4" xr3:uid="{00000000-0010-0000-0000-000004000000}" name="Label" dataDxfId="37"/>
    <tableColumn id="5" xr3:uid="{00000000-0010-0000-0000-000005000000}" name="Original Budget (Aid and Levy 16.12)" dataDxfId="36"/>
    <tableColumn id="6" xr3:uid="{00000000-0010-0000-0000-000006000000}" name="Preschool State Admin Reduction" dataDxfId="35"/>
    <tableColumn id="27" xr3:uid="{C4263A33-819D-4218-B43D-75C2D60507C4}" name="Resident Charter School Student Reduction" dataDxfId="34"/>
    <tableColumn id="7" xr3:uid="{00000000-0010-0000-0000-000007000000}" name="Juvenile Home Reduction (Starts in January)" dataDxfId="33"/>
    <tableColumn id="8" xr3:uid="{00000000-0010-0000-0000-000008000000}" name="Spec Ed Excess Pos Balance Reduction" dataDxfId="32"/>
    <tableColumn id="9" xr3:uid="{00000000-0010-0000-0000-000009000000}" name="Pay 1 Regular State Payment Budget" dataDxfId="31"/>
    <tableColumn id="10" xr3:uid="{00000000-0010-0000-0000-00000A000000}" name="Pay 2 Regular State Payment Budget" dataDxfId="30"/>
    <tableColumn id="11" xr3:uid="{00000000-0010-0000-0000-00000B000000}" name="Pay 3 Regular State Payment Budget" dataDxfId="29"/>
    <tableColumn id="12" xr3:uid="{00000000-0010-0000-0000-00000C000000}" name="Preschool State Aid (Code 3117)" dataDxfId="28"/>
    <tableColumn id="13" xr3:uid="{00000000-0010-0000-0000-00000D000000}" name="Teacher Salary (Code 3204)" dataDxfId="27"/>
    <tableColumn id="14" xr3:uid="{00000000-0010-0000-0000-00000E000000}" name="Early Intervention (Code 3216)" dataDxfId="26"/>
    <tableColumn id="15" xr3:uid="{00000000-0010-0000-0000-00000F000000}" name="Professional Development (Code 3376)" dataDxfId="25"/>
    <tableColumn id="16" xr3:uid="{00000000-0010-0000-0000-000010000000}" name="Teacher Leadership (Code 3116)" dataDxfId="24"/>
    <tableColumn id="17" xr3:uid="{00000000-0010-0000-0000-000011000000}" name="Pay 1 State Foundation Aid (Code 3111)" dataDxfId="23"/>
    <tableColumn id="18" xr3:uid="{00000000-0010-0000-0000-000012000000}" name="Pay 2 State Foundation Aid (Code 3111)" dataDxfId="22"/>
    <tableColumn id="19" xr3:uid="{00000000-0010-0000-0000-000013000000}" name="Pay 3 State Foundation Aid (Code 3111)" dataDxfId="21"/>
    <tableColumn id="20" xr3:uid="{00000000-0010-0000-0000-000014000000}" name="September Payment" dataDxfId="20"/>
    <tableColumn id="21" xr3:uid="{00000000-0010-0000-0000-000015000000}" name="October Payment" dataDxfId="19"/>
    <tableColumn id="22" xr3:uid="{00000000-0010-0000-0000-000016000000}" name="November Payment" dataDxfId="18"/>
    <tableColumn id="23" xr3:uid="{00000000-0010-0000-0000-000017000000}" name="December Payment" dataDxfId="17"/>
    <tableColumn id="24" xr3:uid="{00000000-0010-0000-0000-000018000000}" name="January Payment" dataDxfId="16"/>
    <tableColumn id="25" xr3:uid="{00000000-0010-0000-0000-000019000000}" name="February Payment" dataDxfId="15"/>
    <tableColumn id="31" xr3:uid="{00000000-0010-0000-0000-00001F000000}" name="March Payment" dataDxfId="14"/>
    <tableColumn id="32" xr3:uid="{00000000-0010-0000-0000-000020000000}" name="April Payment" dataDxfId="13"/>
    <tableColumn id="33" xr3:uid="{00000000-0010-0000-0000-000021000000}" name="May Payment" dataDxfId="12"/>
    <tableColumn id="34" xr3:uid="{00000000-0010-0000-0000-000022000000}" name="June Payment" dataDxfId="11"/>
    <tableColumn id="35" xr3:uid="{00000000-0010-0000-0000-000023000000}" name="Paid Thru September" dataDxfId="10"/>
    <tableColumn id="36" xr3:uid="{00000000-0010-0000-0000-000024000000}" name="Paid Thru October" dataDxfId="9"/>
    <tableColumn id="37" xr3:uid="{00000000-0010-0000-0000-000025000000}" name="Paid Thru November" dataDxfId="8"/>
    <tableColumn id="38" xr3:uid="{00000000-0010-0000-0000-000026000000}" name="Paid Thru December" dataDxfId="7"/>
    <tableColumn id="39" xr3:uid="{00000000-0010-0000-0000-000027000000}" name="Paid Thru January" dataDxfId="6"/>
    <tableColumn id="40" xr3:uid="{00000000-0010-0000-0000-000028000000}" name="Paid Thru February" dataDxfId="5"/>
    <tableColumn id="41" xr3:uid="{00000000-0010-0000-0000-000029000000}" name="Paid Thru March" dataDxfId="4"/>
    <tableColumn id="42" xr3:uid="{00000000-0010-0000-0000-00002A000000}" name="Paid Thru April" dataDxfId="3"/>
    <tableColumn id="43" xr3:uid="{00000000-0010-0000-0000-00002B000000}" name="Paid Thru May" dataDxfId="2"/>
    <tableColumn id="44" xr3:uid="{00000000-0010-0000-0000-00002C000000}" name="Paid Thru June" dataDxfId="1"/>
    <tableColumn id="26" xr3:uid="{00000000-0010-0000-0000-00001A000000}" name="State Payments to AEA (AEA Flowthrough)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430"/>
  <sheetViews>
    <sheetView workbookViewId="0">
      <pane xSplit="2" ySplit="5" topLeftCell="C299" activePane="bottomRight" state="frozen"/>
      <selection pane="topRight" activeCell="C1" sqref="C1"/>
      <selection pane="bottomLeft" activeCell="A8" sqref="A8"/>
      <selection pane="bottomRight" sqref="A1:H1"/>
    </sheetView>
  </sheetViews>
  <sheetFormatPr defaultRowHeight="11.25" x14ac:dyDescent="0.2"/>
  <cols>
    <col min="1" max="1" width="9.140625" style="25" customWidth="1"/>
    <col min="2" max="2" width="24.5703125" style="26" bestFit="1" customWidth="1"/>
    <col min="3" max="3" width="19.7109375" style="27" customWidth="1"/>
    <col min="4" max="8" width="16.140625" style="27" customWidth="1"/>
    <col min="9" max="9" width="12" style="26" customWidth="1"/>
    <col min="10" max="10" width="10.85546875" style="26" bestFit="1" customWidth="1"/>
    <col min="11" max="16384" width="9.140625" style="26"/>
  </cols>
  <sheetData>
    <row r="1" spans="1:11" s="11" customFormat="1" ht="17.25" customHeight="1" x14ac:dyDescent="0.3">
      <c r="A1" s="210" t="str">
        <f>CONCATENATE("FY ",Notes!$B$1," Budget for State Payments to School Districts (Budget Total)")</f>
        <v>FY 2024 Budget for State Payments to School Districts (Budget Total)</v>
      </c>
      <c r="B1" s="210"/>
      <c r="C1" s="210"/>
      <c r="D1" s="210"/>
      <c r="E1" s="210"/>
      <c r="F1" s="210"/>
      <c r="G1" s="210"/>
      <c r="H1" s="210"/>
      <c r="I1" s="10"/>
    </row>
    <row r="2" spans="1:11" s="11" customFormat="1" ht="14.45" customHeight="1" x14ac:dyDescent="0.2">
      <c r="A2" s="211" t="s">
        <v>17</v>
      </c>
      <c r="B2" s="211"/>
      <c r="C2" s="211"/>
      <c r="D2" s="211"/>
      <c r="E2" s="211"/>
      <c r="F2" s="211"/>
      <c r="G2" s="211"/>
      <c r="H2" s="211"/>
      <c r="I2" s="12"/>
    </row>
    <row r="3" spans="1:11" s="14" customFormat="1" ht="12.75" x14ac:dyDescent="0.2">
      <c r="A3" s="13"/>
      <c r="C3" s="15" t="s">
        <v>7</v>
      </c>
      <c r="D3" s="15" t="s">
        <v>8</v>
      </c>
      <c r="E3" s="15" t="s">
        <v>11</v>
      </c>
      <c r="F3" s="15" t="s">
        <v>10</v>
      </c>
      <c r="G3" s="15" t="s">
        <v>838</v>
      </c>
      <c r="H3" s="16" t="s">
        <v>839</v>
      </c>
    </row>
    <row r="4" spans="1:11" s="14" customFormat="1" ht="39" hidden="1" customHeight="1" x14ac:dyDescent="0.2">
      <c r="A4" s="17"/>
      <c r="B4" s="18" t="str">
        <f>Data[[#Headers],[Label]]</f>
        <v>Label</v>
      </c>
      <c r="C4" s="18" t="str">
        <f>Data[[#Headers],[Original Budget (Aid and Levy 16.12)]]</f>
        <v>Original Budget (Aid and Levy 16.12)</v>
      </c>
      <c r="D4" s="18" t="str">
        <f>Data[[#Headers],[Preschool State Admin Reduction]]</f>
        <v>Preschool State Admin Reduction</v>
      </c>
      <c r="E4" s="18" t="str">
        <f>Data[[#Headers],[Resident Charter School Student Reduction]]</f>
        <v>Resident Charter School Student Reduction</v>
      </c>
      <c r="F4" s="18" t="str">
        <f>Data[[#Headers],[Juvenile Home Reduction (Starts in January)]]</f>
        <v>Juvenile Home Reduction (Starts in January)</v>
      </c>
      <c r="G4" s="18" t="str">
        <f>Data[[#Headers],[Spec Ed Excess Pos Balance Reduction]]</f>
        <v>Spec Ed Excess Pos Balance Reduction</v>
      </c>
      <c r="H4" s="18" t="str">
        <f>Notes!$B$3</f>
        <v>Pay 1 Regular State Payment Budget</v>
      </c>
    </row>
    <row r="5" spans="1:11" s="14" customFormat="1" ht="38.25" x14ac:dyDescent="0.2">
      <c r="A5" s="13"/>
      <c r="B5" s="19"/>
      <c r="C5" s="61" t="s">
        <v>703</v>
      </c>
      <c r="D5" s="61" t="s">
        <v>704</v>
      </c>
      <c r="E5" s="61" t="s">
        <v>841</v>
      </c>
      <c r="F5" s="61" t="s">
        <v>705</v>
      </c>
      <c r="G5" s="61" t="s">
        <v>706</v>
      </c>
      <c r="H5" s="62" t="s">
        <v>840</v>
      </c>
    </row>
    <row r="6" spans="1:11" s="21" customFormat="1" ht="12.75" x14ac:dyDescent="0.2">
      <c r="A6" s="20" t="str">
        <f>Data!B2</f>
        <v>0009</v>
      </c>
      <c r="B6" s="21" t="str">
        <f>INDEX(Data[],MATCH($A6,Data[Dist],0),MATCH(B$4,Data[#Headers],0))</f>
        <v>AGWSR</v>
      </c>
      <c r="C6" s="22">
        <f>INDEX(Data[],MATCH($A6,Data[Dist],0),MATCH(C$4,Data[#Headers],0))</f>
        <v>3893298</v>
      </c>
      <c r="D6" s="22">
        <f>INDEX(Data[],MATCH($A6,Data[Dist],0),MATCH(D$4,Data[#Headers],0))</f>
        <v>763</v>
      </c>
      <c r="E6" s="22">
        <f>INDEX(Data[],MATCH($A6,Data[Dist],0),MATCH(E$4,Data[#Headers],0))</f>
        <v>0</v>
      </c>
      <c r="F6" s="22">
        <f>IF(Notes!$B$3="Pay 1 Regular State Payment Budget",0,INDEX(Data[],MATCH($A6,Data[Dist],0),MATCH(F$4,Data[#Headers],0)))</f>
        <v>0</v>
      </c>
      <c r="G6" s="22">
        <f>IF(OR(Notes!$B$3="Pay 1 Regular State Payment Budget",Notes!$B$3="Pay 2 Regular State Payment Budget"),0,INDEX(Data[],MATCH($A6,Data[Dist],0),MATCH(G$4,Data[#Headers],0)))</f>
        <v>0</v>
      </c>
      <c r="H6" s="22">
        <f>INDEX(Data[],MATCH($A6,Data[Dist],0),MATCH(H$4,Data[#Headers],0))</f>
        <v>3892535</v>
      </c>
    </row>
    <row r="7" spans="1:11" s="21" customFormat="1" ht="12.75" x14ac:dyDescent="0.2">
      <c r="A7" s="20" t="str">
        <f>Data!B3</f>
        <v>0018</v>
      </c>
      <c r="B7" s="21" t="str">
        <f>INDEX(Data[],MATCH($A7,Data[Dist],0),MATCH(B$4,Data[#Headers],0))</f>
        <v>Adair-Casey</v>
      </c>
      <c r="C7" s="22">
        <f>INDEX(Data[],MATCH($A7,Data[Dist],0),MATCH(C$4,Data[#Headers],0))</f>
        <v>1934210</v>
      </c>
      <c r="D7" s="22">
        <f>INDEX(Data[],MATCH($A7,Data[Dist],0),MATCH(D$4,Data[#Headers],0))</f>
        <v>299</v>
      </c>
      <c r="E7" s="22">
        <f>INDEX(Data[],MATCH($A7,Data[Dist],0),MATCH(E$4,Data[#Headers],0))</f>
        <v>0</v>
      </c>
      <c r="F7" s="22">
        <f>IF(Notes!$B$3="Pay 1 Regular State Payment Budget",0,INDEX(Data[],MATCH($A7,Data[Dist],0),MATCH(F$4,Data[#Headers],0)))</f>
        <v>0</v>
      </c>
      <c r="G7" s="22">
        <f>IF(OR(Notes!$B$3="Pay 1 Regular State Payment Budget",Notes!$B$3="Pay 2 Regular State Payment Budget"),0,INDEX(Data[],MATCH($A7,Data[Dist],0),MATCH(G$4,Data[#Headers],0)))</f>
        <v>0</v>
      </c>
      <c r="H7" s="22">
        <f>INDEX(Data[],MATCH($A7,Data[Dist],0),MATCH(H$4,Data[#Headers],0))</f>
        <v>1933911</v>
      </c>
    </row>
    <row r="8" spans="1:11" s="21" customFormat="1" ht="12.75" x14ac:dyDescent="0.2">
      <c r="A8" s="20" t="str">
        <f>Data!B4</f>
        <v>0027</v>
      </c>
      <c r="B8" s="21" t="str">
        <f>INDEX(Data[],MATCH($A8,Data[Dist],0),MATCH(B$4,Data[#Headers],0))</f>
        <v>Adel-Desoto-Minburn</v>
      </c>
      <c r="C8" s="22">
        <f>INDEX(Data[],MATCH($A8,Data[Dist],0),MATCH(C$4,Data[#Headers],0))</f>
        <v>15581793</v>
      </c>
      <c r="D8" s="22">
        <f>INDEX(Data[],MATCH($A8,Data[Dist],0),MATCH(D$4,Data[#Headers],0))</f>
        <v>564</v>
      </c>
      <c r="E8" s="22">
        <f>INDEX(Data[],MATCH($A8,Data[Dist],0),MATCH(E$4,Data[#Headers],0))</f>
        <v>0</v>
      </c>
      <c r="F8" s="22">
        <f>IF(Notes!$B$3="Pay 1 Regular State Payment Budget",0,INDEX(Data[],MATCH($A8,Data[Dist],0),MATCH(F$4,Data[#Headers],0)))</f>
        <v>0</v>
      </c>
      <c r="G8" s="22">
        <f>IF(OR(Notes!$B$3="Pay 1 Regular State Payment Budget",Notes!$B$3="Pay 2 Regular State Payment Budget"),0,INDEX(Data[],MATCH($A8,Data[Dist],0),MATCH(G$4,Data[#Headers],0)))</f>
        <v>0</v>
      </c>
      <c r="H8" s="22">
        <f>INDEX(Data[],MATCH($A8,Data[Dist],0),MATCH(H$4,Data[#Headers],0))</f>
        <v>15581229</v>
      </c>
    </row>
    <row r="9" spans="1:11" s="21" customFormat="1" ht="12.75" x14ac:dyDescent="0.2">
      <c r="A9" s="20" t="str">
        <f>Data!B5</f>
        <v>0063</v>
      </c>
      <c r="B9" s="21" t="str">
        <f>INDEX(Data[],MATCH($A9,Data[Dist],0),MATCH(B$4,Data[#Headers],0))</f>
        <v>Akron-Westfield</v>
      </c>
      <c r="C9" s="22">
        <f>INDEX(Data[],MATCH($A9,Data[Dist],0),MATCH(C$4,Data[#Headers],0))</f>
        <v>3986620</v>
      </c>
      <c r="D9" s="22">
        <f>INDEX(Data[],MATCH($A9,Data[Dist],0),MATCH(D$4,Data[#Headers],0))</f>
        <v>398</v>
      </c>
      <c r="E9" s="22">
        <f>INDEX(Data[],MATCH($A9,Data[Dist],0),MATCH(E$4,Data[#Headers],0))</f>
        <v>0</v>
      </c>
      <c r="F9" s="22">
        <f>IF(Notes!$B$3="Pay 1 Regular State Payment Budget",0,INDEX(Data[],MATCH($A9,Data[Dist],0),MATCH(F$4,Data[#Headers],0)))</f>
        <v>0</v>
      </c>
      <c r="G9" s="22">
        <f>IF(OR(Notes!$B$3="Pay 1 Regular State Payment Budget",Notes!$B$3="Pay 2 Regular State Payment Budget"),0,INDEX(Data[],MATCH($A9,Data[Dist],0),MATCH(G$4,Data[#Headers],0)))</f>
        <v>0</v>
      </c>
      <c r="H9" s="22">
        <f>INDEX(Data[],MATCH($A9,Data[Dist],0),MATCH(H$4,Data[#Headers],0))</f>
        <v>3986222</v>
      </c>
    </row>
    <row r="10" spans="1:11" s="21" customFormat="1" ht="12.75" x14ac:dyDescent="0.2">
      <c r="A10" s="20" t="str">
        <f>Data!B6</f>
        <v>0072</v>
      </c>
      <c r="B10" s="21" t="str">
        <f>INDEX(Data[],MATCH($A10,Data[Dist],0),MATCH(B$4,Data[#Headers],0))</f>
        <v>Albert City-Truesdale</v>
      </c>
      <c r="C10" s="22">
        <f>INDEX(Data[],MATCH($A10,Data[Dist],0),MATCH(C$4,Data[#Headers],0))</f>
        <v>1023830</v>
      </c>
      <c r="D10" s="22">
        <f>INDEX(Data[],MATCH($A10,Data[Dist],0),MATCH(D$4,Data[#Headers],0))</f>
        <v>199</v>
      </c>
      <c r="E10" s="22">
        <f>INDEX(Data[],MATCH($A10,Data[Dist],0),MATCH(E$4,Data[#Headers],0))</f>
        <v>0</v>
      </c>
      <c r="F10" s="22">
        <f>IF(Notes!$B$3="Pay 1 Regular State Payment Budget",0,INDEX(Data[],MATCH($A10,Data[Dist],0),MATCH(F$4,Data[#Headers],0)))</f>
        <v>0</v>
      </c>
      <c r="G10" s="22">
        <f>IF(OR(Notes!$B$3="Pay 1 Regular State Payment Budget",Notes!$B$3="Pay 2 Regular State Payment Budget"),0,INDEX(Data[],MATCH($A10,Data[Dist],0),MATCH(G$4,Data[#Headers],0)))</f>
        <v>0</v>
      </c>
      <c r="H10" s="22">
        <f>INDEX(Data[],MATCH($A10,Data[Dist],0),MATCH(H$4,Data[#Headers],0))</f>
        <v>1023631</v>
      </c>
    </row>
    <row r="11" spans="1:11" s="21" customFormat="1" ht="12.75" x14ac:dyDescent="0.2">
      <c r="A11" s="20" t="str">
        <f>Data!B7</f>
        <v>0081</v>
      </c>
      <c r="B11" s="21" t="str">
        <f>INDEX(Data[],MATCH($A11,Data[Dist],0),MATCH(B$4,Data[#Headers],0))</f>
        <v>Albia</v>
      </c>
      <c r="C11" s="22">
        <f>INDEX(Data[],MATCH($A11,Data[Dist],0),MATCH(C$4,Data[#Headers],0))</f>
        <v>8269346</v>
      </c>
      <c r="D11" s="22">
        <f>INDEX(Data[],MATCH($A11,Data[Dist],0),MATCH(D$4,Data[#Headers],0))</f>
        <v>846</v>
      </c>
      <c r="E11" s="22">
        <f>INDEX(Data[],MATCH($A11,Data[Dist],0),MATCH(E$4,Data[#Headers],0))</f>
        <v>0</v>
      </c>
      <c r="F11" s="22">
        <f>IF(Notes!$B$3="Pay 1 Regular State Payment Budget",0,INDEX(Data[],MATCH($A11,Data[Dist],0),MATCH(F$4,Data[#Headers],0)))</f>
        <v>0</v>
      </c>
      <c r="G11" s="22">
        <f>IF(OR(Notes!$B$3="Pay 1 Regular State Payment Budget",Notes!$B$3="Pay 2 Regular State Payment Budget"),0,INDEX(Data[],MATCH($A11,Data[Dist],0),MATCH(G$4,Data[#Headers],0)))</f>
        <v>0</v>
      </c>
      <c r="H11" s="22">
        <f>INDEX(Data[],MATCH($A11,Data[Dist],0),MATCH(H$4,Data[#Headers],0))</f>
        <v>8268500</v>
      </c>
    </row>
    <row r="12" spans="1:11" s="21" customFormat="1" ht="12.75" x14ac:dyDescent="0.2">
      <c r="A12" s="20" t="str">
        <f>Data!B8</f>
        <v>0099</v>
      </c>
      <c r="B12" s="21" t="str">
        <f>INDEX(Data[],MATCH($A12,Data[Dist],0),MATCH(B$4,Data[#Headers],0))</f>
        <v>Alburnett</v>
      </c>
      <c r="C12" s="22">
        <f>INDEX(Data[],MATCH($A12,Data[Dist],0),MATCH(C$4,Data[#Headers],0))</f>
        <v>3322386</v>
      </c>
      <c r="D12" s="22">
        <f>INDEX(Data[],MATCH($A12,Data[Dist],0),MATCH(D$4,Data[#Headers],0))</f>
        <v>531</v>
      </c>
      <c r="E12" s="22">
        <f>INDEX(Data[],MATCH($A12,Data[Dist],0),MATCH(E$4,Data[#Headers],0))</f>
        <v>0</v>
      </c>
      <c r="F12" s="22">
        <f>IF(Notes!$B$3="Pay 1 Regular State Payment Budget",0,INDEX(Data[],MATCH($A12,Data[Dist],0),MATCH(F$4,Data[#Headers],0)))</f>
        <v>0</v>
      </c>
      <c r="G12" s="22">
        <f>IF(OR(Notes!$B$3="Pay 1 Regular State Payment Budget",Notes!$B$3="Pay 2 Regular State Payment Budget"),0,INDEX(Data[],MATCH($A12,Data[Dist],0),MATCH(G$4,Data[#Headers],0)))</f>
        <v>0</v>
      </c>
      <c r="H12" s="22">
        <f>INDEX(Data[],MATCH($A12,Data[Dist],0),MATCH(H$4,Data[#Headers],0))</f>
        <v>3321855</v>
      </c>
    </row>
    <row r="13" spans="1:11" s="21" customFormat="1" ht="12.75" x14ac:dyDescent="0.2">
      <c r="A13" s="20" t="str">
        <f>Data!B9</f>
        <v>0108</v>
      </c>
      <c r="B13" s="21" t="str">
        <f>INDEX(Data[],MATCH($A13,Data[Dist],0),MATCH(B$4,Data[#Headers],0))</f>
        <v>Alden</v>
      </c>
      <c r="C13" s="22">
        <f>INDEX(Data[],MATCH($A13,Data[Dist],0),MATCH(C$4,Data[#Headers],0))</f>
        <v>1616661</v>
      </c>
      <c r="D13" s="22">
        <f>INDEX(Data[],MATCH($A13,Data[Dist],0),MATCH(D$4,Data[#Headers],0))</f>
        <v>133</v>
      </c>
      <c r="E13" s="22">
        <f>INDEX(Data[],MATCH($A13,Data[Dist],0),MATCH(E$4,Data[#Headers],0))</f>
        <v>0</v>
      </c>
      <c r="F13" s="22">
        <f>IF(Notes!$B$3="Pay 1 Regular State Payment Budget",0,INDEX(Data[],MATCH($A13,Data[Dist],0),MATCH(F$4,Data[#Headers],0)))</f>
        <v>0</v>
      </c>
      <c r="G13" s="22">
        <f>IF(OR(Notes!$B$3="Pay 1 Regular State Payment Budget",Notes!$B$3="Pay 2 Regular State Payment Budget"),0,INDEX(Data[],MATCH($A13,Data[Dist],0),MATCH(G$4,Data[#Headers],0)))</f>
        <v>0</v>
      </c>
      <c r="H13" s="22">
        <f>INDEX(Data[],MATCH($A13,Data[Dist],0),MATCH(H$4,Data[#Headers],0))</f>
        <v>1616528</v>
      </c>
    </row>
    <row r="14" spans="1:11" s="21" customFormat="1" ht="12.75" x14ac:dyDescent="0.2">
      <c r="A14" s="20" t="str">
        <f>Data!B10</f>
        <v>0126</v>
      </c>
      <c r="B14" s="21" t="str">
        <f>INDEX(Data[],MATCH($A14,Data[Dist],0),MATCH(B$4,Data[#Headers],0))</f>
        <v>Algona</v>
      </c>
      <c r="C14" s="22">
        <f>INDEX(Data[],MATCH($A14,Data[Dist],0),MATCH(C$4,Data[#Headers],0))</f>
        <v>8879951</v>
      </c>
      <c r="D14" s="22">
        <f>INDEX(Data[],MATCH($A14,Data[Dist],0),MATCH(D$4,Data[#Headers],0))</f>
        <v>1824</v>
      </c>
      <c r="E14" s="22">
        <f>INDEX(Data[],MATCH($A14,Data[Dist],0),MATCH(E$4,Data[#Headers],0))</f>
        <v>5345</v>
      </c>
      <c r="F14" s="22">
        <f>IF(Notes!$B$3="Pay 1 Regular State Payment Budget",0,INDEX(Data[],MATCH($A14,Data[Dist],0),MATCH(F$4,Data[#Headers],0)))</f>
        <v>0</v>
      </c>
      <c r="G14" s="22">
        <f>IF(OR(Notes!$B$3="Pay 1 Regular State Payment Budget",Notes!$B$3="Pay 2 Regular State Payment Budget"),0,INDEX(Data[],MATCH($A14,Data[Dist],0),MATCH(G$4,Data[#Headers],0)))</f>
        <v>0</v>
      </c>
      <c r="H14" s="22">
        <f>INDEX(Data[],MATCH($A14,Data[Dist],0),MATCH(H$4,Data[#Headers],0))</f>
        <v>8872782</v>
      </c>
      <c r="J14" s="22"/>
    </row>
    <row r="15" spans="1:11" s="21" customFormat="1" ht="12.75" x14ac:dyDescent="0.2">
      <c r="A15" s="20" t="str">
        <f>Data!B11</f>
        <v>0135</v>
      </c>
      <c r="B15" s="21" t="str">
        <f>INDEX(Data[],MATCH($A15,Data[Dist],0),MATCH(B$4,Data[#Headers],0))</f>
        <v>Allamakee</v>
      </c>
      <c r="C15" s="22">
        <f>INDEX(Data[],MATCH($A15,Data[Dist],0),MATCH(C$4,Data[#Headers],0))</f>
        <v>7352379</v>
      </c>
      <c r="D15" s="22">
        <f>INDEX(Data[],MATCH($A15,Data[Dist],0),MATCH(D$4,Data[#Headers],0))</f>
        <v>1377</v>
      </c>
      <c r="E15" s="22">
        <f>INDEX(Data[],MATCH($A15,Data[Dist],0),MATCH(E$4,Data[#Headers],0))</f>
        <v>0</v>
      </c>
      <c r="F15" s="22">
        <f>IF(Notes!$B$3="Pay 1 Regular State Payment Budget",0,INDEX(Data[],MATCH($A15,Data[Dist],0),MATCH(F$4,Data[#Headers],0)))</f>
        <v>0</v>
      </c>
      <c r="G15" s="22">
        <f>IF(OR(Notes!$B$3="Pay 1 Regular State Payment Budget",Notes!$B$3="Pay 2 Regular State Payment Budget"),0,INDEX(Data[],MATCH($A15,Data[Dist],0),MATCH(G$4,Data[#Headers],0)))</f>
        <v>0</v>
      </c>
      <c r="H15" s="22">
        <f>INDEX(Data[],MATCH($A15,Data[Dist],0),MATCH(H$4,Data[#Headers],0))</f>
        <v>7351002</v>
      </c>
      <c r="K15" s="22"/>
    </row>
    <row r="16" spans="1:11" s="21" customFormat="1" ht="12.75" x14ac:dyDescent="0.2">
      <c r="A16" s="20" t="str">
        <f>Data!B12</f>
        <v>0153</v>
      </c>
      <c r="B16" s="21" t="str">
        <f>INDEX(Data[],MATCH($A16,Data[Dist],0),MATCH(B$4,Data[#Headers],0))</f>
        <v>North Butler</v>
      </c>
      <c r="C16" s="22">
        <f>INDEX(Data[],MATCH($A16,Data[Dist],0),MATCH(C$4,Data[#Headers],0))</f>
        <v>3539260</v>
      </c>
      <c r="D16" s="22">
        <f>INDEX(Data[],MATCH($A16,Data[Dist],0),MATCH(D$4,Data[#Headers],0))</f>
        <v>481</v>
      </c>
      <c r="E16" s="22">
        <f>INDEX(Data[],MATCH($A16,Data[Dist],0),MATCH(E$4,Data[#Headers],0))</f>
        <v>0</v>
      </c>
      <c r="F16" s="22">
        <f>IF(Notes!$B$3="Pay 1 Regular State Payment Budget",0,INDEX(Data[],MATCH($A16,Data[Dist],0),MATCH(F$4,Data[#Headers],0)))</f>
        <v>0</v>
      </c>
      <c r="G16" s="22">
        <f>IF(OR(Notes!$B$3="Pay 1 Regular State Payment Budget",Notes!$B$3="Pay 2 Regular State Payment Budget"),0,INDEX(Data[],MATCH($A16,Data[Dist],0),MATCH(G$4,Data[#Headers],0)))</f>
        <v>0</v>
      </c>
      <c r="H16" s="22">
        <f>INDEX(Data[],MATCH($A16,Data[Dist],0),MATCH(H$4,Data[#Headers],0))</f>
        <v>3538779</v>
      </c>
      <c r="K16" s="209"/>
    </row>
    <row r="17" spans="1:8" s="21" customFormat="1" ht="12.75" x14ac:dyDescent="0.2">
      <c r="A17" s="20" t="str">
        <f>Data!B13</f>
        <v>0171</v>
      </c>
      <c r="B17" s="21" t="str">
        <f>INDEX(Data[],MATCH($A17,Data[Dist],0),MATCH(B$4,Data[#Headers],0))</f>
        <v>Alta-Aurelia</v>
      </c>
      <c r="C17" s="22">
        <f>INDEX(Data[],MATCH($A17,Data[Dist],0),MATCH(C$4,Data[#Headers],0))</f>
        <v>5112632</v>
      </c>
      <c r="D17" s="22">
        <f>INDEX(Data[],MATCH($A17,Data[Dist],0),MATCH(D$4,Data[#Headers],0))</f>
        <v>630</v>
      </c>
      <c r="E17" s="22">
        <f>INDEX(Data[],MATCH($A17,Data[Dist],0),MATCH(E$4,Data[#Headers],0))</f>
        <v>0</v>
      </c>
      <c r="F17" s="22">
        <f>IF(Notes!$B$3="Pay 1 Regular State Payment Budget",0,INDEX(Data[],MATCH($A17,Data[Dist],0),MATCH(F$4,Data[#Headers],0)))</f>
        <v>0</v>
      </c>
      <c r="G17" s="22">
        <f>IF(OR(Notes!$B$3="Pay 1 Regular State Payment Budget",Notes!$B$3="Pay 2 Regular State Payment Budget"),0,INDEX(Data[],MATCH($A17,Data[Dist],0),MATCH(G$4,Data[#Headers],0)))</f>
        <v>0</v>
      </c>
      <c r="H17" s="22">
        <f>INDEX(Data[],MATCH($A17,Data[Dist],0),MATCH(H$4,Data[#Headers],0))</f>
        <v>5112002</v>
      </c>
    </row>
    <row r="18" spans="1:8" s="21" customFormat="1" ht="12.75" x14ac:dyDescent="0.2">
      <c r="A18" s="20" t="str">
        <f>Data!B14</f>
        <v>0225</v>
      </c>
      <c r="B18" s="21" t="str">
        <f>INDEX(Data[],MATCH($A18,Data[Dist],0),MATCH(B$4,Data[#Headers],0))</f>
        <v>Ames</v>
      </c>
      <c r="C18" s="22">
        <f>INDEX(Data[],MATCH($A18,Data[Dist],0),MATCH(C$4,Data[#Headers],0))</f>
        <v>23901823</v>
      </c>
      <c r="D18" s="22">
        <f>INDEX(Data[],MATCH($A18,Data[Dist],0),MATCH(D$4,Data[#Headers],0))</f>
        <v>3599</v>
      </c>
      <c r="E18" s="22">
        <f>INDEX(Data[],MATCH($A18,Data[Dist],0),MATCH(E$4,Data[#Headers],0))</f>
        <v>3662</v>
      </c>
      <c r="F18" s="22">
        <f>IF(Notes!$B$3="Pay 1 Regular State Payment Budget",0,INDEX(Data[],MATCH($A18,Data[Dist],0),MATCH(F$4,Data[#Headers],0)))</f>
        <v>0</v>
      </c>
      <c r="G18" s="22">
        <f>IF(OR(Notes!$B$3="Pay 1 Regular State Payment Budget",Notes!$B$3="Pay 2 Regular State Payment Budget"),0,INDEX(Data[],MATCH($A18,Data[Dist],0),MATCH(G$4,Data[#Headers],0)))</f>
        <v>0</v>
      </c>
      <c r="H18" s="22">
        <f>INDEX(Data[],MATCH($A18,Data[Dist],0),MATCH(H$4,Data[#Headers],0))</f>
        <v>23894562</v>
      </c>
    </row>
    <row r="19" spans="1:8" s="21" customFormat="1" ht="12.75" x14ac:dyDescent="0.2">
      <c r="A19" s="20" t="str">
        <f>Data!B15</f>
        <v>0234</v>
      </c>
      <c r="B19" s="21" t="str">
        <f>INDEX(Data[],MATCH($A19,Data[Dist],0),MATCH(B$4,Data[#Headers],0))</f>
        <v>Anamosa</v>
      </c>
      <c r="C19" s="22">
        <f>INDEX(Data[],MATCH($A19,Data[Dist],0),MATCH(C$4,Data[#Headers],0))</f>
        <v>8893643</v>
      </c>
      <c r="D19" s="22">
        <f>INDEX(Data[],MATCH($A19,Data[Dist],0),MATCH(D$4,Data[#Headers],0))</f>
        <v>1194</v>
      </c>
      <c r="E19" s="22">
        <f>INDEX(Data[],MATCH($A19,Data[Dist],0),MATCH(E$4,Data[#Headers],0))</f>
        <v>0</v>
      </c>
      <c r="F19" s="22">
        <f>IF(Notes!$B$3="Pay 1 Regular State Payment Budget",0,INDEX(Data[],MATCH($A19,Data[Dist],0),MATCH(F$4,Data[#Headers],0)))</f>
        <v>0</v>
      </c>
      <c r="G19" s="22">
        <f>IF(OR(Notes!$B$3="Pay 1 Regular State Payment Budget",Notes!$B$3="Pay 2 Regular State Payment Budget"),0,INDEX(Data[],MATCH($A19,Data[Dist],0),MATCH(G$4,Data[#Headers],0)))</f>
        <v>0</v>
      </c>
      <c r="H19" s="22">
        <f>INDEX(Data[],MATCH($A19,Data[Dist],0),MATCH(H$4,Data[#Headers],0))</f>
        <v>8892449</v>
      </c>
    </row>
    <row r="20" spans="1:8" s="21" customFormat="1" ht="12.75" x14ac:dyDescent="0.2">
      <c r="A20" s="20" t="str">
        <f>Data!B16</f>
        <v>0243</v>
      </c>
      <c r="B20" s="21" t="str">
        <f>INDEX(Data[],MATCH($A20,Data[Dist],0),MATCH(B$4,Data[#Headers],0))</f>
        <v>Andrew</v>
      </c>
      <c r="C20" s="22">
        <f>INDEX(Data[],MATCH($A20,Data[Dist],0),MATCH(C$4,Data[#Headers],0))</f>
        <v>1591773</v>
      </c>
      <c r="D20" s="22">
        <f>INDEX(Data[],MATCH($A20,Data[Dist],0),MATCH(D$4,Data[#Headers],0))</f>
        <v>182</v>
      </c>
      <c r="E20" s="22">
        <f>INDEX(Data[],MATCH($A20,Data[Dist],0),MATCH(E$4,Data[#Headers],0))</f>
        <v>0</v>
      </c>
      <c r="F20" s="22">
        <f>IF(Notes!$B$3="Pay 1 Regular State Payment Budget",0,INDEX(Data[],MATCH($A20,Data[Dist],0),MATCH(F$4,Data[#Headers],0)))</f>
        <v>0</v>
      </c>
      <c r="G20" s="22">
        <f>IF(OR(Notes!$B$3="Pay 1 Regular State Payment Budget",Notes!$B$3="Pay 2 Regular State Payment Budget"),0,INDEX(Data[],MATCH($A20,Data[Dist],0),MATCH(G$4,Data[#Headers],0)))</f>
        <v>0</v>
      </c>
      <c r="H20" s="22">
        <f>INDEX(Data[],MATCH($A20,Data[Dist],0),MATCH(H$4,Data[#Headers],0))</f>
        <v>1591591</v>
      </c>
    </row>
    <row r="21" spans="1:8" s="21" customFormat="1" ht="12.75" x14ac:dyDescent="0.2">
      <c r="A21" s="20" t="str">
        <f>Data!B17</f>
        <v>0261</v>
      </c>
      <c r="B21" s="21" t="str">
        <f>INDEX(Data[],MATCH($A21,Data[Dist],0),MATCH(B$4,Data[#Headers],0))</f>
        <v>Ankeny</v>
      </c>
      <c r="C21" s="22">
        <f>INDEX(Data[],MATCH($A21,Data[Dist],0),MATCH(C$4,Data[#Headers],0))</f>
        <v>85869167</v>
      </c>
      <c r="D21" s="22">
        <f>INDEX(Data[],MATCH($A21,Data[Dist],0),MATCH(D$4,Data[#Headers],0))</f>
        <v>4395</v>
      </c>
      <c r="E21" s="22">
        <f>INDEX(Data[],MATCH($A21,Data[Dist],0),MATCH(E$4,Data[#Headers],0))</f>
        <v>56526</v>
      </c>
      <c r="F21" s="22">
        <f>IF(Notes!$B$3="Pay 1 Regular State Payment Budget",0,INDEX(Data[],MATCH($A21,Data[Dist],0),MATCH(F$4,Data[#Headers],0)))</f>
        <v>0</v>
      </c>
      <c r="G21" s="22">
        <f>IF(OR(Notes!$B$3="Pay 1 Regular State Payment Budget",Notes!$B$3="Pay 2 Regular State Payment Budget"),0,INDEX(Data[],MATCH($A21,Data[Dist],0),MATCH(G$4,Data[#Headers],0)))</f>
        <v>0</v>
      </c>
      <c r="H21" s="22">
        <f>INDEX(Data[],MATCH($A21,Data[Dist],0),MATCH(H$4,Data[#Headers],0))</f>
        <v>85808246</v>
      </c>
    </row>
    <row r="22" spans="1:8" s="21" customFormat="1" ht="12.75" x14ac:dyDescent="0.2">
      <c r="A22" s="20" t="str">
        <f>Data!B18</f>
        <v>0279</v>
      </c>
      <c r="B22" s="21" t="str">
        <f>INDEX(Data[],MATCH($A22,Data[Dist],0),MATCH(B$4,Data[#Headers],0))</f>
        <v>Aplington-Parkersburg</v>
      </c>
      <c r="C22" s="22">
        <f>INDEX(Data[],MATCH($A22,Data[Dist],0),MATCH(C$4,Data[#Headers],0))</f>
        <v>5774672</v>
      </c>
      <c r="D22" s="22">
        <f>INDEX(Data[],MATCH($A22,Data[Dist],0),MATCH(D$4,Data[#Headers],0))</f>
        <v>564</v>
      </c>
      <c r="E22" s="22">
        <f>INDEX(Data[],MATCH($A22,Data[Dist],0),MATCH(E$4,Data[#Headers],0))</f>
        <v>0</v>
      </c>
      <c r="F22" s="22">
        <f>IF(Notes!$B$3="Pay 1 Regular State Payment Budget",0,INDEX(Data[],MATCH($A22,Data[Dist],0),MATCH(F$4,Data[#Headers],0)))</f>
        <v>0</v>
      </c>
      <c r="G22" s="22">
        <f>IF(OR(Notes!$B$3="Pay 1 Regular State Payment Budget",Notes!$B$3="Pay 2 Regular State Payment Budget"),0,INDEX(Data[],MATCH($A22,Data[Dist],0),MATCH(G$4,Data[#Headers],0)))</f>
        <v>0</v>
      </c>
      <c r="H22" s="22">
        <f>INDEX(Data[],MATCH($A22,Data[Dist],0),MATCH(H$4,Data[#Headers],0))</f>
        <v>5774108</v>
      </c>
    </row>
    <row r="23" spans="1:8" s="21" customFormat="1" ht="12.75" x14ac:dyDescent="0.2">
      <c r="A23" s="20" t="str">
        <f>Data!B19</f>
        <v>0333</v>
      </c>
      <c r="B23" s="21" t="str">
        <f>INDEX(Data[],MATCH($A23,Data[Dist],0),MATCH(B$4,Data[#Headers],0))</f>
        <v>North Union</v>
      </c>
      <c r="C23" s="22">
        <f>INDEX(Data[],MATCH($A23,Data[Dist],0),MATCH(C$4,Data[#Headers],0))</f>
        <v>1688215</v>
      </c>
      <c r="D23" s="22">
        <f>INDEX(Data[],MATCH($A23,Data[Dist],0),MATCH(D$4,Data[#Headers],0))</f>
        <v>315</v>
      </c>
      <c r="E23" s="22">
        <f>INDEX(Data[],MATCH($A23,Data[Dist],0),MATCH(E$4,Data[#Headers],0))</f>
        <v>0</v>
      </c>
      <c r="F23" s="22">
        <f>IF(Notes!$B$3="Pay 1 Regular State Payment Budget",0,INDEX(Data[],MATCH($A23,Data[Dist],0),MATCH(F$4,Data[#Headers],0)))</f>
        <v>0</v>
      </c>
      <c r="G23" s="22">
        <f>IF(OR(Notes!$B$3="Pay 1 Regular State Payment Budget",Notes!$B$3="Pay 2 Regular State Payment Budget"),0,INDEX(Data[],MATCH($A23,Data[Dist],0),MATCH(G$4,Data[#Headers],0)))</f>
        <v>0</v>
      </c>
      <c r="H23" s="22">
        <f>INDEX(Data[],MATCH($A23,Data[Dist],0),MATCH(H$4,Data[#Headers],0))</f>
        <v>1687900</v>
      </c>
    </row>
    <row r="24" spans="1:8" s="21" customFormat="1" ht="12.75" x14ac:dyDescent="0.2">
      <c r="A24" s="20" t="str">
        <f>Data!B20</f>
        <v>0355</v>
      </c>
      <c r="B24" s="21" t="str">
        <f>INDEX(Data[],MATCH($A24,Data[Dist],0),MATCH(B$4,Data[#Headers],0))</f>
        <v>Ar-We-Va</v>
      </c>
      <c r="C24" s="22">
        <f>INDEX(Data[],MATCH($A24,Data[Dist],0),MATCH(C$4,Data[#Headers],0))</f>
        <v>1188679</v>
      </c>
      <c r="D24" s="22">
        <f>INDEX(Data[],MATCH($A24,Data[Dist],0),MATCH(D$4,Data[#Headers],0))</f>
        <v>282</v>
      </c>
      <c r="E24" s="22">
        <f>INDEX(Data[],MATCH($A24,Data[Dist],0),MATCH(E$4,Data[#Headers],0))</f>
        <v>0</v>
      </c>
      <c r="F24" s="22">
        <f>IF(Notes!$B$3="Pay 1 Regular State Payment Budget",0,INDEX(Data[],MATCH($A24,Data[Dist],0),MATCH(F$4,Data[#Headers],0)))</f>
        <v>0</v>
      </c>
      <c r="G24" s="22">
        <f>IF(OR(Notes!$B$3="Pay 1 Regular State Payment Budget",Notes!$B$3="Pay 2 Regular State Payment Budget"),0,INDEX(Data[],MATCH($A24,Data[Dist],0),MATCH(G$4,Data[#Headers],0)))</f>
        <v>0</v>
      </c>
      <c r="H24" s="22">
        <f>INDEX(Data[],MATCH($A24,Data[Dist],0),MATCH(H$4,Data[#Headers],0))</f>
        <v>1188397</v>
      </c>
    </row>
    <row r="25" spans="1:8" s="21" customFormat="1" ht="12.75" x14ac:dyDescent="0.2">
      <c r="A25" s="20" t="str">
        <f>Data!B21</f>
        <v>0387</v>
      </c>
      <c r="B25" s="21" t="str">
        <f>INDEX(Data[],MATCH($A25,Data[Dist],0),MATCH(B$4,Data[#Headers],0))</f>
        <v>Atlantic</v>
      </c>
      <c r="C25" s="22">
        <f>INDEX(Data[],MATCH($A25,Data[Dist],0),MATCH(C$4,Data[#Headers],0))</f>
        <v>10745737</v>
      </c>
      <c r="D25" s="22">
        <f>INDEX(Data[],MATCH($A25,Data[Dist],0),MATCH(D$4,Data[#Headers],0))</f>
        <v>1393</v>
      </c>
      <c r="E25" s="22">
        <f>INDEX(Data[],MATCH($A25,Data[Dist],0),MATCH(E$4,Data[#Headers],0))</f>
        <v>0</v>
      </c>
      <c r="F25" s="22">
        <f>IF(Notes!$B$3="Pay 1 Regular State Payment Budget",0,INDEX(Data[],MATCH($A25,Data[Dist],0),MATCH(F$4,Data[#Headers],0)))</f>
        <v>0</v>
      </c>
      <c r="G25" s="22">
        <f>IF(OR(Notes!$B$3="Pay 1 Regular State Payment Budget",Notes!$B$3="Pay 2 Regular State Payment Budget"),0,INDEX(Data[],MATCH($A25,Data[Dist],0),MATCH(G$4,Data[#Headers],0)))</f>
        <v>0</v>
      </c>
      <c r="H25" s="22">
        <f>INDEX(Data[],MATCH($A25,Data[Dist],0),MATCH(H$4,Data[#Headers],0))</f>
        <v>10744344</v>
      </c>
    </row>
    <row r="26" spans="1:8" s="21" customFormat="1" ht="12.75" x14ac:dyDescent="0.2">
      <c r="A26" s="20" t="str">
        <f>Data!B22</f>
        <v>0414</v>
      </c>
      <c r="B26" s="21" t="str">
        <f>INDEX(Data[],MATCH($A26,Data[Dist],0),MATCH(B$4,Data[#Headers],0))</f>
        <v>Audubon</v>
      </c>
      <c r="C26" s="22">
        <f>INDEX(Data[],MATCH($A26,Data[Dist],0),MATCH(C$4,Data[#Headers],0))</f>
        <v>3327632</v>
      </c>
      <c r="D26" s="22">
        <f>INDEX(Data[],MATCH($A26,Data[Dist],0),MATCH(D$4,Data[#Headers],0))</f>
        <v>630</v>
      </c>
      <c r="E26" s="22">
        <f>INDEX(Data[],MATCH($A26,Data[Dist],0),MATCH(E$4,Data[#Headers],0))</f>
        <v>0</v>
      </c>
      <c r="F26" s="22">
        <f>IF(Notes!$B$3="Pay 1 Regular State Payment Budget",0,INDEX(Data[],MATCH($A26,Data[Dist],0),MATCH(F$4,Data[#Headers],0)))</f>
        <v>0</v>
      </c>
      <c r="G26" s="22">
        <f>IF(OR(Notes!$B$3="Pay 1 Regular State Payment Budget",Notes!$B$3="Pay 2 Regular State Payment Budget"),0,INDEX(Data[],MATCH($A26,Data[Dist],0),MATCH(G$4,Data[#Headers],0)))</f>
        <v>0</v>
      </c>
      <c r="H26" s="22">
        <f>INDEX(Data[],MATCH($A26,Data[Dist],0),MATCH(H$4,Data[#Headers],0))</f>
        <v>3327002</v>
      </c>
    </row>
    <row r="27" spans="1:8" s="21" customFormat="1" ht="12.75" x14ac:dyDescent="0.2">
      <c r="A27" s="20" t="str">
        <f>Data!B23</f>
        <v>0441</v>
      </c>
      <c r="B27" s="21" t="str">
        <f>INDEX(Data[],MATCH($A27,Data[Dist],0),MATCH(B$4,Data[#Headers],0))</f>
        <v>AHSTW</v>
      </c>
      <c r="C27" s="22">
        <f>INDEX(Data[],MATCH($A27,Data[Dist],0),MATCH(C$4,Data[#Headers],0))</f>
        <v>4175316</v>
      </c>
      <c r="D27" s="22">
        <f>INDEX(Data[],MATCH($A27,Data[Dist],0),MATCH(D$4,Data[#Headers],0))</f>
        <v>697</v>
      </c>
      <c r="E27" s="22">
        <f>INDEX(Data[],MATCH($A27,Data[Dist],0),MATCH(E$4,Data[#Headers],0))</f>
        <v>0</v>
      </c>
      <c r="F27" s="22">
        <f>IF(Notes!$B$3="Pay 1 Regular State Payment Budget",0,INDEX(Data[],MATCH($A27,Data[Dist],0),MATCH(F$4,Data[#Headers],0)))</f>
        <v>0</v>
      </c>
      <c r="G27" s="22">
        <f>IF(OR(Notes!$B$3="Pay 1 Regular State Payment Budget",Notes!$B$3="Pay 2 Regular State Payment Budget"),0,INDEX(Data[],MATCH($A27,Data[Dist],0),MATCH(G$4,Data[#Headers],0)))</f>
        <v>0</v>
      </c>
      <c r="H27" s="22">
        <f>INDEX(Data[],MATCH($A27,Data[Dist],0),MATCH(H$4,Data[#Headers],0))</f>
        <v>4174619</v>
      </c>
    </row>
    <row r="28" spans="1:8" s="21" customFormat="1" ht="12.75" x14ac:dyDescent="0.2">
      <c r="A28" s="20" t="str">
        <f>Data!B24</f>
        <v>0472</v>
      </c>
      <c r="B28" s="21" t="str">
        <f>INDEX(Data[],MATCH($A28,Data[Dist],0),MATCH(B$4,Data[#Headers],0))</f>
        <v>Ballard</v>
      </c>
      <c r="C28" s="22">
        <f>INDEX(Data[],MATCH($A28,Data[Dist],0),MATCH(C$4,Data[#Headers],0))</f>
        <v>13542723</v>
      </c>
      <c r="D28" s="22">
        <f>INDEX(Data[],MATCH($A28,Data[Dist],0),MATCH(D$4,Data[#Headers],0))</f>
        <v>1974</v>
      </c>
      <c r="E28" s="22">
        <f>INDEX(Data[],MATCH($A28,Data[Dist],0),MATCH(E$4,Data[#Headers],0))</f>
        <v>2399</v>
      </c>
      <c r="F28" s="22">
        <f>IF(Notes!$B$3="Pay 1 Regular State Payment Budget",0,INDEX(Data[],MATCH($A28,Data[Dist],0),MATCH(F$4,Data[#Headers],0)))</f>
        <v>0</v>
      </c>
      <c r="G28" s="22">
        <f>IF(OR(Notes!$B$3="Pay 1 Regular State Payment Budget",Notes!$B$3="Pay 2 Regular State Payment Budget"),0,INDEX(Data[],MATCH($A28,Data[Dist],0),MATCH(G$4,Data[#Headers],0)))</f>
        <v>0</v>
      </c>
      <c r="H28" s="22">
        <f>INDEX(Data[],MATCH($A28,Data[Dist],0),MATCH(H$4,Data[#Headers],0))</f>
        <v>13538350</v>
      </c>
    </row>
    <row r="29" spans="1:8" s="21" customFormat="1" ht="12.75" x14ac:dyDescent="0.2">
      <c r="A29" s="20" t="str">
        <f>Data!B25</f>
        <v>0513</v>
      </c>
      <c r="B29" s="21" t="str">
        <f>INDEX(Data[],MATCH($A29,Data[Dist],0),MATCH(B$4,Data[#Headers],0))</f>
        <v>Baxter</v>
      </c>
      <c r="C29" s="22">
        <f>INDEX(Data[],MATCH($A29,Data[Dist],0),MATCH(C$4,Data[#Headers],0))</f>
        <v>2732188</v>
      </c>
      <c r="D29" s="22">
        <f>INDEX(Data[],MATCH($A29,Data[Dist],0),MATCH(D$4,Data[#Headers],0))</f>
        <v>398</v>
      </c>
      <c r="E29" s="22">
        <f>INDEX(Data[],MATCH($A29,Data[Dist],0),MATCH(E$4,Data[#Headers],0))</f>
        <v>0</v>
      </c>
      <c r="F29" s="22">
        <f>IF(Notes!$B$3="Pay 1 Regular State Payment Budget",0,INDEX(Data[],MATCH($A29,Data[Dist],0),MATCH(F$4,Data[#Headers],0)))</f>
        <v>0</v>
      </c>
      <c r="G29" s="22">
        <f>IF(OR(Notes!$B$3="Pay 1 Regular State Payment Budget",Notes!$B$3="Pay 2 Regular State Payment Budget"),0,INDEX(Data[],MATCH($A29,Data[Dist],0),MATCH(G$4,Data[#Headers],0)))</f>
        <v>0</v>
      </c>
      <c r="H29" s="22">
        <f>INDEX(Data[],MATCH($A29,Data[Dist],0),MATCH(H$4,Data[#Headers],0))</f>
        <v>2731790</v>
      </c>
    </row>
    <row r="30" spans="1:8" s="21" customFormat="1" ht="12.75" x14ac:dyDescent="0.2">
      <c r="A30" s="20" t="str">
        <f>Data!B26</f>
        <v>0540</v>
      </c>
      <c r="B30" s="21" t="str">
        <f>INDEX(Data[],MATCH($A30,Data[Dist],0),MATCH(B$4,Data[#Headers],0))</f>
        <v>BCLUW</v>
      </c>
      <c r="C30" s="22">
        <f>INDEX(Data[],MATCH($A30,Data[Dist],0),MATCH(C$4,Data[#Headers],0))</f>
        <v>2565178</v>
      </c>
      <c r="D30" s="22">
        <f>INDEX(Data[],MATCH($A30,Data[Dist],0),MATCH(D$4,Data[#Headers],0))</f>
        <v>448</v>
      </c>
      <c r="E30" s="22">
        <f>INDEX(Data[],MATCH($A30,Data[Dist],0),MATCH(E$4,Data[#Headers],0))</f>
        <v>2147</v>
      </c>
      <c r="F30" s="22">
        <f>IF(Notes!$B$3="Pay 1 Regular State Payment Budget",0,INDEX(Data[],MATCH($A30,Data[Dist],0),MATCH(F$4,Data[#Headers],0)))</f>
        <v>0</v>
      </c>
      <c r="G30" s="22">
        <f>IF(OR(Notes!$B$3="Pay 1 Regular State Payment Budget",Notes!$B$3="Pay 2 Regular State Payment Budget"),0,INDEX(Data[],MATCH($A30,Data[Dist],0),MATCH(G$4,Data[#Headers],0)))</f>
        <v>0</v>
      </c>
      <c r="H30" s="22">
        <f>INDEX(Data[],MATCH($A30,Data[Dist],0),MATCH(H$4,Data[#Headers],0))</f>
        <v>2562583</v>
      </c>
    </row>
    <row r="31" spans="1:8" s="21" customFormat="1" ht="12.75" x14ac:dyDescent="0.2">
      <c r="A31" s="20" t="str">
        <f>Data!B27</f>
        <v>0549</v>
      </c>
      <c r="B31" s="21" t="str">
        <f>INDEX(Data[],MATCH($A31,Data[Dist],0),MATCH(B$4,Data[#Headers],0))</f>
        <v>Bedford</v>
      </c>
      <c r="C31" s="22">
        <f>INDEX(Data[],MATCH($A31,Data[Dist],0),MATCH(C$4,Data[#Headers],0))</f>
        <v>3351679</v>
      </c>
      <c r="D31" s="22">
        <f>INDEX(Data[],MATCH($A31,Data[Dist],0),MATCH(D$4,Data[#Headers],0))</f>
        <v>448</v>
      </c>
      <c r="E31" s="22">
        <f>INDEX(Data[],MATCH($A31,Data[Dist],0),MATCH(E$4,Data[#Headers],0))</f>
        <v>0</v>
      </c>
      <c r="F31" s="22">
        <f>IF(Notes!$B$3="Pay 1 Regular State Payment Budget",0,INDEX(Data[],MATCH($A31,Data[Dist],0),MATCH(F$4,Data[#Headers],0)))</f>
        <v>0</v>
      </c>
      <c r="G31" s="22">
        <f>IF(OR(Notes!$B$3="Pay 1 Regular State Payment Budget",Notes!$B$3="Pay 2 Regular State Payment Budget"),0,INDEX(Data[],MATCH($A31,Data[Dist],0),MATCH(G$4,Data[#Headers],0)))</f>
        <v>0</v>
      </c>
      <c r="H31" s="22">
        <f>INDEX(Data[],MATCH($A31,Data[Dist],0),MATCH(H$4,Data[#Headers],0))</f>
        <v>3351231</v>
      </c>
    </row>
    <row r="32" spans="1:8" s="21" customFormat="1" ht="12.75" x14ac:dyDescent="0.2">
      <c r="A32" s="20" t="str">
        <f>Data!B28</f>
        <v>0576</v>
      </c>
      <c r="B32" s="21" t="str">
        <f>INDEX(Data[],MATCH($A32,Data[Dist],0),MATCH(B$4,Data[#Headers],0))</f>
        <v>Belle Plaine</v>
      </c>
      <c r="C32" s="22">
        <f>INDEX(Data[],MATCH($A32,Data[Dist],0),MATCH(C$4,Data[#Headers],0))</f>
        <v>3332351</v>
      </c>
      <c r="D32" s="22">
        <f>INDEX(Data[],MATCH($A32,Data[Dist],0),MATCH(D$4,Data[#Headers],0))</f>
        <v>431</v>
      </c>
      <c r="E32" s="22">
        <f>INDEX(Data[],MATCH($A32,Data[Dist],0),MATCH(E$4,Data[#Headers],0))</f>
        <v>0</v>
      </c>
      <c r="F32" s="22">
        <f>IF(Notes!$B$3="Pay 1 Regular State Payment Budget",0,INDEX(Data[],MATCH($A32,Data[Dist],0),MATCH(F$4,Data[#Headers],0)))</f>
        <v>0</v>
      </c>
      <c r="G32" s="22">
        <f>IF(OR(Notes!$B$3="Pay 1 Regular State Payment Budget",Notes!$B$3="Pay 2 Regular State Payment Budget"),0,INDEX(Data[],MATCH($A32,Data[Dist],0),MATCH(G$4,Data[#Headers],0)))</f>
        <v>0</v>
      </c>
      <c r="H32" s="22">
        <f>INDEX(Data[],MATCH($A32,Data[Dist],0),MATCH(H$4,Data[#Headers],0))</f>
        <v>3331920</v>
      </c>
    </row>
    <row r="33" spans="1:8" s="21" customFormat="1" ht="12.75" x14ac:dyDescent="0.2">
      <c r="A33" s="20" t="str">
        <f>Data!B29</f>
        <v>0585</v>
      </c>
      <c r="B33" s="21" t="str">
        <f>INDEX(Data[],MATCH($A33,Data[Dist],0),MATCH(B$4,Data[#Headers],0))</f>
        <v>Bellevue</v>
      </c>
      <c r="C33" s="22">
        <f>INDEX(Data[],MATCH($A33,Data[Dist],0),MATCH(C$4,Data[#Headers],0))</f>
        <v>4004167</v>
      </c>
      <c r="D33" s="22">
        <f>INDEX(Data[],MATCH($A33,Data[Dist],0),MATCH(D$4,Data[#Headers],0))</f>
        <v>1012</v>
      </c>
      <c r="E33" s="22">
        <f>INDEX(Data[],MATCH($A33,Data[Dist],0),MATCH(E$4,Data[#Headers],0))</f>
        <v>0</v>
      </c>
      <c r="F33" s="22">
        <f>IF(Notes!$B$3="Pay 1 Regular State Payment Budget",0,INDEX(Data[],MATCH($A33,Data[Dist],0),MATCH(F$4,Data[#Headers],0)))</f>
        <v>0</v>
      </c>
      <c r="G33" s="22">
        <f>IF(OR(Notes!$B$3="Pay 1 Regular State Payment Budget",Notes!$B$3="Pay 2 Regular State Payment Budget"),0,INDEX(Data[],MATCH($A33,Data[Dist],0),MATCH(G$4,Data[#Headers],0)))</f>
        <v>0</v>
      </c>
      <c r="H33" s="22">
        <f>INDEX(Data[],MATCH($A33,Data[Dist],0),MATCH(H$4,Data[#Headers],0))</f>
        <v>4003155</v>
      </c>
    </row>
    <row r="34" spans="1:8" s="21" customFormat="1" ht="12.75" x14ac:dyDescent="0.2">
      <c r="A34" s="20" t="str">
        <f>Data!B30</f>
        <v>0594</v>
      </c>
      <c r="B34" s="21" t="str">
        <f>INDEX(Data[],MATCH($A34,Data[Dist],0),MATCH(B$4,Data[#Headers],0))</f>
        <v>Belmond-Klemme</v>
      </c>
      <c r="C34" s="22">
        <f>INDEX(Data[],MATCH($A34,Data[Dist],0),MATCH(C$4,Data[#Headers],0))</f>
        <v>4948071</v>
      </c>
      <c r="D34" s="22">
        <f>INDEX(Data[],MATCH($A34,Data[Dist],0),MATCH(D$4,Data[#Headers],0))</f>
        <v>498</v>
      </c>
      <c r="E34" s="22">
        <f>INDEX(Data[],MATCH($A34,Data[Dist],0),MATCH(E$4,Data[#Headers],0))</f>
        <v>4924</v>
      </c>
      <c r="F34" s="22">
        <f>IF(Notes!$B$3="Pay 1 Regular State Payment Budget",0,INDEX(Data[],MATCH($A34,Data[Dist],0),MATCH(F$4,Data[#Headers],0)))</f>
        <v>0</v>
      </c>
      <c r="G34" s="22">
        <f>IF(OR(Notes!$B$3="Pay 1 Regular State Payment Budget",Notes!$B$3="Pay 2 Regular State Payment Budget"),0,INDEX(Data[],MATCH($A34,Data[Dist],0),MATCH(G$4,Data[#Headers],0)))</f>
        <v>0</v>
      </c>
      <c r="H34" s="22">
        <f>INDEX(Data[],MATCH($A34,Data[Dist],0),MATCH(H$4,Data[#Headers],0))</f>
        <v>4942649</v>
      </c>
    </row>
    <row r="35" spans="1:8" s="21" customFormat="1" ht="12.75" x14ac:dyDescent="0.2">
      <c r="A35" s="20" t="str">
        <f>Data!B31</f>
        <v>0603</v>
      </c>
      <c r="B35" s="21" t="str">
        <f>INDEX(Data[],MATCH($A35,Data[Dist],0),MATCH(B$4,Data[#Headers],0))</f>
        <v>Bennett</v>
      </c>
      <c r="C35" s="22">
        <f>INDEX(Data[],MATCH($A35,Data[Dist],0),MATCH(C$4,Data[#Headers],0))</f>
        <v>1031892</v>
      </c>
      <c r="D35" s="22">
        <f>INDEX(Data[],MATCH($A35,Data[Dist],0),MATCH(D$4,Data[#Headers],0))</f>
        <v>83</v>
      </c>
      <c r="E35" s="22">
        <f>INDEX(Data[],MATCH($A35,Data[Dist],0),MATCH(E$4,Data[#Headers],0))</f>
        <v>0</v>
      </c>
      <c r="F35" s="22">
        <f>IF(Notes!$B$3="Pay 1 Regular State Payment Budget",0,INDEX(Data[],MATCH($A35,Data[Dist],0),MATCH(F$4,Data[#Headers],0)))</f>
        <v>0</v>
      </c>
      <c r="G35" s="22">
        <f>IF(OR(Notes!$B$3="Pay 1 Regular State Payment Budget",Notes!$B$3="Pay 2 Regular State Payment Budget"),0,INDEX(Data[],MATCH($A35,Data[Dist],0),MATCH(G$4,Data[#Headers],0)))</f>
        <v>0</v>
      </c>
      <c r="H35" s="22">
        <f>INDEX(Data[],MATCH($A35,Data[Dist],0),MATCH(H$4,Data[#Headers],0))</f>
        <v>1031809</v>
      </c>
    </row>
    <row r="36" spans="1:8" s="21" customFormat="1" ht="12.75" x14ac:dyDescent="0.2">
      <c r="A36" s="20" t="str">
        <f>Data!B32</f>
        <v>0609</v>
      </c>
      <c r="B36" s="21" t="str">
        <f>INDEX(Data[],MATCH($A36,Data[Dist],0),MATCH(B$4,Data[#Headers],0))</f>
        <v>Benton</v>
      </c>
      <c r="C36" s="22">
        <f>INDEX(Data[],MATCH($A36,Data[Dist],0),MATCH(C$4,Data[#Headers],0))</f>
        <v>9660609</v>
      </c>
      <c r="D36" s="22">
        <f>INDEX(Data[],MATCH($A36,Data[Dist],0),MATCH(D$4,Data[#Headers],0))</f>
        <v>1708</v>
      </c>
      <c r="E36" s="22">
        <f>INDEX(Data[],MATCH($A36,Data[Dist],0),MATCH(E$4,Data[#Headers],0))</f>
        <v>7576</v>
      </c>
      <c r="F36" s="22">
        <f>IF(Notes!$B$3="Pay 1 Regular State Payment Budget",0,INDEX(Data[],MATCH($A36,Data[Dist],0),MATCH(F$4,Data[#Headers],0)))</f>
        <v>0</v>
      </c>
      <c r="G36" s="22">
        <f>IF(OR(Notes!$B$3="Pay 1 Regular State Payment Budget",Notes!$B$3="Pay 2 Regular State Payment Budget"),0,INDEX(Data[],MATCH($A36,Data[Dist],0),MATCH(G$4,Data[#Headers],0)))</f>
        <v>0</v>
      </c>
      <c r="H36" s="22">
        <f>INDEX(Data[],MATCH($A36,Data[Dist],0),MATCH(H$4,Data[#Headers],0))</f>
        <v>9651325</v>
      </c>
    </row>
    <row r="37" spans="1:8" s="21" customFormat="1" ht="12.75" x14ac:dyDescent="0.2">
      <c r="A37" s="20" t="str">
        <f>Data!B33</f>
        <v>0621</v>
      </c>
      <c r="B37" s="21" t="str">
        <f>INDEX(Data[],MATCH($A37,Data[Dist],0),MATCH(B$4,Data[#Headers],0))</f>
        <v>Bettendorf</v>
      </c>
      <c r="C37" s="22">
        <f>INDEX(Data[],MATCH($A37,Data[Dist],0),MATCH(C$4,Data[#Headers],0))</f>
        <v>27793205</v>
      </c>
      <c r="D37" s="22">
        <f>INDEX(Data[],MATCH($A37,Data[Dist],0),MATCH(D$4,Data[#Headers],0))</f>
        <v>4229</v>
      </c>
      <c r="E37" s="22">
        <f>INDEX(Data[],MATCH($A37,Data[Dist],0),MATCH(E$4,Data[#Headers],0))</f>
        <v>5430</v>
      </c>
      <c r="F37" s="22">
        <f>IF(Notes!$B$3="Pay 1 Regular State Payment Budget",0,INDEX(Data[],MATCH($A37,Data[Dist],0),MATCH(F$4,Data[#Headers],0)))</f>
        <v>0</v>
      </c>
      <c r="G37" s="22">
        <f>IF(OR(Notes!$B$3="Pay 1 Regular State Payment Budget",Notes!$B$3="Pay 2 Regular State Payment Budget"),0,INDEX(Data[],MATCH($A37,Data[Dist],0),MATCH(G$4,Data[#Headers],0)))</f>
        <v>0</v>
      </c>
      <c r="H37" s="22">
        <f>INDEX(Data[],MATCH($A37,Data[Dist],0),MATCH(H$4,Data[#Headers],0))</f>
        <v>27783546</v>
      </c>
    </row>
    <row r="38" spans="1:8" s="21" customFormat="1" ht="12.75" x14ac:dyDescent="0.2">
      <c r="A38" s="20" t="str">
        <f>Data!B34</f>
        <v>0657</v>
      </c>
      <c r="B38" s="21" t="str">
        <f>INDEX(Data[],MATCH($A38,Data[Dist],0),MATCH(B$4,Data[#Headers],0))</f>
        <v>Eddyville-Blakesburg-Fremont</v>
      </c>
      <c r="C38" s="22">
        <f>INDEX(Data[],MATCH($A38,Data[Dist],0),MATCH(C$4,Data[#Headers],0))</f>
        <v>4516609</v>
      </c>
      <c r="D38" s="22">
        <f>INDEX(Data[],MATCH($A38,Data[Dist],0),MATCH(D$4,Data[#Headers],0))</f>
        <v>879</v>
      </c>
      <c r="E38" s="22">
        <f>INDEX(Data[],MATCH($A38,Data[Dist],0),MATCH(E$4,Data[#Headers],0))</f>
        <v>0</v>
      </c>
      <c r="F38" s="22">
        <f>IF(Notes!$B$3="Pay 1 Regular State Payment Budget",0,INDEX(Data[],MATCH($A38,Data[Dist],0),MATCH(F$4,Data[#Headers],0)))</f>
        <v>0</v>
      </c>
      <c r="G38" s="22">
        <f>IF(OR(Notes!$B$3="Pay 1 Regular State Payment Budget",Notes!$B$3="Pay 2 Regular State Payment Budget"),0,INDEX(Data[],MATCH($A38,Data[Dist],0),MATCH(G$4,Data[#Headers],0)))</f>
        <v>0</v>
      </c>
      <c r="H38" s="22">
        <f>INDEX(Data[],MATCH($A38,Data[Dist],0),MATCH(H$4,Data[#Headers],0))</f>
        <v>4515730</v>
      </c>
    </row>
    <row r="39" spans="1:8" s="21" customFormat="1" ht="12.75" x14ac:dyDescent="0.2">
      <c r="A39" s="20" t="str">
        <f>Data!B35</f>
        <v>0720</v>
      </c>
      <c r="B39" s="21" t="str">
        <f>INDEX(Data[],MATCH($A39,Data[Dist],0),MATCH(B$4,Data[#Headers],0))</f>
        <v>Bondurant-Farrar</v>
      </c>
      <c r="C39" s="22">
        <f>INDEX(Data[],MATCH($A39,Data[Dist],0),MATCH(C$4,Data[#Headers],0))</f>
        <v>18594193</v>
      </c>
      <c r="D39" s="22">
        <f>INDEX(Data[],MATCH($A39,Data[Dist],0),MATCH(D$4,Data[#Headers],0))</f>
        <v>1808</v>
      </c>
      <c r="E39" s="22">
        <f>INDEX(Data[],MATCH($A39,Data[Dist],0),MATCH(E$4,Data[#Headers],0))</f>
        <v>4504</v>
      </c>
      <c r="F39" s="22">
        <f>IF(Notes!$B$3="Pay 1 Regular State Payment Budget",0,INDEX(Data[],MATCH($A39,Data[Dist],0),MATCH(F$4,Data[#Headers],0)))</f>
        <v>0</v>
      </c>
      <c r="G39" s="22">
        <f>IF(OR(Notes!$B$3="Pay 1 Regular State Payment Budget",Notes!$B$3="Pay 2 Regular State Payment Budget"),0,INDEX(Data[],MATCH($A39,Data[Dist],0),MATCH(G$4,Data[#Headers],0)))</f>
        <v>0</v>
      </c>
      <c r="H39" s="22">
        <f>INDEX(Data[],MATCH($A39,Data[Dist],0),MATCH(H$4,Data[#Headers],0))</f>
        <v>18587881</v>
      </c>
    </row>
    <row r="40" spans="1:8" s="21" customFormat="1" ht="12.75" x14ac:dyDescent="0.2">
      <c r="A40" s="20" t="str">
        <f>Data!B36</f>
        <v>0729</v>
      </c>
      <c r="B40" s="21" t="str">
        <f>INDEX(Data[],MATCH($A40,Data[Dist],0),MATCH(B$4,Data[#Headers],0))</f>
        <v>Boone</v>
      </c>
      <c r="C40" s="22">
        <f>INDEX(Data[],MATCH($A40,Data[Dist],0),MATCH(C$4,Data[#Headers],0))</f>
        <v>16251147</v>
      </c>
      <c r="D40" s="22">
        <f>INDEX(Data[],MATCH($A40,Data[Dist],0),MATCH(D$4,Data[#Headers],0))</f>
        <v>1858</v>
      </c>
      <c r="E40" s="22">
        <f>INDEX(Data[],MATCH($A40,Data[Dist],0),MATCH(E$4,Data[#Headers],0))</f>
        <v>0</v>
      </c>
      <c r="F40" s="22">
        <f>IF(Notes!$B$3="Pay 1 Regular State Payment Budget",0,INDEX(Data[],MATCH($A40,Data[Dist],0),MATCH(F$4,Data[#Headers],0)))</f>
        <v>0</v>
      </c>
      <c r="G40" s="22">
        <f>IF(OR(Notes!$B$3="Pay 1 Regular State Payment Budget",Notes!$B$3="Pay 2 Regular State Payment Budget"),0,INDEX(Data[],MATCH($A40,Data[Dist],0),MATCH(G$4,Data[#Headers],0)))</f>
        <v>0</v>
      </c>
      <c r="H40" s="22">
        <f>INDEX(Data[],MATCH($A40,Data[Dist],0),MATCH(H$4,Data[#Headers],0))</f>
        <v>16249289</v>
      </c>
    </row>
    <row r="41" spans="1:8" s="21" customFormat="1" ht="12.75" x14ac:dyDescent="0.2">
      <c r="A41" s="20" t="str">
        <f>Data!B37</f>
        <v>0747</v>
      </c>
      <c r="B41" s="21" t="str">
        <f>INDEX(Data[],MATCH($A41,Data[Dist],0),MATCH(B$4,Data[#Headers],0))</f>
        <v>Boyden-Hull</v>
      </c>
      <c r="C41" s="22">
        <f>INDEX(Data[],MATCH($A41,Data[Dist],0),MATCH(C$4,Data[#Headers],0))</f>
        <v>3951438</v>
      </c>
      <c r="D41" s="22">
        <f>INDEX(Data[],MATCH($A41,Data[Dist],0),MATCH(D$4,Data[#Headers],0))</f>
        <v>995</v>
      </c>
      <c r="E41" s="22">
        <f>INDEX(Data[],MATCH($A41,Data[Dist],0),MATCH(E$4,Data[#Headers],0))</f>
        <v>0</v>
      </c>
      <c r="F41" s="22">
        <f>IF(Notes!$B$3="Pay 1 Regular State Payment Budget",0,INDEX(Data[],MATCH($A41,Data[Dist],0),MATCH(F$4,Data[#Headers],0)))</f>
        <v>0</v>
      </c>
      <c r="G41" s="22">
        <f>IF(OR(Notes!$B$3="Pay 1 Regular State Payment Budget",Notes!$B$3="Pay 2 Regular State Payment Budget"),0,INDEX(Data[],MATCH($A41,Data[Dist],0),MATCH(G$4,Data[#Headers],0)))</f>
        <v>0</v>
      </c>
      <c r="H41" s="22">
        <f>INDEX(Data[],MATCH($A41,Data[Dist],0),MATCH(H$4,Data[#Headers],0))</f>
        <v>3950443</v>
      </c>
    </row>
    <row r="42" spans="1:8" s="21" customFormat="1" ht="12.75" x14ac:dyDescent="0.2">
      <c r="A42" s="20" t="str">
        <f>Data!B38</f>
        <v>0819</v>
      </c>
      <c r="B42" s="21" t="str">
        <f>INDEX(Data[],MATCH($A42,Data[Dist],0),MATCH(B$4,Data[#Headers],0))</f>
        <v>West Hancock</v>
      </c>
      <c r="C42" s="22">
        <f>INDEX(Data[],MATCH($A42,Data[Dist],0),MATCH(C$4,Data[#Headers],0))</f>
        <v>3252015</v>
      </c>
      <c r="D42" s="22">
        <f>INDEX(Data[],MATCH($A42,Data[Dist],0),MATCH(D$4,Data[#Headers],0))</f>
        <v>680</v>
      </c>
      <c r="E42" s="22">
        <f>INDEX(Data[],MATCH($A42,Data[Dist],0),MATCH(E$4,Data[#Headers],0))</f>
        <v>0</v>
      </c>
      <c r="F42" s="22">
        <f>IF(Notes!$B$3="Pay 1 Regular State Payment Budget",0,INDEX(Data[],MATCH($A42,Data[Dist],0),MATCH(F$4,Data[#Headers],0)))</f>
        <v>0</v>
      </c>
      <c r="G42" s="22">
        <f>IF(OR(Notes!$B$3="Pay 1 Regular State Payment Budget",Notes!$B$3="Pay 2 Regular State Payment Budget"),0,INDEX(Data[],MATCH($A42,Data[Dist],0),MATCH(G$4,Data[#Headers],0)))</f>
        <v>0</v>
      </c>
      <c r="H42" s="22">
        <f>INDEX(Data[],MATCH($A42,Data[Dist],0),MATCH(H$4,Data[#Headers],0))</f>
        <v>3251335</v>
      </c>
    </row>
    <row r="43" spans="1:8" s="21" customFormat="1" ht="12.75" x14ac:dyDescent="0.2">
      <c r="A43" s="20" t="str">
        <f>Data!B39</f>
        <v>0846</v>
      </c>
      <c r="B43" s="21" t="str">
        <f>INDEX(Data[],MATCH($A43,Data[Dist],0),MATCH(B$4,Data[#Headers],0))</f>
        <v>Brooklyn-Guernsey-Malcom</v>
      </c>
      <c r="C43" s="22">
        <f>INDEX(Data[],MATCH($A43,Data[Dist],0),MATCH(C$4,Data[#Headers],0))</f>
        <v>3284699</v>
      </c>
      <c r="D43" s="22">
        <f>INDEX(Data[],MATCH($A43,Data[Dist],0),MATCH(D$4,Data[#Headers],0))</f>
        <v>448</v>
      </c>
      <c r="E43" s="22">
        <f>INDEX(Data[],MATCH($A43,Data[Dist],0),MATCH(E$4,Data[#Headers],0))</f>
        <v>4630</v>
      </c>
      <c r="F43" s="22">
        <f>IF(Notes!$B$3="Pay 1 Regular State Payment Budget",0,INDEX(Data[],MATCH($A43,Data[Dist],0),MATCH(F$4,Data[#Headers],0)))</f>
        <v>0</v>
      </c>
      <c r="G43" s="22">
        <f>IF(OR(Notes!$B$3="Pay 1 Regular State Payment Budget",Notes!$B$3="Pay 2 Regular State Payment Budget"),0,INDEX(Data[],MATCH($A43,Data[Dist],0),MATCH(G$4,Data[#Headers],0)))</f>
        <v>0</v>
      </c>
      <c r="H43" s="22">
        <f>INDEX(Data[],MATCH($A43,Data[Dist],0),MATCH(H$4,Data[#Headers],0))</f>
        <v>3279621</v>
      </c>
    </row>
    <row r="44" spans="1:8" s="21" customFormat="1" ht="12.75" x14ac:dyDescent="0.2">
      <c r="A44" s="20" t="str">
        <f>Data!B40</f>
        <v>0873</v>
      </c>
      <c r="B44" s="21" t="str">
        <f>INDEX(Data[],MATCH($A44,Data[Dist],0),MATCH(B$4,Data[#Headers],0))</f>
        <v>North Iowa</v>
      </c>
      <c r="C44" s="22">
        <f>INDEX(Data[],MATCH($A44,Data[Dist],0),MATCH(C$4,Data[#Headers],0))</f>
        <v>2530223</v>
      </c>
      <c r="D44" s="22">
        <f>INDEX(Data[],MATCH($A44,Data[Dist],0),MATCH(D$4,Data[#Headers],0))</f>
        <v>531</v>
      </c>
      <c r="E44" s="22">
        <f>INDEX(Data[],MATCH($A44,Data[Dist],0),MATCH(E$4,Data[#Headers],0))</f>
        <v>0</v>
      </c>
      <c r="F44" s="22">
        <f>IF(Notes!$B$3="Pay 1 Regular State Payment Budget",0,INDEX(Data[],MATCH($A44,Data[Dist],0),MATCH(F$4,Data[#Headers],0)))</f>
        <v>0</v>
      </c>
      <c r="G44" s="22">
        <f>IF(OR(Notes!$B$3="Pay 1 Regular State Payment Budget",Notes!$B$3="Pay 2 Regular State Payment Budget"),0,INDEX(Data[],MATCH($A44,Data[Dist],0),MATCH(G$4,Data[#Headers],0)))</f>
        <v>0</v>
      </c>
      <c r="H44" s="22">
        <f>INDEX(Data[],MATCH($A44,Data[Dist],0),MATCH(H$4,Data[#Headers],0))</f>
        <v>2529692</v>
      </c>
    </row>
    <row r="45" spans="1:8" s="21" customFormat="1" ht="12.75" x14ac:dyDescent="0.2">
      <c r="A45" s="20" t="str">
        <f>Data!B41</f>
        <v>0882</v>
      </c>
      <c r="B45" s="21" t="str">
        <f>INDEX(Data[],MATCH($A45,Data[Dist],0),MATCH(B$4,Data[#Headers],0))</f>
        <v>Burlington</v>
      </c>
      <c r="C45" s="22">
        <f>INDEX(Data[],MATCH($A45,Data[Dist],0),MATCH(C$4,Data[#Headers],0))</f>
        <v>31342903</v>
      </c>
      <c r="D45" s="22">
        <f>INDEX(Data[],MATCH($A45,Data[Dist],0),MATCH(D$4,Data[#Headers],0))</f>
        <v>2571</v>
      </c>
      <c r="E45" s="22">
        <f>INDEX(Data[],MATCH($A45,Data[Dist],0),MATCH(E$4,Data[#Headers],0))</f>
        <v>0</v>
      </c>
      <c r="F45" s="22">
        <f>IF(Notes!$B$3="Pay 1 Regular State Payment Budget",0,INDEX(Data[],MATCH($A45,Data[Dist],0),MATCH(F$4,Data[#Headers],0)))</f>
        <v>0</v>
      </c>
      <c r="G45" s="22">
        <f>IF(OR(Notes!$B$3="Pay 1 Regular State Payment Budget",Notes!$B$3="Pay 2 Regular State Payment Budget"),0,INDEX(Data[],MATCH($A45,Data[Dist],0),MATCH(G$4,Data[#Headers],0)))</f>
        <v>0</v>
      </c>
      <c r="H45" s="22">
        <f>INDEX(Data[],MATCH($A45,Data[Dist],0),MATCH(H$4,Data[#Headers],0))</f>
        <v>31340332</v>
      </c>
    </row>
    <row r="46" spans="1:8" s="21" customFormat="1" ht="12.75" x14ac:dyDescent="0.2">
      <c r="A46" s="20" t="str">
        <f>Data!B42</f>
        <v>0914</v>
      </c>
      <c r="B46" s="21" t="str">
        <f>INDEX(Data[],MATCH($A46,Data[Dist],0),MATCH(B$4,Data[#Headers],0))</f>
        <v>CAM</v>
      </c>
      <c r="C46" s="22">
        <f>INDEX(Data[],MATCH($A46,Data[Dist],0),MATCH(C$4,Data[#Headers],0))</f>
        <v>1825694</v>
      </c>
      <c r="D46" s="22">
        <f>INDEX(Data[],MATCH($A46,Data[Dist],0),MATCH(D$4,Data[#Headers],0))</f>
        <v>415</v>
      </c>
      <c r="E46" s="22">
        <f>INDEX(Data[],MATCH($A46,Data[Dist],0),MATCH(E$4,Data[#Headers],0))</f>
        <v>0</v>
      </c>
      <c r="F46" s="22">
        <f>IF(Notes!$B$3="Pay 1 Regular State Payment Budget",0,INDEX(Data[],MATCH($A46,Data[Dist],0),MATCH(F$4,Data[#Headers],0)))</f>
        <v>0</v>
      </c>
      <c r="G46" s="22">
        <f>IF(OR(Notes!$B$3="Pay 1 Regular State Payment Budget",Notes!$B$3="Pay 2 Regular State Payment Budget"),0,INDEX(Data[],MATCH($A46,Data[Dist],0),MATCH(G$4,Data[#Headers],0)))</f>
        <v>0</v>
      </c>
      <c r="H46" s="22">
        <f>INDEX(Data[],MATCH($A46,Data[Dist],0),MATCH(H$4,Data[#Headers],0))</f>
        <v>1825279</v>
      </c>
    </row>
    <row r="47" spans="1:8" s="21" customFormat="1" ht="12.75" x14ac:dyDescent="0.2">
      <c r="A47" s="20" t="str">
        <f>Data!B43</f>
        <v>0916</v>
      </c>
      <c r="B47" s="21" t="str">
        <f>INDEX(Data[],MATCH($A47,Data[Dist],0),MATCH(B$4,Data[#Headers],0))</f>
        <v>CAL</v>
      </c>
      <c r="C47" s="22">
        <f>INDEX(Data[],MATCH($A47,Data[Dist],0),MATCH(C$4,Data[#Headers],0))</f>
        <v>1884880</v>
      </c>
      <c r="D47" s="22">
        <f>INDEX(Data[],MATCH($A47,Data[Dist],0),MATCH(D$4,Data[#Headers],0))</f>
        <v>232</v>
      </c>
      <c r="E47" s="22">
        <f>INDEX(Data[],MATCH($A47,Data[Dist],0),MATCH(E$4,Data[#Headers],0))</f>
        <v>0</v>
      </c>
      <c r="F47" s="22">
        <f>IF(Notes!$B$3="Pay 1 Regular State Payment Budget",0,INDEX(Data[],MATCH($A47,Data[Dist],0),MATCH(F$4,Data[#Headers],0)))</f>
        <v>0</v>
      </c>
      <c r="G47" s="22">
        <f>IF(OR(Notes!$B$3="Pay 1 Regular State Payment Budget",Notes!$B$3="Pay 2 Regular State Payment Budget"),0,INDEX(Data[],MATCH($A47,Data[Dist],0),MATCH(G$4,Data[#Headers],0)))</f>
        <v>0</v>
      </c>
      <c r="H47" s="22">
        <f>INDEX(Data[],MATCH($A47,Data[Dist],0),MATCH(H$4,Data[#Headers],0))</f>
        <v>1884648</v>
      </c>
    </row>
    <row r="48" spans="1:8" s="21" customFormat="1" ht="12.75" x14ac:dyDescent="0.2">
      <c r="A48" s="20" t="str">
        <f>Data!B44</f>
        <v>0918</v>
      </c>
      <c r="B48" s="21" t="str">
        <f>INDEX(Data[],MATCH($A48,Data[Dist],0),MATCH(B$4,Data[#Headers],0))</f>
        <v>Calamus-Wheatland</v>
      </c>
      <c r="C48" s="22">
        <f>INDEX(Data[],MATCH($A48,Data[Dist],0),MATCH(C$4,Data[#Headers],0))</f>
        <v>2356693</v>
      </c>
      <c r="D48" s="22">
        <f>INDEX(Data[],MATCH($A48,Data[Dist],0),MATCH(D$4,Data[#Headers],0))</f>
        <v>199</v>
      </c>
      <c r="E48" s="22">
        <f>INDEX(Data[],MATCH($A48,Data[Dist],0),MATCH(E$4,Data[#Headers],0))</f>
        <v>0</v>
      </c>
      <c r="F48" s="22">
        <f>IF(Notes!$B$3="Pay 1 Regular State Payment Budget",0,INDEX(Data[],MATCH($A48,Data[Dist],0),MATCH(F$4,Data[#Headers],0)))</f>
        <v>0</v>
      </c>
      <c r="G48" s="22">
        <f>IF(OR(Notes!$B$3="Pay 1 Regular State Payment Budget",Notes!$B$3="Pay 2 Regular State Payment Budget"),0,INDEX(Data[],MATCH($A48,Data[Dist],0),MATCH(G$4,Data[#Headers],0)))</f>
        <v>0</v>
      </c>
      <c r="H48" s="22">
        <f>INDEX(Data[],MATCH($A48,Data[Dist],0),MATCH(H$4,Data[#Headers],0))</f>
        <v>2356494</v>
      </c>
    </row>
    <row r="49" spans="1:8" s="21" customFormat="1" ht="12.75" x14ac:dyDescent="0.2">
      <c r="A49" s="20" t="str">
        <f>Data!B45</f>
        <v>0936</v>
      </c>
      <c r="B49" s="21" t="str">
        <f>INDEX(Data[],MATCH($A49,Data[Dist],0),MATCH(B$4,Data[#Headers],0))</f>
        <v>Camanche</v>
      </c>
      <c r="C49" s="22">
        <f>INDEX(Data[],MATCH($A49,Data[Dist],0),MATCH(C$4,Data[#Headers],0))</f>
        <v>5720544</v>
      </c>
      <c r="D49" s="22">
        <f>INDEX(Data[],MATCH($A49,Data[Dist],0),MATCH(D$4,Data[#Headers],0))</f>
        <v>912</v>
      </c>
      <c r="E49" s="22">
        <f>INDEX(Data[],MATCH($A49,Data[Dist],0),MATCH(E$4,Data[#Headers],0))</f>
        <v>0</v>
      </c>
      <c r="F49" s="22">
        <f>IF(Notes!$B$3="Pay 1 Regular State Payment Budget",0,INDEX(Data[],MATCH($A49,Data[Dist],0),MATCH(F$4,Data[#Headers],0)))</f>
        <v>0</v>
      </c>
      <c r="G49" s="22">
        <f>IF(OR(Notes!$B$3="Pay 1 Regular State Payment Budget",Notes!$B$3="Pay 2 Regular State Payment Budget"),0,INDEX(Data[],MATCH($A49,Data[Dist],0),MATCH(G$4,Data[#Headers],0)))</f>
        <v>0</v>
      </c>
      <c r="H49" s="22">
        <f>INDEX(Data[],MATCH($A49,Data[Dist],0),MATCH(H$4,Data[#Headers],0))</f>
        <v>5719632</v>
      </c>
    </row>
    <row r="50" spans="1:8" s="21" customFormat="1" ht="12.75" x14ac:dyDescent="0.2">
      <c r="A50" s="20" t="str">
        <f>Data!B46</f>
        <v>0977</v>
      </c>
      <c r="B50" s="21" t="str">
        <f>INDEX(Data[],MATCH($A50,Data[Dist],0),MATCH(B$4,Data[#Headers],0))</f>
        <v>Cardinal</v>
      </c>
      <c r="C50" s="22">
        <f>INDEX(Data[],MATCH($A50,Data[Dist],0),MATCH(C$4,Data[#Headers],0))</f>
        <v>4641722</v>
      </c>
      <c r="D50" s="22">
        <f>INDEX(Data[],MATCH($A50,Data[Dist],0),MATCH(D$4,Data[#Headers],0))</f>
        <v>1194</v>
      </c>
      <c r="E50" s="22">
        <f>INDEX(Data[],MATCH($A50,Data[Dist],0),MATCH(E$4,Data[#Headers],0))</f>
        <v>0</v>
      </c>
      <c r="F50" s="22">
        <f>IF(Notes!$B$3="Pay 1 Regular State Payment Budget",0,INDEX(Data[],MATCH($A50,Data[Dist],0),MATCH(F$4,Data[#Headers],0)))</f>
        <v>0</v>
      </c>
      <c r="G50" s="22">
        <f>IF(OR(Notes!$B$3="Pay 1 Regular State Payment Budget",Notes!$B$3="Pay 2 Regular State Payment Budget"),0,INDEX(Data[],MATCH($A50,Data[Dist],0),MATCH(G$4,Data[#Headers],0)))</f>
        <v>0</v>
      </c>
      <c r="H50" s="22">
        <f>INDEX(Data[],MATCH($A50,Data[Dist],0),MATCH(H$4,Data[#Headers],0))</f>
        <v>4640528</v>
      </c>
    </row>
    <row r="51" spans="1:8" s="21" customFormat="1" ht="12.75" x14ac:dyDescent="0.2">
      <c r="A51" s="20" t="str">
        <f>Data!B47</f>
        <v>0981</v>
      </c>
      <c r="B51" s="21" t="str">
        <f>INDEX(Data[],MATCH($A51,Data[Dist],0),MATCH(B$4,Data[#Headers],0))</f>
        <v>Carlisle</v>
      </c>
      <c r="C51" s="22">
        <f>INDEX(Data[],MATCH($A51,Data[Dist],0),MATCH(C$4,Data[#Headers],0))</f>
        <v>16375106</v>
      </c>
      <c r="D51" s="22">
        <f>INDEX(Data[],MATCH($A51,Data[Dist],0),MATCH(D$4,Data[#Headers],0))</f>
        <v>1907</v>
      </c>
      <c r="E51" s="22">
        <f>INDEX(Data[],MATCH($A51,Data[Dist],0),MATCH(E$4,Data[#Headers],0))</f>
        <v>14268</v>
      </c>
      <c r="F51" s="22">
        <f>IF(Notes!$B$3="Pay 1 Regular State Payment Budget",0,INDEX(Data[],MATCH($A51,Data[Dist],0),MATCH(F$4,Data[#Headers],0)))</f>
        <v>0</v>
      </c>
      <c r="G51" s="22">
        <f>IF(OR(Notes!$B$3="Pay 1 Regular State Payment Budget",Notes!$B$3="Pay 2 Regular State Payment Budget"),0,INDEX(Data[],MATCH($A51,Data[Dist],0),MATCH(G$4,Data[#Headers],0)))</f>
        <v>0</v>
      </c>
      <c r="H51" s="22">
        <f>INDEX(Data[],MATCH($A51,Data[Dist],0),MATCH(H$4,Data[#Headers],0))</f>
        <v>16358931</v>
      </c>
    </row>
    <row r="52" spans="1:8" s="21" customFormat="1" ht="12.75" x14ac:dyDescent="0.2">
      <c r="A52" s="20" t="str">
        <f>Data!B48</f>
        <v>0999</v>
      </c>
      <c r="B52" s="21" t="str">
        <f>INDEX(Data[],MATCH($A52,Data[Dist],0),MATCH(B$4,Data[#Headers],0))</f>
        <v>Carroll</v>
      </c>
      <c r="C52" s="22">
        <f>INDEX(Data[],MATCH($A52,Data[Dist],0),MATCH(C$4,Data[#Headers],0))</f>
        <v>9642289</v>
      </c>
      <c r="D52" s="22">
        <f>INDEX(Data[],MATCH($A52,Data[Dist],0),MATCH(D$4,Data[#Headers],0))</f>
        <v>2720</v>
      </c>
      <c r="E52" s="22">
        <f>INDEX(Data[],MATCH($A52,Data[Dist],0),MATCH(E$4,Data[#Headers],0))</f>
        <v>0</v>
      </c>
      <c r="F52" s="22">
        <f>IF(Notes!$B$3="Pay 1 Regular State Payment Budget",0,INDEX(Data[],MATCH($A52,Data[Dist],0),MATCH(F$4,Data[#Headers],0)))</f>
        <v>0</v>
      </c>
      <c r="G52" s="22">
        <f>IF(OR(Notes!$B$3="Pay 1 Regular State Payment Budget",Notes!$B$3="Pay 2 Regular State Payment Budget"),0,INDEX(Data[],MATCH($A52,Data[Dist],0),MATCH(G$4,Data[#Headers],0)))</f>
        <v>0</v>
      </c>
      <c r="H52" s="22">
        <f>INDEX(Data[],MATCH($A52,Data[Dist],0),MATCH(H$4,Data[#Headers],0))</f>
        <v>9639569</v>
      </c>
    </row>
    <row r="53" spans="1:8" s="21" customFormat="1" ht="12.75" x14ac:dyDescent="0.2">
      <c r="A53" s="20" t="str">
        <f>Data!B49</f>
        <v>1044</v>
      </c>
      <c r="B53" s="21" t="str">
        <f>INDEX(Data[],MATCH($A53,Data[Dist],0),MATCH(B$4,Data[#Headers],0))</f>
        <v>Cedar Falls</v>
      </c>
      <c r="C53" s="22">
        <f>INDEX(Data[],MATCH($A53,Data[Dist],0),MATCH(C$4,Data[#Headers],0))</f>
        <v>38263405</v>
      </c>
      <c r="D53" s="22">
        <f>INDEX(Data[],MATCH($A53,Data[Dist],0),MATCH(D$4,Data[#Headers],0))</f>
        <v>2803</v>
      </c>
      <c r="E53" s="22">
        <f>INDEX(Data[],MATCH($A53,Data[Dist],0),MATCH(E$4,Data[#Headers],0))</f>
        <v>1726</v>
      </c>
      <c r="F53" s="22">
        <f>IF(Notes!$B$3="Pay 1 Regular State Payment Budget",0,INDEX(Data[],MATCH($A53,Data[Dist],0),MATCH(F$4,Data[#Headers],0)))</f>
        <v>0</v>
      </c>
      <c r="G53" s="22">
        <f>IF(OR(Notes!$B$3="Pay 1 Regular State Payment Budget",Notes!$B$3="Pay 2 Regular State Payment Budget"),0,INDEX(Data[],MATCH($A53,Data[Dist],0),MATCH(G$4,Data[#Headers],0)))</f>
        <v>0</v>
      </c>
      <c r="H53" s="22">
        <f>INDEX(Data[],MATCH($A53,Data[Dist],0),MATCH(H$4,Data[#Headers],0))</f>
        <v>38258876</v>
      </c>
    </row>
    <row r="54" spans="1:8" s="21" customFormat="1" ht="12.75" x14ac:dyDescent="0.2">
      <c r="A54" s="20" t="str">
        <f>Data!B50</f>
        <v>1053</v>
      </c>
      <c r="B54" s="21" t="str">
        <f>INDEX(Data[],MATCH($A54,Data[Dist],0),MATCH(B$4,Data[#Headers],0))</f>
        <v>Cedar Rapids</v>
      </c>
      <c r="C54" s="22">
        <f>INDEX(Data[],MATCH($A54,Data[Dist],0),MATCH(C$4,Data[#Headers],0))</f>
        <v>116033315</v>
      </c>
      <c r="D54" s="22">
        <f>INDEX(Data[],MATCH($A54,Data[Dist],0),MATCH(D$4,Data[#Headers],0))</f>
        <v>11626</v>
      </c>
      <c r="E54" s="22">
        <f>INDEX(Data[],MATCH($A54,Data[Dist],0),MATCH(E$4,Data[#Headers],0))</f>
        <v>19698</v>
      </c>
      <c r="F54" s="22">
        <f>IF(Notes!$B$3="Pay 1 Regular State Payment Budget",0,INDEX(Data[],MATCH($A54,Data[Dist],0),MATCH(F$4,Data[#Headers],0)))</f>
        <v>0</v>
      </c>
      <c r="G54" s="22">
        <f>IF(OR(Notes!$B$3="Pay 1 Regular State Payment Budget",Notes!$B$3="Pay 2 Regular State Payment Budget"),0,INDEX(Data[],MATCH($A54,Data[Dist],0),MATCH(G$4,Data[#Headers],0)))</f>
        <v>0</v>
      </c>
      <c r="H54" s="22">
        <f>INDEX(Data[],MATCH($A54,Data[Dist],0),MATCH(H$4,Data[#Headers],0))</f>
        <v>116001991</v>
      </c>
    </row>
    <row r="55" spans="1:8" s="21" customFormat="1" ht="12.75" x14ac:dyDescent="0.2">
      <c r="A55" s="20" t="str">
        <f>Data!B51</f>
        <v>1062</v>
      </c>
      <c r="B55" s="21" t="str">
        <f>INDEX(Data[],MATCH($A55,Data[Dist],0),MATCH(B$4,Data[#Headers],0))</f>
        <v>Center Point-Urbana</v>
      </c>
      <c r="C55" s="22">
        <f>INDEX(Data[],MATCH($A55,Data[Dist],0),MATCH(C$4,Data[#Headers],0))</f>
        <v>8906111</v>
      </c>
      <c r="D55" s="22">
        <f>INDEX(Data[],MATCH($A55,Data[Dist],0),MATCH(D$4,Data[#Headers],0))</f>
        <v>1111</v>
      </c>
      <c r="E55" s="22">
        <f>INDEX(Data[],MATCH($A55,Data[Dist],0),MATCH(E$4,Data[#Headers],0))</f>
        <v>0</v>
      </c>
      <c r="F55" s="22">
        <f>IF(Notes!$B$3="Pay 1 Regular State Payment Budget",0,INDEX(Data[],MATCH($A55,Data[Dist],0),MATCH(F$4,Data[#Headers],0)))</f>
        <v>0</v>
      </c>
      <c r="G55" s="22">
        <f>IF(OR(Notes!$B$3="Pay 1 Regular State Payment Budget",Notes!$B$3="Pay 2 Regular State Payment Budget"),0,INDEX(Data[],MATCH($A55,Data[Dist],0),MATCH(G$4,Data[#Headers],0)))</f>
        <v>0</v>
      </c>
      <c r="H55" s="22">
        <f>INDEX(Data[],MATCH($A55,Data[Dist],0),MATCH(H$4,Data[#Headers],0))</f>
        <v>8905000</v>
      </c>
    </row>
    <row r="56" spans="1:8" s="21" customFormat="1" ht="12.75" x14ac:dyDescent="0.2">
      <c r="A56" s="20" t="str">
        <f>Data!B52</f>
        <v>1071</v>
      </c>
      <c r="B56" s="21" t="str">
        <f>INDEX(Data[],MATCH($A56,Data[Dist],0),MATCH(B$4,Data[#Headers],0))</f>
        <v>Centerville</v>
      </c>
      <c r="C56" s="22">
        <f>INDEX(Data[],MATCH($A56,Data[Dist],0),MATCH(C$4,Data[#Headers],0))</f>
        <v>10911572</v>
      </c>
      <c r="D56" s="22">
        <f>INDEX(Data[],MATCH($A56,Data[Dist],0),MATCH(D$4,Data[#Headers],0))</f>
        <v>1061</v>
      </c>
      <c r="E56" s="22">
        <f>INDEX(Data[],MATCH($A56,Data[Dist],0),MATCH(E$4,Data[#Headers],0))</f>
        <v>0</v>
      </c>
      <c r="F56" s="22">
        <f>IF(Notes!$B$3="Pay 1 Regular State Payment Budget",0,INDEX(Data[],MATCH($A56,Data[Dist],0),MATCH(F$4,Data[#Headers],0)))</f>
        <v>0</v>
      </c>
      <c r="G56" s="22">
        <f>IF(OR(Notes!$B$3="Pay 1 Regular State Payment Budget",Notes!$B$3="Pay 2 Regular State Payment Budget"),0,INDEX(Data[],MATCH($A56,Data[Dist],0),MATCH(G$4,Data[#Headers],0)))</f>
        <v>0</v>
      </c>
      <c r="H56" s="22">
        <f>INDEX(Data[],MATCH($A56,Data[Dist],0),MATCH(H$4,Data[#Headers],0))</f>
        <v>10910511</v>
      </c>
    </row>
    <row r="57" spans="1:8" s="21" customFormat="1" ht="12.75" x14ac:dyDescent="0.2">
      <c r="A57" s="20" t="str">
        <f>Data!B53</f>
        <v>1079</v>
      </c>
      <c r="B57" s="21" t="str">
        <f>INDEX(Data[],MATCH($A57,Data[Dist],0),MATCH(B$4,Data[#Headers],0))</f>
        <v>Central Lee</v>
      </c>
      <c r="C57" s="22">
        <f>INDEX(Data[],MATCH($A57,Data[Dist],0),MATCH(C$4,Data[#Headers],0))</f>
        <v>5184785</v>
      </c>
      <c r="D57" s="22">
        <f>INDEX(Data[],MATCH($A57,Data[Dist],0),MATCH(D$4,Data[#Headers],0))</f>
        <v>979</v>
      </c>
      <c r="E57" s="22">
        <f>INDEX(Data[],MATCH($A57,Data[Dist],0),MATCH(E$4,Data[#Headers],0))</f>
        <v>0</v>
      </c>
      <c r="F57" s="22">
        <f>IF(Notes!$B$3="Pay 1 Regular State Payment Budget",0,INDEX(Data[],MATCH($A57,Data[Dist],0),MATCH(F$4,Data[#Headers],0)))</f>
        <v>0</v>
      </c>
      <c r="G57" s="22">
        <f>IF(OR(Notes!$B$3="Pay 1 Regular State Payment Budget",Notes!$B$3="Pay 2 Regular State Payment Budget"),0,INDEX(Data[],MATCH($A57,Data[Dist],0),MATCH(G$4,Data[#Headers],0)))</f>
        <v>0</v>
      </c>
      <c r="H57" s="22">
        <f>INDEX(Data[],MATCH($A57,Data[Dist],0),MATCH(H$4,Data[#Headers],0))</f>
        <v>5183806</v>
      </c>
    </row>
    <row r="58" spans="1:8" s="21" customFormat="1" ht="12.75" x14ac:dyDescent="0.2">
      <c r="A58" s="20" t="str">
        <f>Data!B54</f>
        <v>1080</v>
      </c>
      <c r="B58" s="21" t="str">
        <f>INDEX(Data[],MATCH($A58,Data[Dist],0),MATCH(B$4,Data[#Headers],0))</f>
        <v>Central Clayton</v>
      </c>
      <c r="C58" s="22">
        <f>INDEX(Data[],MATCH($A58,Data[Dist],0),MATCH(C$4,Data[#Headers],0))</f>
        <v>3117347</v>
      </c>
      <c r="D58" s="22">
        <f>INDEX(Data[],MATCH($A58,Data[Dist],0),MATCH(D$4,Data[#Headers],0))</f>
        <v>547</v>
      </c>
      <c r="E58" s="22">
        <f>INDEX(Data[],MATCH($A58,Data[Dist],0),MATCH(E$4,Data[#Headers],0))</f>
        <v>0</v>
      </c>
      <c r="F58" s="22">
        <f>IF(Notes!$B$3="Pay 1 Regular State Payment Budget",0,INDEX(Data[],MATCH($A58,Data[Dist],0),MATCH(F$4,Data[#Headers],0)))</f>
        <v>0</v>
      </c>
      <c r="G58" s="22">
        <f>IF(OR(Notes!$B$3="Pay 1 Regular State Payment Budget",Notes!$B$3="Pay 2 Regular State Payment Budget"),0,INDEX(Data[],MATCH($A58,Data[Dist],0),MATCH(G$4,Data[#Headers],0)))</f>
        <v>0</v>
      </c>
      <c r="H58" s="22">
        <f>INDEX(Data[],MATCH($A58,Data[Dist],0),MATCH(H$4,Data[#Headers],0))</f>
        <v>3116800</v>
      </c>
    </row>
    <row r="59" spans="1:8" s="21" customFormat="1" ht="12.75" x14ac:dyDescent="0.2">
      <c r="A59" s="20" t="str">
        <f>Data!B55</f>
        <v>1082</v>
      </c>
      <c r="B59" s="21" t="str">
        <f>INDEX(Data[],MATCH($A59,Data[Dist],0),MATCH(B$4,Data[#Headers],0))</f>
        <v>Central De Witt</v>
      </c>
      <c r="C59" s="22">
        <f>INDEX(Data[],MATCH($A59,Data[Dist],0),MATCH(C$4,Data[#Headers],0))</f>
        <v>9845360</v>
      </c>
      <c r="D59" s="22">
        <f>INDEX(Data[],MATCH($A59,Data[Dist],0),MATCH(D$4,Data[#Headers],0))</f>
        <v>1509</v>
      </c>
      <c r="E59" s="22">
        <f>INDEX(Data[],MATCH($A59,Data[Dist],0),MATCH(E$4,Data[#Headers],0))</f>
        <v>0</v>
      </c>
      <c r="F59" s="22">
        <f>IF(Notes!$B$3="Pay 1 Regular State Payment Budget",0,INDEX(Data[],MATCH($A59,Data[Dist],0),MATCH(F$4,Data[#Headers],0)))</f>
        <v>0</v>
      </c>
      <c r="G59" s="22">
        <f>IF(OR(Notes!$B$3="Pay 1 Regular State Payment Budget",Notes!$B$3="Pay 2 Regular State Payment Budget"),0,INDEX(Data[],MATCH($A59,Data[Dist],0),MATCH(G$4,Data[#Headers],0)))</f>
        <v>0</v>
      </c>
      <c r="H59" s="22">
        <f>INDEX(Data[],MATCH($A59,Data[Dist],0),MATCH(H$4,Data[#Headers],0))</f>
        <v>9843851</v>
      </c>
    </row>
    <row r="60" spans="1:8" s="21" customFormat="1" ht="12.75" x14ac:dyDescent="0.2">
      <c r="A60" s="20" t="str">
        <f>Data!B56</f>
        <v>1089</v>
      </c>
      <c r="B60" s="21" t="str">
        <f>INDEX(Data[],MATCH($A60,Data[Dist],0),MATCH(B$4,Data[#Headers],0))</f>
        <v>Central City</v>
      </c>
      <c r="C60" s="22">
        <f>INDEX(Data[],MATCH($A60,Data[Dist],0),MATCH(C$4,Data[#Headers],0))</f>
        <v>3043765</v>
      </c>
      <c r="D60" s="22">
        <f>INDEX(Data[],MATCH($A60,Data[Dist],0),MATCH(D$4,Data[#Headers],0))</f>
        <v>282</v>
      </c>
      <c r="E60" s="22">
        <f>INDEX(Data[],MATCH($A60,Data[Dist],0),MATCH(E$4,Data[#Headers],0))</f>
        <v>0</v>
      </c>
      <c r="F60" s="22">
        <f>IF(Notes!$B$3="Pay 1 Regular State Payment Budget",0,INDEX(Data[],MATCH($A60,Data[Dist],0),MATCH(F$4,Data[#Headers],0)))</f>
        <v>0</v>
      </c>
      <c r="G60" s="22">
        <f>IF(OR(Notes!$B$3="Pay 1 Regular State Payment Budget",Notes!$B$3="Pay 2 Regular State Payment Budget"),0,INDEX(Data[],MATCH($A60,Data[Dist],0),MATCH(G$4,Data[#Headers],0)))</f>
        <v>0</v>
      </c>
      <c r="H60" s="22">
        <f>INDEX(Data[],MATCH($A60,Data[Dist],0),MATCH(H$4,Data[#Headers],0))</f>
        <v>3043483</v>
      </c>
    </row>
    <row r="61" spans="1:8" s="21" customFormat="1" ht="12.75" x14ac:dyDescent="0.2">
      <c r="A61" s="20" t="str">
        <f>Data!B57</f>
        <v>1093</v>
      </c>
      <c r="B61" s="21" t="str">
        <f>INDEX(Data[],MATCH($A61,Data[Dist],0),MATCH(B$4,Data[#Headers],0))</f>
        <v>Central Decatur</v>
      </c>
      <c r="C61" s="22">
        <f>INDEX(Data[],MATCH($A61,Data[Dist],0),MATCH(C$4,Data[#Headers],0))</f>
        <v>5493808</v>
      </c>
      <c r="D61" s="22">
        <f>INDEX(Data[],MATCH($A61,Data[Dist],0),MATCH(D$4,Data[#Headers],0))</f>
        <v>680</v>
      </c>
      <c r="E61" s="22">
        <f>INDEX(Data[],MATCH($A61,Data[Dist],0),MATCH(E$4,Data[#Headers],0))</f>
        <v>0</v>
      </c>
      <c r="F61" s="22">
        <f>IF(Notes!$B$3="Pay 1 Regular State Payment Budget",0,INDEX(Data[],MATCH($A61,Data[Dist],0),MATCH(F$4,Data[#Headers],0)))</f>
        <v>0</v>
      </c>
      <c r="G61" s="22">
        <f>IF(OR(Notes!$B$3="Pay 1 Regular State Payment Budget",Notes!$B$3="Pay 2 Regular State Payment Budget"),0,INDEX(Data[],MATCH($A61,Data[Dist],0),MATCH(G$4,Data[#Headers],0)))</f>
        <v>0</v>
      </c>
      <c r="H61" s="22">
        <f>INDEX(Data[],MATCH($A61,Data[Dist],0),MATCH(H$4,Data[#Headers],0))</f>
        <v>5493128</v>
      </c>
    </row>
    <row r="62" spans="1:8" s="21" customFormat="1" ht="12.75" x14ac:dyDescent="0.2">
      <c r="A62" s="20" t="str">
        <f>Data!B58</f>
        <v>1095</v>
      </c>
      <c r="B62" s="21" t="str">
        <f>INDEX(Data[],MATCH($A62,Data[Dist],0),MATCH(B$4,Data[#Headers],0))</f>
        <v>Central Lyon</v>
      </c>
      <c r="C62" s="22">
        <f>INDEX(Data[],MATCH($A62,Data[Dist],0),MATCH(C$4,Data[#Headers],0))</f>
        <v>5120078</v>
      </c>
      <c r="D62" s="22">
        <f>INDEX(Data[],MATCH($A62,Data[Dist],0),MATCH(D$4,Data[#Headers],0))</f>
        <v>730</v>
      </c>
      <c r="E62" s="22">
        <f>INDEX(Data[],MATCH($A62,Data[Dist],0),MATCH(E$4,Data[#Headers],0))</f>
        <v>0</v>
      </c>
      <c r="F62" s="22">
        <f>IF(Notes!$B$3="Pay 1 Regular State Payment Budget",0,INDEX(Data[],MATCH($A62,Data[Dist],0),MATCH(F$4,Data[#Headers],0)))</f>
        <v>0</v>
      </c>
      <c r="G62" s="22">
        <f>IF(OR(Notes!$B$3="Pay 1 Regular State Payment Budget",Notes!$B$3="Pay 2 Regular State Payment Budget"),0,INDEX(Data[],MATCH($A62,Data[Dist],0),MATCH(G$4,Data[#Headers],0)))</f>
        <v>0</v>
      </c>
      <c r="H62" s="22">
        <f>INDEX(Data[],MATCH($A62,Data[Dist],0),MATCH(H$4,Data[#Headers],0))</f>
        <v>5119348</v>
      </c>
    </row>
    <row r="63" spans="1:8" s="21" customFormat="1" ht="12.75" x14ac:dyDescent="0.2">
      <c r="A63" s="20" t="str">
        <f>Data!B59</f>
        <v>1107</v>
      </c>
      <c r="B63" s="21" t="str">
        <f>INDEX(Data[],MATCH($A63,Data[Dist],0),MATCH(B$4,Data[#Headers],0))</f>
        <v>Chariton</v>
      </c>
      <c r="C63" s="22">
        <f>INDEX(Data[],MATCH($A63,Data[Dist],0),MATCH(C$4,Data[#Headers],0))</f>
        <v>9743613</v>
      </c>
      <c r="D63" s="22">
        <f>INDEX(Data[],MATCH($A63,Data[Dist],0),MATCH(D$4,Data[#Headers],0))</f>
        <v>962</v>
      </c>
      <c r="E63" s="22">
        <f>INDEX(Data[],MATCH($A63,Data[Dist],0),MATCH(E$4,Data[#Headers],0))</f>
        <v>0</v>
      </c>
      <c r="F63" s="22">
        <f>IF(Notes!$B$3="Pay 1 Regular State Payment Budget",0,INDEX(Data[],MATCH($A63,Data[Dist],0),MATCH(F$4,Data[#Headers],0)))</f>
        <v>0</v>
      </c>
      <c r="G63" s="22">
        <f>IF(OR(Notes!$B$3="Pay 1 Regular State Payment Budget",Notes!$B$3="Pay 2 Regular State Payment Budget"),0,INDEX(Data[],MATCH($A63,Data[Dist],0),MATCH(G$4,Data[#Headers],0)))</f>
        <v>0</v>
      </c>
      <c r="H63" s="22">
        <f>INDEX(Data[],MATCH($A63,Data[Dist],0),MATCH(H$4,Data[#Headers],0))</f>
        <v>9742651</v>
      </c>
    </row>
    <row r="64" spans="1:8" s="21" customFormat="1" ht="12.75" x14ac:dyDescent="0.2">
      <c r="A64" s="20" t="str">
        <f>Data!B60</f>
        <v>1116</v>
      </c>
      <c r="B64" s="21" t="str">
        <f>INDEX(Data[],MATCH($A64,Data[Dist],0),MATCH(B$4,Data[#Headers],0))</f>
        <v>Charles City</v>
      </c>
      <c r="C64" s="22">
        <f>INDEX(Data[],MATCH($A64,Data[Dist],0),MATCH(C$4,Data[#Headers],0))</f>
        <v>11059822</v>
      </c>
      <c r="D64" s="22">
        <f>INDEX(Data[],MATCH($A64,Data[Dist],0),MATCH(D$4,Data[#Headers],0))</f>
        <v>1227</v>
      </c>
      <c r="E64" s="22">
        <f>INDEX(Data[],MATCH($A64,Data[Dist],0),MATCH(E$4,Data[#Headers],0))</f>
        <v>0</v>
      </c>
      <c r="F64" s="22">
        <f>IF(Notes!$B$3="Pay 1 Regular State Payment Budget",0,INDEX(Data[],MATCH($A64,Data[Dist],0),MATCH(F$4,Data[#Headers],0)))</f>
        <v>0</v>
      </c>
      <c r="G64" s="22">
        <f>IF(OR(Notes!$B$3="Pay 1 Regular State Payment Budget",Notes!$B$3="Pay 2 Regular State Payment Budget"),0,INDEX(Data[],MATCH($A64,Data[Dist],0),MATCH(G$4,Data[#Headers],0)))</f>
        <v>0</v>
      </c>
      <c r="H64" s="22">
        <f>INDEX(Data[],MATCH($A64,Data[Dist],0),MATCH(H$4,Data[#Headers],0))</f>
        <v>11058595</v>
      </c>
    </row>
    <row r="65" spans="1:8" s="21" customFormat="1" ht="12.75" x14ac:dyDescent="0.2">
      <c r="A65" s="20" t="str">
        <f>Data!B61</f>
        <v>1134</v>
      </c>
      <c r="B65" s="21" t="str">
        <f>INDEX(Data[],MATCH($A65,Data[Dist],0),MATCH(B$4,Data[#Headers],0))</f>
        <v>Charter Oak-Ute</v>
      </c>
      <c r="C65" s="22">
        <f>INDEX(Data[],MATCH($A65,Data[Dist],0),MATCH(C$4,Data[#Headers],0))</f>
        <v>1732812</v>
      </c>
      <c r="D65" s="22">
        <f>INDEX(Data[],MATCH($A65,Data[Dist],0),MATCH(D$4,Data[#Headers],0))</f>
        <v>216</v>
      </c>
      <c r="E65" s="22">
        <f>INDEX(Data[],MATCH($A65,Data[Dist],0),MATCH(E$4,Data[#Headers],0))</f>
        <v>0</v>
      </c>
      <c r="F65" s="22">
        <f>IF(Notes!$B$3="Pay 1 Regular State Payment Budget",0,INDEX(Data[],MATCH($A65,Data[Dist],0),MATCH(F$4,Data[#Headers],0)))</f>
        <v>0</v>
      </c>
      <c r="G65" s="22">
        <f>IF(OR(Notes!$B$3="Pay 1 Regular State Payment Budget",Notes!$B$3="Pay 2 Regular State Payment Budget"),0,INDEX(Data[],MATCH($A65,Data[Dist],0),MATCH(G$4,Data[#Headers],0)))</f>
        <v>0</v>
      </c>
      <c r="H65" s="22">
        <f>INDEX(Data[],MATCH($A65,Data[Dist],0),MATCH(H$4,Data[#Headers],0))</f>
        <v>1732596</v>
      </c>
    </row>
    <row r="66" spans="1:8" s="21" customFormat="1" ht="12.75" x14ac:dyDescent="0.2">
      <c r="A66" s="20" t="str">
        <f>Data!B62</f>
        <v>1152</v>
      </c>
      <c r="B66" s="21" t="str">
        <f>INDEX(Data[],MATCH($A66,Data[Dist],0),MATCH(B$4,Data[#Headers],0))</f>
        <v>Cherokee</v>
      </c>
      <c r="C66" s="22">
        <f>INDEX(Data[],MATCH($A66,Data[Dist],0),MATCH(C$4,Data[#Headers],0))</f>
        <v>7847980</v>
      </c>
      <c r="D66" s="22">
        <f>INDEX(Data[],MATCH($A66,Data[Dist],0),MATCH(D$4,Data[#Headers],0))</f>
        <v>630</v>
      </c>
      <c r="E66" s="22">
        <f>INDEX(Data[],MATCH($A66,Data[Dist],0),MATCH(E$4,Data[#Headers],0))</f>
        <v>0</v>
      </c>
      <c r="F66" s="22">
        <f>IF(Notes!$B$3="Pay 1 Regular State Payment Budget",0,INDEX(Data[],MATCH($A66,Data[Dist],0),MATCH(F$4,Data[#Headers],0)))</f>
        <v>0</v>
      </c>
      <c r="G66" s="22">
        <f>IF(OR(Notes!$B$3="Pay 1 Regular State Payment Budget",Notes!$B$3="Pay 2 Regular State Payment Budget"),0,INDEX(Data[],MATCH($A66,Data[Dist],0),MATCH(G$4,Data[#Headers],0)))</f>
        <v>0</v>
      </c>
      <c r="H66" s="22">
        <f>INDEX(Data[],MATCH($A66,Data[Dist],0),MATCH(H$4,Data[#Headers],0))</f>
        <v>7847350</v>
      </c>
    </row>
    <row r="67" spans="1:8" s="21" customFormat="1" ht="12.75" x14ac:dyDescent="0.2">
      <c r="A67" s="20" t="str">
        <f>Data!B63</f>
        <v>1197</v>
      </c>
      <c r="B67" s="21" t="str">
        <f>INDEX(Data[],MATCH($A67,Data[Dist],0),MATCH(B$4,Data[#Headers],0))</f>
        <v>Clarinda</v>
      </c>
      <c r="C67" s="22">
        <f>INDEX(Data[],MATCH($A67,Data[Dist],0),MATCH(C$4,Data[#Headers],0))</f>
        <v>6998532</v>
      </c>
      <c r="D67" s="22">
        <f>INDEX(Data[],MATCH($A67,Data[Dist],0),MATCH(D$4,Data[#Headers],0))</f>
        <v>448</v>
      </c>
      <c r="E67" s="22">
        <f>INDEX(Data[],MATCH($A67,Data[Dist],0),MATCH(E$4,Data[#Headers],0))</f>
        <v>0</v>
      </c>
      <c r="F67" s="22">
        <f>IF(Notes!$B$3="Pay 1 Regular State Payment Budget",0,INDEX(Data[],MATCH($A67,Data[Dist],0),MATCH(F$4,Data[#Headers],0)))</f>
        <v>0</v>
      </c>
      <c r="G67" s="22">
        <f>IF(OR(Notes!$B$3="Pay 1 Regular State Payment Budget",Notes!$B$3="Pay 2 Regular State Payment Budget"),0,INDEX(Data[],MATCH($A67,Data[Dist],0),MATCH(G$4,Data[#Headers],0)))</f>
        <v>0</v>
      </c>
      <c r="H67" s="22">
        <f>INDEX(Data[],MATCH($A67,Data[Dist],0),MATCH(H$4,Data[#Headers],0))</f>
        <v>6998084</v>
      </c>
    </row>
    <row r="68" spans="1:8" s="21" customFormat="1" ht="12.75" x14ac:dyDescent="0.2">
      <c r="A68" s="20" t="str">
        <f>Data!B64</f>
        <v>1206</v>
      </c>
      <c r="B68" s="21" t="str">
        <f>INDEX(Data[],MATCH($A68,Data[Dist],0),MATCH(B$4,Data[#Headers],0))</f>
        <v>Clarion-Goldfield-Dows</v>
      </c>
      <c r="C68" s="22">
        <f>INDEX(Data[],MATCH($A68,Data[Dist],0),MATCH(C$4,Data[#Headers],0))</f>
        <v>6438728</v>
      </c>
      <c r="D68" s="22">
        <f>INDEX(Data[],MATCH($A68,Data[Dist],0),MATCH(D$4,Data[#Headers],0))</f>
        <v>1111</v>
      </c>
      <c r="E68" s="22">
        <f>INDEX(Data[],MATCH($A68,Data[Dist],0),MATCH(E$4,Data[#Headers],0))</f>
        <v>0</v>
      </c>
      <c r="F68" s="22">
        <f>IF(Notes!$B$3="Pay 1 Regular State Payment Budget",0,INDEX(Data[],MATCH($A68,Data[Dist],0),MATCH(F$4,Data[#Headers],0)))</f>
        <v>0</v>
      </c>
      <c r="G68" s="22">
        <f>IF(OR(Notes!$B$3="Pay 1 Regular State Payment Budget",Notes!$B$3="Pay 2 Regular State Payment Budget"),0,INDEX(Data[],MATCH($A68,Data[Dist],0),MATCH(G$4,Data[#Headers],0)))</f>
        <v>0</v>
      </c>
      <c r="H68" s="22">
        <f>INDEX(Data[],MATCH($A68,Data[Dist],0),MATCH(H$4,Data[#Headers],0))</f>
        <v>6437617</v>
      </c>
    </row>
    <row r="69" spans="1:8" s="21" customFormat="1" ht="12.75" x14ac:dyDescent="0.2">
      <c r="A69" s="20" t="str">
        <f>Data!B65</f>
        <v>1211</v>
      </c>
      <c r="B69" s="21" t="str">
        <f>INDEX(Data[],MATCH($A69,Data[Dist],0),MATCH(B$4,Data[#Headers],0))</f>
        <v>Clarke</v>
      </c>
      <c r="C69" s="22">
        <f>INDEX(Data[],MATCH($A69,Data[Dist],0),MATCH(C$4,Data[#Headers],0))</f>
        <v>11350161</v>
      </c>
      <c r="D69" s="22">
        <f>INDEX(Data[],MATCH($A69,Data[Dist],0),MATCH(D$4,Data[#Headers],0))</f>
        <v>979</v>
      </c>
      <c r="E69" s="22">
        <f>INDEX(Data[],MATCH($A69,Data[Dist],0),MATCH(E$4,Data[#Headers],0))</f>
        <v>0</v>
      </c>
      <c r="F69" s="22">
        <f>IF(Notes!$B$3="Pay 1 Regular State Payment Budget",0,INDEX(Data[],MATCH($A69,Data[Dist],0),MATCH(F$4,Data[#Headers],0)))</f>
        <v>0</v>
      </c>
      <c r="G69" s="22">
        <f>IF(OR(Notes!$B$3="Pay 1 Regular State Payment Budget",Notes!$B$3="Pay 2 Regular State Payment Budget"),0,INDEX(Data[],MATCH($A69,Data[Dist],0),MATCH(G$4,Data[#Headers],0)))</f>
        <v>0</v>
      </c>
      <c r="H69" s="22">
        <f>INDEX(Data[],MATCH($A69,Data[Dist],0),MATCH(H$4,Data[#Headers],0))</f>
        <v>11349182</v>
      </c>
    </row>
    <row r="70" spans="1:8" s="21" customFormat="1" ht="12.75" x14ac:dyDescent="0.2">
      <c r="A70" s="20" t="str">
        <f>Data!B66</f>
        <v>1215</v>
      </c>
      <c r="B70" s="21" t="str">
        <f>INDEX(Data[],MATCH($A70,Data[Dist],0),MATCH(B$4,Data[#Headers],0))</f>
        <v>Clarksville</v>
      </c>
      <c r="C70" s="22">
        <f>INDEX(Data[],MATCH($A70,Data[Dist],0),MATCH(C$4,Data[#Headers],0))</f>
        <v>2224212</v>
      </c>
      <c r="D70" s="22">
        <f>INDEX(Data[],MATCH($A70,Data[Dist],0),MATCH(D$4,Data[#Headers],0))</f>
        <v>182</v>
      </c>
      <c r="E70" s="22">
        <f>INDEX(Data[],MATCH($A70,Data[Dist],0),MATCH(E$4,Data[#Headers],0))</f>
        <v>0</v>
      </c>
      <c r="F70" s="22">
        <f>IF(Notes!$B$3="Pay 1 Regular State Payment Budget",0,INDEX(Data[],MATCH($A70,Data[Dist],0),MATCH(F$4,Data[#Headers],0)))</f>
        <v>0</v>
      </c>
      <c r="G70" s="22">
        <f>IF(OR(Notes!$B$3="Pay 1 Regular State Payment Budget",Notes!$B$3="Pay 2 Regular State Payment Budget"),0,INDEX(Data[],MATCH($A70,Data[Dist],0),MATCH(G$4,Data[#Headers],0)))</f>
        <v>0</v>
      </c>
      <c r="H70" s="22">
        <f>INDEX(Data[],MATCH($A70,Data[Dist],0),MATCH(H$4,Data[#Headers],0))</f>
        <v>2224030</v>
      </c>
    </row>
    <row r="71" spans="1:8" s="21" customFormat="1" ht="12.75" x14ac:dyDescent="0.2">
      <c r="A71" s="20" t="str">
        <f>Data!B67</f>
        <v>1218</v>
      </c>
      <c r="B71" s="21" t="str">
        <f>INDEX(Data[],MATCH($A71,Data[Dist],0),MATCH(B$4,Data[#Headers],0))</f>
        <v>Clay Central-Everly</v>
      </c>
      <c r="C71" s="22">
        <f>INDEX(Data[],MATCH($A71,Data[Dist],0),MATCH(C$4,Data[#Headers],0))</f>
        <v>1111736</v>
      </c>
      <c r="D71" s="22">
        <f>INDEX(Data[],MATCH($A71,Data[Dist],0),MATCH(D$4,Data[#Headers],0))</f>
        <v>133</v>
      </c>
      <c r="E71" s="22">
        <f>INDEX(Data[],MATCH($A71,Data[Dist],0),MATCH(E$4,Data[#Headers],0))</f>
        <v>0</v>
      </c>
      <c r="F71" s="22">
        <f>IF(Notes!$B$3="Pay 1 Regular State Payment Budget",0,INDEX(Data[],MATCH($A71,Data[Dist],0),MATCH(F$4,Data[#Headers],0)))</f>
        <v>0</v>
      </c>
      <c r="G71" s="22">
        <f>IF(OR(Notes!$B$3="Pay 1 Regular State Payment Budget",Notes!$B$3="Pay 2 Regular State Payment Budget"),0,INDEX(Data[],MATCH($A71,Data[Dist],0),MATCH(G$4,Data[#Headers],0)))</f>
        <v>0</v>
      </c>
      <c r="H71" s="22">
        <f>INDEX(Data[],MATCH($A71,Data[Dist],0),MATCH(H$4,Data[#Headers],0))</f>
        <v>1111603</v>
      </c>
    </row>
    <row r="72" spans="1:8" s="21" customFormat="1" ht="12.75" x14ac:dyDescent="0.2">
      <c r="A72" s="20" t="str">
        <f>Data!B68</f>
        <v>1221</v>
      </c>
      <c r="B72" s="21" t="str">
        <f>INDEX(Data[],MATCH($A72,Data[Dist],0),MATCH(B$4,Data[#Headers],0))</f>
        <v>Clear Creek-Amana</v>
      </c>
      <c r="C72" s="22">
        <f>INDEX(Data[],MATCH($A72,Data[Dist],0),MATCH(C$4,Data[#Headers],0))</f>
        <v>19556656</v>
      </c>
      <c r="D72" s="22">
        <f>INDEX(Data[],MATCH($A72,Data[Dist],0),MATCH(D$4,Data[#Headers],0))</f>
        <v>2538</v>
      </c>
      <c r="E72" s="22">
        <f>INDEX(Data[],MATCH($A72,Data[Dist],0),MATCH(E$4,Data[#Headers],0))</f>
        <v>0</v>
      </c>
      <c r="F72" s="22">
        <f>IF(Notes!$B$3="Pay 1 Regular State Payment Budget",0,INDEX(Data[],MATCH($A72,Data[Dist],0),MATCH(F$4,Data[#Headers],0)))</f>
        <v>0</v>
      </c>
      <c r="G72" s="22">
        <f>IF(OR(Notes!$B$3="Pay 1 Regular State Payment Budget",Notes!$B$3="Pay 2 Regular State Payment Budget"),0,INDEX(Data[],MATCH($A72,Data[Dist],0),MATCH(G$4,Data[#Headers],0)))</f>
        <v>0</v>
      </c>
      <c r="H72" s="22">
        <f>INDEX(Data[],MATCH($A72,Data[Dist],0),MATCH(H$4,Data[#Headers],0))</f>
        <v>19554118</v>
      </c>
    </row>
    <row r="73" spans="1:8" s="21" customFormat="1" ht="12.75" x14ac:dyDescent="0.2">
      <c r="A73" s="20" t="str">
        <f>Data!B69</f>
        <v>1233</v>
      </c>
      <c r="B73" s="21" t="str">
        <f>INDEX(Data[],MATCH($A73,Data[Dist],0),MATCH(B$4,Data[#Headers],0))</f>
        <v>Clear Lake</v>
      </c>
      <c r="C73" s="22">
        <f>INDEX(Data[],MATCH($A73,Data[Dist],0),MATCH(C$4,Data[#Headers],0))</f>
        <v>5059249</v>
      </c>
      <c r="D73" s="22">
        <f>INDEX(Data[],MATCH($A73,Data[Dist],0),MATCH(D$4,Data[#Headers],0))</f>
        <v>896</v>
      </c>
      <c r="E73" s="22">
        <f>INDEX(Data[],MATCH($A73,Data[Dist],0),MATCH(E$4,Data[#Headers],0))</f>
        <v>0</v>
      </c>
      <c r="F73" s="22">
        <f>IF(Notes!$B$3="Pay 1 Regular State Payment Budget",0,INDEX(Data[],MATCH($A73,Data[Dist],0),MATCH(F$4,Data[#Headers],0)))</f>
        <v>0</v>
      </c>
      <c r="G73" s="22">
        <f>IF(OR(Notes!$B$3="Pay 1 Regular State Payment Budget",Notes!$B$3="Pay 2 Regular State Payment Budget"),0,INDEX(Data[],MATCH($A73,Data[Dist],0),MATCH(G$4,Data[#Headers],0)))</f>
        <v>0</v>
      </c>
      <c r="H73" s="22">
        <f>INDEX(Data[],MATCH($A73,Data[Dist],0),MATCH(H$4,Data[#Headers],0))</f>
        <v>5058353</v>
      </c>
    </row>
    <row r="74" spans="1:8" s="21" customFormat="1" ht="12.75" x14ac:dyDescent="0.2">
      <c r="A74" s="20" t="str">
        <f>Data!B70</f>
        <v>1278</v>
      </c>
      <c r="B74" s="21" t="str">
        <f>INDEX(Data[],MATCH($A74,Data[Dist],0),MATCH(B$4,Data[#Headers],0))</f>
        <v>Clinton</v>
      </c>
      <c r="C74" s="22">
        <f>INDEX(Data[],MATCH($A74,Data[Dist],0),MATCH(C$4,Data[#Headers],0))</f>
        <v>31368887</v>
      </c>
      <c r="D74" s="22">
        <f>INDEX(Data[],MATCH($A74,Data[Dist],0),MATCH(D$4,Data[#Headers],0))</f>
        <v>3201</v>
      </c>
      <c r="E74" s="22">
        <f>INDEX(Data[],MATCH($A74,Data[Dist],0),MATCH(E$4,Data[#Headers],0))</f>
        <v>0</v>
      </c>
      <c r="F74" s="22">
        <f>IF(Notes!$B$3="Pay 1 Regular State Payment Budget",0,INDEX(Data[],MATCH($A74,Data[Dist],0),MATCH(F$4,Data[#Headers],0)))</f>
        <v>0</v>
      </c>
      <c r="G74" s="22">
        <f>IF(OR(Notes!$B$3="Pay 1 Regular State Payment Budget",Notes!$B$3="Pay 2 Regular State Payment Budget"),0,INDEX(Data[],MATCH($A74,Data[Dist],0),MATCH(G$4,Data[#Headers],0)))</f>
        <v>0</v>
      </c>
      <c r="H74" s="22">
        <f>INDEX(Data[],MATCH($A74,Data[Dist],0),MATCH(H$4,Data[#Headers],0))</f>
        <v>31365686</v>
      </c>
    </row>
    <row r="75" spans="1:8" s="21" customFormat="1" ht="12.75" x14ac:dyDescent="0.2">
      <c r="A75" s="20" t="str">
        <f>Data!B71</f>
        <v>1332</v>
      </c>
      <c r="B75" s="21" t="str">
        <f>INDEX(Data[],MATCH($A75,Data[Dist],0),MATCH(B$4,Data[#Headers],0))</f>
        <v>Colfax-Mingo</v>
      </c>
      <c r="C75" s="22">
        <f>INDEX(Data[],MATCH($A75,Data[Dist],0),MATCH(C$4,Data[#Headers],0))</f>
        <v>5039789</v>
      </c>
      <c r="D75" s="22">
        <f>INDEX(Data[],MATCH($A75,Data[Dist],0),MATCH(D$4,Data[#Headers],0))</f>
        <v>630</v>
      </c>
      <c r="E75" s="22">
        <f>INDEX(Data[],MATCH($A75,Data[Dist],0),MATCH(E$4,Data[#Headers],0))</f>
        <v>1136</v>
      </c>
      <c r="F75" s="22">
        <f>IF(Notes!$B$3="Pay 1 Regular State Payment Budget",0,INDEX(Data[],MATCH($A75,Data[Dist],0),MATCH(F$4,Data[#Headers],0)))</f>
        <v>0</v>
      </c>
      <c r="G75" s="22">
        <f>IF(OR(Notes!$B$3="Pay 1 Regular State Payment Budget",Notes!$B$3="Pay 2 Regular State Payment Budget"),0,INDEX(Data[],MATCH($A75,Data[Dist],0),MATCH(G$4,Data[#Headers],0)))</f>
        <v>0</v>
      </c>
      <c r="H75" s="22">
        <f>INDEX(Data[],MATCH($A75,Data[Dist],0),MATCH(H$4,Data[#Headers],0))</f>
        <v>5038023</v>
      </c>
    </row>
    <row r="76" spans="1:8" s="21" customFormat="1" ht="12.75" x14ac:dyDescent="0.2">
      <c r="A76" s="20" t="str">
        <f>Data!B72</f>
        <v>1337</v>
      </c>
      <c r="B76" s="21" t="str">
        <f>INDEX(Data[],MATCH($A76,Data[Dist],0),MATCH(B$4,Data[#Headers],0))</f>
        <v>College Community</v>
      </c>
      <c r="C76" s="22">
        <f>INDEX(Data[],MATCH($A76,Data[Dist],0),MATCH(C$4,Data[#Headers],0))</f>
        <v>33560815</v>
      </c>
      <c r="D76" s="22">
        <f>INDEX(Data[],MATCH($A76,Data[Dist],0),MATCH(D$4,Data[#Headers],0))</f>
        <v>4080</v>
      </c>
      <c r="E76" s="22">
        <f>INDEX(Data[],MATCH($A76,Data[Dist],0),MATCH(E$4,Data[#Headers],0))</f>
        <v>14437</v>
      </c>
      <c r="F76" s="22">
        <f>IF(Notes!$B$3="Pay 1 Regular State Payment Budget",0,INDEX(Data[],MATCH($A76,Data[Dist],0),MATCH(F$4,Data[#Headers],0)))</f>
        <v>0</v>
      </c>
      <c r="G76" s="22">
        <f>IF(OR(Notes!$B$3="Pay 1 Regular State Payment Budget",Notes!$B$3="Pay 2 Regular State Payment Budget"),0,INDEX(Data[],MATCH($A76,Data[Dist],0),MATCH(G$4,Data[#Headers],0)))</f>
        <v>0</v>
      </c>
      <c r="H76" s="22">
        <f>INDEX(Data[],MATCH($A76,Data[Dist],0),MATCH(H$4,Data[#Headers],0))</f>
        <v>33542298</v>
      </c>
    </row>
    <row r="77" spans="1:8" s="21" customFormat="1" ht="12.75" x14ac:dyDescent="0.2">
      <c r="A77" s="20" t="str">
        <f>Data!B73</f>
        <v>1350</v>
      </c>
      <c r="B77" s="21" t="str">
        <f>INDEX(Data[],MATCH($A77,Data[Dist],0),MATCH(B$4,Data[#Headers],0))</f>
        <v>Collins-Maxwell</v>
      </c>
      <c r="C77" s="22">
        <f>INDEX(Data[],MATCH($A77,Data[Dist],0),MATCH(C$4,Data[#Headers],0))</f>
        <v>3171336</v>
      </c>
      <c r="D77" s="22">
        <f>INDEX(Data[],MATCH($A77,Data[Dist],0),MATCH(D$4,Data[#Headers],0))</f>
        <v>249</v>
      </c>
      <c r="E77" s="22">
        <f>INDEX(Data[],MATCH($A77,Data[Dist],0),MATCH(E$4,Data[#Headers],0))</f>
        <v>0</v>
      </c>
      <c r="F77" s="22">
        <f>IF(Notes!$B$3="Pay 1 Regular State Payment Budget",0,INDEX(Data[],MATCH($A77,Data[Dist],0),MATCH(F$4,Data[#Headers],0)))</f>
        <v>0</v>
      </c>
      <c r="G77" s="22">
        <f>IF(OR(Notes!$B$3="Pay 1 Regular State Payment Budget",Notes!$B$3="Pay 2 Regular State Payment Budget"),0,INDEX(Data[],MATCH($A77,Data[Dist],0),MATCH(G$4,Data[#Headers],0)))</f>
        <v>0</v>
      </c>
      <c r="H77" s="22">
        <f>INDEX(Data[],MATCH($A77,Data[Dist],0),MATCH(H$4,Data[#Headers],0))</f>
        <v>3171087</v>
      </c>
    </row>
    <row r="78" spans="1:8" s="21" customFormat="1" ht="12.75" x14ac:dyDescent="0.2">
      <c r="A78" s="20" t="str">
        <f>Data!B74</f>
        <v>1359</v>
      </c>
      <c r="B78" s="21" t="str">
        <f>INDEX(Data[],MATCH($A78,Data[Dist],0),MATCH(B$4,Data[#Headers],0))</f>
        <v>Colo-Nesco</v>
      </c>
      <c r="C78" s="22">
        <f>INDEX(Data[],MATCH($A78,Data[Dist],0),MATCH(C$4,Data[#Headers],0))</f>
        <v>2441470</v>
      </c>
      <c r="D78" s="22">
        <f>INDEX(Data[],MATCH($A78,Data[Dist],0),MATCH(D$4,Data[#Headers],0))</f>
        <v>332</v>
      </c>
      <c r="E78" s="22">
        <f>INDEX(Data[],MATCH($A78,Data[Dist],0),MATCH(E$4,Data[#Headers],0))</f>
        <v>0</v>
      </c>
      <c r="F78" s="22">
        <f>IF(Notes!$B$3="Pay 1 Regular State Payment Budget",0,INDEX(Data[],MATCH($A78,Data[Dist],0),MATCH(F$4,Data[#Headers],0)))</f>
        <v>0</v>
      </c>
      <c r="G78" s="22">
        <f>IF(OR(Notes!$B$3="Pay 1 Regular State Payment Budget",Notes!$B$3="Pay 2 Regular State Payment Budget"),0,INDEX(Data[],MATCH($A78,Data[Dist],0),MATCH(G$4,Data[#Headers],0)))</f>
        <v>0</v>
      </c>
      <c r="H78" s="22">
        <f>INDEX(Data[],MATCH($A78,Data[Dist],0),MATCH(H$4,Data[#Headers],0))</f>
        <v>2441138</v>
      </c>
    </row>
    <row r="79" spans="1:8" s="21" customFormat="1" ht="12.75" x14ac:dyDescent="0.2">
      <c r="A79" s="20" t="str">
        <f>Data!B75</f>
        <v>1368</v>
      </c>
      <c r="B79" s="21" t="str">
        <f>INDEX(Data[],MATCH($A79,Data[Dist],0),MATCH(B$4,Data[#Headers],0))</f>
        <v>Columbus</v>
      </c>
      <c r="C79" s="22">
        <f>INDEX(Data[],MATCH($A79,Data[Dist],0),MATCH(C$4,Data[#Headers],0))</f>
        <v>5641245</v>
      </c>
      <c r="D79" s="22">
        <f>INDEX(Data[],MATCH($A79,Data[Dist],0),MATCH(D$4,Data[#Headers],0))</f>
        <v>580</v>
      </c>
      <c r="E79" s="22">
        <f>INDEX(Data[],MATCH($A79,Data[Dist],0),MATCH(E$4,Data[#Headers],0))</f>
        <v>9765</v>
      </c>
      <c r="F79" s="22">
        <f>IF(Notes!$B$3="Pay 1 Regular State Payment Budget",0,INDEX(Data[],MATCH($A79,Data[Dist],0),MATCH(F$4,Data[#Headers],0)))</f>
        <v>0</v>
      </c>
      <c r="G79" s="22">
        <f>IF(OR(Notes!$B$3="Pay 1 Regular State Payment Budget",Notes!$B$3="Pay 2 Regular State Payment Budget"),0,INDEX(Data[],MATCH($A79,Data[Dist],0),MATCH(G$4,Data[#Headers],0)))</f>
        <v>0</v>
      </c>
      <c r="H79" s="22">
        <f>INDEX(Data[],MATCH($A79,Data[Dist],0),MATCH(H$4,Data[#Headers],0))</f>
        <v>5630900</v>
      </c>
    </row>
    <row r="80" spans="1:8" s="21" customFormat="1" ht="12.75" x14ac:dyDescent="0.2">
      <c r="A80" s="20" t="str">
        <f>Data!B76</f>
        <v>1413</v>
      </c>
      <c r="B80" s="21" t="str">
        <f>INDEX(Data[],MATCH($A80,Data[Dist],0),MATCH(B$4,Data[#Headers],0))</f>
        <v>Coon Rapids-Bayard</v>
      </c>
      <c r="C80" s="22">
        <f>INDEX(Data[],MATCH($A80,Data[Dist],0),MATCH(C$4,Data[#Headers],0))</f>
        <v>2924026</v>
      </c>
      <c r="D80" s="22">
        <f>INDEX(Data[],MATCH($A80,Data[Dist],0),MATCH(D$4,Data[#Headers],0))</f>
        <v>398</v>
      </c>
      <c r="E80" s="22">
        <f>INDEX(Data[],MATCH($A80,Data[Dist],0),MATCH(E$4,Data[#Headers],0))</f>
        <v>0</v>
      </c>
      <c r="F80" s="22">
        <f>IF(Notes!$B$3="Pay 1 Regular State Payment Budget",0,INDEX(Data[],MATCH($A80,Data[Dist],0),MATCH(F$4,Data[#Headers],0)))</f>
        <v>0</v>
      </c>
      <c r="G80" s="22">
        <f>IF(OR(Notes!$B$3="Pay 1 Regular State Payment Budget",Notes!$B$3="Pay 2 Regular State Payment Budget"),0,INDEX(Data[],MATCH($A80,Data[Dist],0),MATCH(G$4,Data[#Headers],0)))</f>
        <v>0</v>
      </c>
      <c r="H80" s="22">
        <f>INDEX(Data[],MATCH($A80,Data[Dist],0),MATCH(H$4,Data[#Headers],0))</f>
        <v>2923628</v>
      </c>
    </row>
    <row r="81" spans="1:8" s="21" customFormat="1" ht="12.75" x14ac:dyDescent="0.2">
      <c r="A81" s="20" t="str">
        <f>Data!B77</f>
        <v>1431</v>
      </c>
      <c r="B81" s="21" t="str">
        <f>INDEX(Data[],MATCH($A81,Data[Dist],0),MATCH(B$4,Data[#Headers],0))</f>
        <v>Corning</v>
      </c>
      <c r="C81" s="22">
        <f>INDEX(Data[],MATCH($A81,Data[Dist],0),MATCH(C$4,Data[#Headers],0))</f>
        <v>1810698</v>
      </c>
      <c r="D81" s="22">
        <f>INDEX(Data[],MATCH($A81,Data[Dist],0),MATCH(D$4,Data[#Headers],0))</f>
        <v>348</v>
      </c>
      <c r="E81" s="22">
        <f>INDEX(Data[],MATCH($A81,Data[Dist],0),MATCH(E$4,Data[#Headers],0))</f>
        <v>0</v>
      </c>
      <c r="F81" s="22">
        <f>IF(Notes!$B$3="Pay 1 Regular State Payment Budget",0,INDEX(Data[],MATCH($A81,Data[Dist],0),MATCH(F$4,Data[#Headers],0)))</f>
        <v>0</v>
      </c>
      <c r="G81" s="22">
        <f>IF(OR(Notes!$B$3="Pay 1 Regular State Payment Budget",Notes!$B$3="Pay 2 Regular State Payment Budget"),0,INDEX(Data[],MATCH($A81,Data[Dist],0),MATCH(G$4,Data[#Headers],0)))</f>
        <v>0</v>
      </c>
      <c r="H81" s="22">
        <f>INDEX(Data[],MATCH($A81,Data[Dist],0),MATCH(H$4,Data[#Headers],0))</f>
        <v>1810350</v>
      </c>
    </row>
    <row r="82" spans="1:8" s="21" customFormat="1" ht="12.75" x14ac:dyDescent="0.2">
      <c r="A82" s="20" t="str">
        <f>Data!B78</f>
        <v>1476</v>
      </c>
      <c r="B82" s="21" t="str">
        <f>INDEX(Data[],MATCH($A82,Data[Dist],0),MATCH(B$4,Data[#Headers],0))</f>
        <v>Council Bluffs</v>
      </c>
      <c r="C82" s="22">
        <f>INDEX(Data[],MATCH($A82,Data[Dist],0),MATCH(C$4,Data[#Headers],0))</f>
        <v>76336171</v>
      </c>
      <c r="D82" s="22">
        <f>INDEX(Data[],MATCH($A82,Data[Dist],0),MATCH(D$4,Data[#Headers],0))</f>
        <v>6816</v>
      </c>
      <c r="E82" s="22">
        <f>INDEX(Data[],MATCH($A82,Data[Dist],0),MATCH(E$4,Data[#Headers],0))</f>
        <v>4714</v>
      </c>
      <c r="F82" s="22">
        <f>IF(Notes!$B$3="Pay 1 Regular State Payment Budget",0,INDEX(Data[],MATCH($A82,Data[Dist],0),MATCH(F$4,Data[#Headers],0)))</f>
        <v>0</v>
      </c>
      <c r="G82" s="22">
        <f>IF(OR(Notes!$B$3="Pay 1 Regular State Payment Budget",Notes!$B$3="Pay 2 Regular State Payment Budget"),0,INDEX(Data[],MATCH($A82,Data[Dist],0),MATCH(G$4,Data[#Headers],0)))</f>
        <v>0</v>
      </c>
      <c r="H82" s="22">
        <f>INDEX(Data[],MATCH($A82,Data[Dist],0),MATCH(H$4,Data[#Headers],0))</f>
        <v>76324641</v>
      </c>
    </row>
    <row r="83" spans="1:8" s="21" customFormat="1" ht="12.75" x14ac:dyDescent="0.2">
      <c r="A83" s="20" t="str">
        <f>Data!B79</f>
        <v>1503</v>
      </c>
      <c r="B83" s="21" t="str">
        <f>INDEX(Data[],MATCH($A83,Data[Dist],0),MATCH(B$4,Data[#Headers],0))</f>
        <v>Creston</v>
      </c>
      <c r="C83" s="22">
        <f>INDEX(Data[],MATCH($A83,Data[Dist],0),MATCH(C$4,Data[#Headers],0))</f>
        <v>10317180</v>
      </c>
      <c r="D83" s="22">
        <f>INDEX(Data[],MATCH($A83,Data[Dist],0),MATCH(D$4,Data[#Headers],0))</f>
        <v>1426</v>
      </c>
      <c r="E83" s="22">
        <f>INDEX(Data[],MATCH($A83,Data[Dist],0),MATCH(E$4,Data[#Headers],0))</f>
        <v>0</v>
      </c>
      <c r="F83" s="22">
        <f>IF(Notes!$B$3="Pay 1 Regular State Payment Budget",0,INDEX(Data[],MATCH($A83,Data[Dist],0),MATCH(F$4,Data[#Headers],0)))</f>
        <v>0</v>
      </c>
      <c r="G83" s="22">
        <f>IF(OR(Notes!$B$3="Pay 1 Regular State Payment Budget",Notes!$B$3="Pay 2 Regular State Payment Budget"),0,INDEX(Data[],MATCH($A83,Data[Dist],0),MATCH(G$4,Data[#Headers],0)))</f>
        <v>0</v>
      </c>
      <c r="H83" s="22">
        <f>INDEX(Data[],MATCH($A83,Data[Dist],0),MATCH(H$4,Data[#Headers],0))</f>
        <v>10315754</v>
      </c>
    </row>
    <row r="84" spans="1:8" s="21" customFormat="1" ht="12.75" x14ac:dyDescent="0.2">
      <c r="A84" s="20" t="str">
        <f>Data!B80</f>
        <v>1576</v>
      </c>
      <c r="B84" s="21" t="str">
        <f>INDEX(Data[],MATCH($A84,Data[Dist],0),MATCH(B$4,Data[#Headers],0))</f>
        <v>Dallas Center-Grimes</v>
      </c>
      <c r="C84" s="22">
        <f>INDEX(Data[],MATCH($A84,Data[Dist],0),MATCH(C$4,Data[#Headers],0))</f>
        <v>23739524</v>
      </c>
      <c r="D84" s="22">
        <f>INDEX(Data[],MATCH($A84,Data[Dist],0),MATCH(D$4,Data[#Headers],0))</f>
        <v>2919</v>
      </c>
      <c r="E84" s="22">
        <f>INDEX(Data[],MATCH($A84,Data[Dist],0),MATCH(E$4,Data[#Headers],0))</f>
        <v>13805</v>
      </c>
      <c r="F84" s="22">
        <f>IF(Notes!$B$3="Pay 1 Regular State Payment Budget",0,INDEX(Data[],MATCH($A84,Data[Dist],0),MATCH(F$4,Data[#Headers],0)))</f>
        <v>0</v>
      </c>
      <c r="G84" s="22">
        <f>IF(OR(Notes!$B$3="Pay 1 Regular State Payment Budget",Notes!$B$3="Pay 2 Regular State Payment Budget"),0,INDEX(Data[],MATCH($A84,Data[Dist],0),MATCH(G$4,Data[#Headers],0)))</f>
        <v>0</v>
      </c>
      <c r="H84" s="22">
        <f>INDEX(Data[],MATCH($A84,Data[Dist],0),MATCH(H$4,Data[#Headers],0))</f>
        <v>23722800</v>
      </c>
    </row>
    <row r="85" spans="1:8" s="21" customFormat="1" ht="12.75" x14ac:dyDescent="0.2">
      <c r="A85" s="20" t="str">
        <f>Data!B81</f>
        <v>1602</v>
      </c>
      <c r="B85" s="21" t="str">
        <f>INDEX(Data[],MATCH($A85,Data[Dist],0),MATCH(B$4,Data[#Headers],0))</f>
        <v>Danville</v>
      </c>
      <c r="C85" s="22">
        <f>INDEX(Data[],MATCH($A85,Data[Dist],0),MATCH(C$4,Data[#Headers],0))</f>
        <v>3044016</v>
      </c>
      <c r="D85" s="22">
        <f>INDEX(Data[],MATCH($A85,Data[Dist],0),MATCH(D$4,Data[#Headers],0))</f>
        <v>597</v>
      </c>
      <c r="E85" s="22">
        <f>INDEX(Data[],MATCH($A85,Data[Dist],0),MATCH(E$4,Data[#Headers],0))</f>
        <v>0</v>
      </c>
      <c r="F85" s="22">
        <f>IF(Notes!$B$3="Pay 1 Regular State Payment Budget",0,INDEX(Data[],MATCH($A85,Data[Dist],0),MATCH(F$4,Data[#Headers],0)))</f>
        <v>0</v>
      </c>
      <c r="G85" s="22">
        <f>IF(OR(Notes!$B$3="Pay 1 Regular State Payment Budget",Notes!$B$3="Pay 2 Regular State Payment Budget"),0,INDEX(Data[],MATCH($A85,Data[Dist],0),MATCH(G$4,Data[#Headers],0)))</f>
        <v>0</v>
      </c>
      <c r="H85" s="22">
        <f>INDEX(Data[],MATCH($A85,Data[Dist],0),MATCH(H$4,Data[#Headers],0))</f>
        <v>3043419</v>
      </c>
    </row>
    <row r="86" spans="1:8" s="21" customFormat="1" ht="12.75" x14ac:dyDescent="0.2">
      <c r="A86" s="20" t="str">
        <f>Data!B82</f>
        <v>1611</v>
      </c>
      <c r="B86" s="21" t="str">
        <f>INDEX(Data[],MATCH($A86,Data[Dist],0),MATCH(B$4,Data[#Headers],0))</f>
        <v>Davenport</v>
      </c>
      <c r="C86" s="22">
        <f>INDEX(Data[],MATCH($A86,Data[Dist],0),MATCH(C$4,Data[#Headers],0))</f>
        <v>107337818</v>
      </c>
      <c r="D86" s="22">
        <f>INDEX(Data[],MATCH($A86,Data[Dist],0),MATCH(D$4,Data[#Headers],0))</f>
        <v>11178</v>
      </c>
      <c r="E86" s="22">
        <f>INDEX(Data[],MATCH($A86,Data[Dist],0),MATCH(E$4,Data[#Headers],0))</f>
        <v>3704</v>
      </c>
      <c r="F86" s="22">
        <f>IF(Notes!$B$3="Pay 1 Regular State Payment Budget",0,INDEX(Data[],MATCH($A86,Data[Dist],0),MATCH(F$4,Data[#Headers],0)))</f>
        <v>0</v>
      </c>
      <c r="G86" s="22">
        <f>IF(OR(Notes!$B$3="Pay 1 Regular State Payment Budget",Notes!$B$3="Pay 2 Regular State Payment Budget"),0,INDEX(Data[],MATCH($A86,Data[Dist],0),MATCH(G$4,Data[#Headers],0)))</f>
        <v>0</v>
      </c>
      <c r="H86" s="22">
        <f>INDEX(Data[],MATCH($A86,Data[Dist],0),MATCH(H$4,Data[#Headers],0))</f>
        <v>107322936</v>
      </c>
    </row>
    <row r="87" spans="1:8" s="21" customFormat="1" ht="12.75" x14ac:dyDescent="0.2">
      <c r="A87" s="20" t="str">
        <f>Data!B83</f>
        <v>1619</v>
      </c>
      <c r="B87" s="21" t="str">
        <f>INDEX(Data[],MATCH($A87,Data[Dist],0),MATCH(B$4,Data[#Headers],0))</f>
        <v>Davis County</v>
      </c>
      <c r="C87" s="22">
        <f>INDEX(Data[],MATCH($A87,Data[Dist],0),MATCH(C$4,Data[#Headers],0))</f>
        <v>8052013</v>
      </c>
      <c r="D87" s="22">
        <f>INDEX(Data[],MATCH($A87,Data[Dist],0),MATCH(D$4,Data[#Headers],0))</f>
        <v>813</v>
      </c>
      <c r="E87" s="22">
        <f>INDEX(Data[],MATCH($A87,Data[Dist],0),MATCH(E$4,Data[#Headers],0))</f>
        <v>0</v>
      </c>
      <c r="F87" s="22">
        <f>IF(Notes!$B$3="Pay 1 Regular State Payment Budget",0,INDEX(Data[],MATCH($A87,Data[Dist],0),MATCH(F$4,Data[#Headers],0)))</f>
        <v>0</v>
      </c>
      <c r="G87" s="22">
        <f>IF(OR(Notes!$B$3="Pay 1 Regular State Payment Budget",Notes!$B$3="Pay 2 Regular State Payment Budget"),0,INDEX(Data[],MATCH($A87,Data[Dist],0),MATCH(G$4,Data[#Headers],0)))</f>
        <v>0</v>
      </c>
      <c r="H87" s="22">
        <f>INDEX(Data[],MATCH($A87,Data[Dist],0),MATCH(H$4,Data[#Headers],0))</f>
        <v>8051200</v>
      </c>
    </row>
    <row r="88" spans="1:8" s="21" customFormat="1" ht="12.75" x14ac:dyDescent="0.2">
      <c r="A88" s="20" t="str">
        <f>Data!B84</f>
        <v>1638</v>
      </c>
      <c r="B88" s="21" t="str">
        <f>INDEX(Data[],MATCH($A88,Data[Dist],0),MATCH(B$4,Data[#Headers],0))</f>
        <v>Decorah</v>
      </c>
      <c r="C88" s="22">
        <f>INDEX(Data[],MATCH($A88,Data[Dist],0),MATCH(C$4,Data[#Headers],0))</f>
        <v>9056209</v>
      </c>
      <c r="D88" s="22">
        <f>INDEX(Data[],MATCH($A88,Data[Dist],0),MATCH(D$4,Data[#Headers],0))</f>
        <v>1609</v>
      </c>
      <c r="E88" s="22">
        <f>INDEX(Data[],MATCH($A88,Data[Dist],0),MATCH(E$4,Data[#Headers],0))</f>
        <v>0</v>
      </c>
      <c r="F88" s="22">
        <f>IF(Notes!$B$3="Pay 1 Regular State Payment Budget",0,INDEX(Data[],MATCH($A88,Data[Dist],0),MATCH(F$4,Data[#Headers],0)))</f>
        <v>0</v>
      </c>
      <c r="G88" s="22">
        <f>IF(OR(Notes!$B$3="Pay 1 Regular State Payment Budget",Notes!$B$3="Pay 2 Regular State Payment Budget"),0,INDEX(Data[],MATCH($A88,Data[Dist],0),MATCH(G$4,Data[#Headers],0)))</f>
        <v>0</v>
      </c>
      <c r="H88" s="22">
        <f>INDEX(Data[],MATCH($A88,Data[Dist],0),MATCH(H$4,Data[#Headers],0))</f>
        <v>9054600</v>
      </c>
    </row>
    <row r="89" spans="1:8" s="21" customFormat="1" ht="12.75" x14ac:dyDescent="0.2">
      <c r="A89" s="20" t="str">
        <f>Data!B85</f>
        <v>1675</v>
      </c>
      <c r="B89" s="21" t="str">
        <f>INDEX(Data[],MATCH($A89,Data[Dist],0),MATCH(B$4,Data[#Headers],0))</f>
        <v>Delwood</v>
      </c>
      <c r="C89" s="22">
        <f>INDEX(Data[],MATCH($A89,Data[Dist],0),MATCH(C$4,Data[#Headers],0))</f>
        <v>1381940</v>
      </c>
      <c r="D89" s="22">
        <f>INDEX(Data[],MATCH($A89,Data[Dist],0),MATCH(D$4,Data[#Headers],0))</f>
        <v>216</v>
      </c>
      <c r="E89" s="22">
        <f>INDEX(Data[],MATCH($A89,Data[Dist],0),MATCH(E$4,Data[#Headers],0))</f>
        <v>0</v>
      </c>
      <c r="F89" s="22">
        <f>IF(Notes!$B$3="Pay 1 Regular State Payment Budget",0,INDEX(Data[],MATCH($A89,Data[Dist],0),MATCH(F$4,Data[#Headers],0)))</f>
        <v>0</v>
      </c>
      <c r="G89" s="22">
        <f>IF(OR(Notes!$B$3="Pay 1 Regular State Payment Budget",Notes!$B$3="Pay 2 Regular State Payment Budget"),0,INDEX(Data[],MATCH($A89,Data[Dist],0),MATCH(G$4,Data[#Headers],0)))</f>
        <v>0</v>
      </c>
      <c r="H89" s="22">
        <f>INDEX(Data[],MATCH($A89,Data[Dist],0),MATCH(H$4,Data[#Headers],0))</f>
        <v>1381724</v>
      </c>
    </row>
    <row r="90" spans="1:8" s="21" customFormat="1" ht="12.75" x14ac:dyDescent="0.2">
      <c r="A90" s="20" t="str">
        <f>Data!B86</f>
        <v>1701</v>
      </c>
      <c r="B90" s="21" t="str">
        <f>INDEX(Data[],MATCH($A90,Data[Dist],0),MATCH(B$4,Data[#Headers],0))</f>
        <v>Denison</v>
      </c>
      <c r="C90" s="22">
        <f>INDEX(Data[],MATCH($A90,Data[Dist],0),MATCH(C$4,Data[#Headers],0))</f>
        <v>17484664</v>
      </c>
      <c r="D90" s="22">
        <f>INDEX(Data[],MATCH($A90,Data[Dist],0),MATCH(D$4,Data[#Headers],0))</f>
        <v>1576</v>
      </c>
      <c r="E90" s="22">
        <f>INDEX(Data[],MATCH($A90,Data[Dist],0),MATCH(E$4,Data[#Headers],0))</f>
        <v>0</v>
      </c>
      <c r="F90" s="22">
        <f>IF(Notes!$B$3="Pay 1 Regular State Payment Budget",0,INDEX(Data[],MATCH($A90,Data[Dist],0),MATCH(F$4,Data[#Headers],0)))</f>
        <v>0</v>
      </c>
      <c r="G90" s="22">
        <f>IF(OR(Notes!$B$3="Pay 1 Regular State Payment Budget",Notes!$B$3="Pay 2 Regular State Payment Budget"),0,INDEX(Data[],MATCH($A90,Data[Dist],0),MATCH(G$4,Data[#Headers],0)))</f>
        <v>0</v>
      </c>
      <c r="H90" s="22">
        <f>INDEX(Data[],MATCH($A90,Data[Dist],0),MATCH(H$4,Data[#Headers],0))</f>
        <v>17483088</v>
      </c>
    </row>
    <row r="91" spans="1:8" s="21" customFormat="1" ht="12.75" x14ac:dyDescent="0.2">
      <c r="A91" s="20" t="str">
        <f>Data!B87</f>
        <v>1719</v>
      </c>
      <c r="B91" s="21" t="str">
        <f>INDEX(Data[],MATCH($A91,Data[Dist],0),MATCH(B$4,Data[#Headers],0))</f>
        <v>Denver</v>
      </c>
      <c r="C91" s="22">
        <f>INDEX(Data[],MATCH($A91,Data[Dist],0),MATCH(C$4,Data[#Headers],0))</f>
        <v>6447632</v>
      </c>
      <c r="D91" s="22">
        <f>INDEX(Data[],MATCH($A91,Data[Dist],0),MATCH(D$4,Data[#Headers],0))</f>
        <v>929</v>
      </c>
      <c r="E91" s="22">
        <f>INDEX(Data[],MATCH($A91,Data[Dist],0),MATCH(E$4,Data[#Headers],0))</f>
        <v>0</v>
      </c>
      <c r="F91" s="22">
        <f>IF(Notes!$B$3="Pay 1 Regular State Payment Budget",0,INDEX(Data[],MATCH($A91,Data[Dist],0),MATCH(F$4,Data[#Headers],0)))</f>
        <v>0</v>
      </c>
      <c r="G91" s="22">
        <f>IF(OR(Notes!$B$3="Pay 1 Regular State Payment Budget",Notes!$B$3="Pay 2 Regular State Payment Budget"),0,INDEX(Data[],MATCH($A91,Data[Dist],0),MATCH(G$4,Data[#Headers],0)))</f>
        <v>0</v>
      </c>
      <c r="H91" s="22">
        <f>INDEX(Data[],MATCH($A91,Data[Dist],0),MATCH(H$4,Data[#Headers],0))</f>
        <v>6446703</v>
      </c>
    </row>
    <row r="92" spans="1:8" s="21" customFormat="1" ht="12.75" x14ac:dyDescent="0.2">
      <c r="A92" s="20" t="str">
        <f>Data!B88</f>
        <v>1737</v>
      </c>
      <c r="B92" s="21" t="str">
        <f>INDEX(Data[],MATCH($A92,Data[Dist],0),MATCH(B$4,Data[#Headers],0))</f>
        <v>Des Moines</v>
      </c>
      <c r="C92" s="22">
        <f>INDEX(Data[],MATCH($A92,Data[Dist],0),MATCH(C$4,Data[#Headers],0))</f>
        <v>262773870</v>
      </c>
      <c r="D92" s="22">
        <f>INDEX(Data[],MATCH($A92,Data[Dist],0),MATCH(D$4,Data[#Headers],0))</f>
        <v>23451</v>
      </c>
      <c r="E92" s="22">
        <f>INDEX(Data[],MATCH($A92,Data[Dist],0),MATCH(E$4,Data[#Headers],0))</f>
        <v>118818</v>
      </c>
      <c r="F92" s="22">
        <f>IF(Notes!$B$3="Pay 1 Regular State Payment Budget",0,INDEX(Data[],MATCH($A92,Data[Dist],0),MATCH(F$4,Data[#Headers],0)))</f>
        <v>0</v>
      </c>
      <c r="G92" s="22">
        <f>IF(OR(Notes!$B$3="Pay 1 Regular State Payment Budget",Notes!$B$3="Pay 2 Regular State Payment Budget"),0,INDEX(Data[],MATCH($A92,Data[Dist],0),MATCH(G$4,Data[#Headers],0)))</f>
        <v>0</v>
      </c>
      <c r="H92" s="22">
        <f>INDEX(Data[],MATCH($A92,Data[Dist],0),MATCH(H$4,Data[#Headers],0))</f>
        <v>262631601</v>
      </c>
    </row>
    <row r="93" spans="1:8" s="21" customFormat="1" ht="12.75" x14ac:dyDescent="0.2">
      <c r="A93" s="20" t="str">
        <f>Data!B89</f>
        <v>1782</v>
      </c>
      <c r="B93" s="21" t="str">
        <f>INDEX(Data[],MATCH($A93,Data[Dist],0),MATCH(B$4,Data[#Headers],0))</f>
        <v>Diagonal</v>
      </c>
      <c r="C93" s="22">
        <f>INDEX(Data[],MATCH($A93,Data[Dist],0),MATCH(C$4,Data[#Headers],0))</f>
        <v>894440</v>
      </c>
      <c r="D93" s="22">
        <f>INDEX(Data[],MATCH($A93,Data[Dist],0),MATCH(D$4,Data[#Headers],0))</f>
        <v>116</v>
      </c>
      <c r="E93" s="22">
        <f>INDEX(Data[],MATCH($A93,Data[Dist],0),MATCH(E$4,Data[#Headers],0))</f>
        <v>0</v>
      </c>
      <c r="F93" s="22">
        <f>IF(Notes!$B$3="Pay 1 Regular State Payment Budget",0,INDEX(Data[],MATCH($A93,Data[Dist],0),MATCH(F$4,Data[#Headers],0)))</f>
        <v>0</v>
      </c>
      <c r="G93" s="22">
        <f>IF(OR(Notes!$B$3="Pay 1 Regular State Payment Budget",Notes!$B$3="Pay 2 Regular State Payment Budget"),0,INDEX(Data[],MATCH($A93,Data[Dist],0),MATCH(G$4,Data[#Headers],0)))</f>
        <v>0</v>
      </c>
      <c r="H93" s="22">
        <f>INDEX(Data[],MATCH($A93,Data[Dist],0),MATCH(H$4,Data[#Headers],0))</f>
        <v>894324</v>
      </c>
    </row>
    <row r="94" spans="1:8" s="21" customFormat="1" ht="12.75" x14ac:dyDescent="0.2">
      <c r="A94" s="20" t="str">
        <f>Data!B90</f>
        <v>1791</v>
      </c>
      <c r="B94" s="21" t="str">
        <f>INDEX(Data[],MATCH($A94,Data[Dist],0),MATCH(B$4,Data[#Headers],0))</f>
        <v>Dike-New Hartford</v>
      </c>
      <c r="C94" s="22">
        <f>INDEX(Data[],MATCH($A94,Data[Dist],0),MATCH(C$4,Data[#Headers],0))</f>
        <v>6263108</v>
      </c>
      <c r="D94" s="22">
        <f>INDEX(Data[],MATCH($A94,Data[Dist],0),MATCH(D$4,Data[#Headers],0))</f>
        <v>580</v>
      </c>
      <c r="E94" s="22">
        <f>INDEX(Data[],MATCH($A94,Data[Dist],0),MATCH(E$4,Data[#Headers],0))</f>
        <v>0</v>
      </c>
      <c r="F94" s="22">
        <f>IF(Notes!$B$3="Pay 1 Regular State Payment Budget",0,INDEX(Data[],MATCH($A94,Data[Dist],0),MATCH(F$4,Data[#Headers],0)))</f>
        <v>0</v>
      </c>
      <c r="G94" s="22">
        <f>IF(OR(Notes!$B$3="Pay 1 Regular State Payment Budget",Notes!$B$3="Pay 2 Regular State Payment Budget"),0,INDEX(Data[],MATCH($A94,Data[Dist],0),MATCH(G$4,Data[#Headers],0)))</f>
        <v>0</v>
      </c>
      <c r="H94" s="22">
        <f>INDEX(Data[],MATCH($A94,Data[Dist],0),MATCH(H$4,Data[#Headers],0))</f>
        <v>6262528</v>
      </c>
    </row>
    <row r="95" spans="1:8" s="21" customFormat="1" ht="12.75" x14ac:dyDescent="0.2">
      <c r="A95" s="20" t="str">
        <f>Data!B91</f>
        <v>1863</v>
      </c>
      <c r="B95" s="21" t="str">
        <f>INDEX(Data[],MATCH($A95,Data[Dist],0),MATCH(B$4,Data[#Headers],0))</f>
        <v>Dubuque</v>
      </c>
      <c r="C95" s="22">
        <f>INDEX(Data[],MATCH($A95,Data[Dist],0),MATCH(C$4,Data[#Headers],0))</f>
        <v>75393058</v>
      </c>
      <c r="D95" s="22">
        <f>INDEX(Data[],MATCH($A95,Data[Dist],0),MATCH(D$4,Data[#Headers],0))</f>
        <v>11046</v>
      </c>
      <c r="E95" s="22">
        <f>INDEX(Data[],MATCH($A95,Data[Dist],0),MATCH(E$4,Data[#Headers],0))</f>
        <v>0</v>
      </c>
      <c r="F95" s="22">
        <f>IF(Notes!$B$3="Pay 1 Regular State Payment Budget",0,INDEX(Data[],MATCH($A95,Data[Dist],0),MATCH(F$4,Data[#Headers],0)))</f>
        <v>0</v>
      </c>
      <c r="G95" s="22">
        <f>IF(OR(Notes!$B$3="Pay 1 Regular State Payment Budget",Notes!$B$3="Pay 2 Regular State Payment Budget"),0,INDEX(Data[],MATCH($A95,Data[Dist],0),MATCH(G$4,Data[#Headers],0)))</f>
        <v>0</v>
      </c>
      <c r="H95" s="22">
        <f>INDEX(Data[],MATCH($A95,Data[Dist],0),MATCH(H$4,Data[#Headers],0))</f>
        <v>75382012</v>
      </c>
    </row>
    <row r="96" spans="1:8" s="21" customFormat="1" ht="12.75" x14ac:dyDescent="0.2">
      <c r="A96" s="20" t="str">
        <f>Data!B92</f>
        <v>1908</v>
      </c>
      <c r="B96" s="21" t="str">
        <f>INDEX(Data[],MATCH($A96,Data[Dist],0),MATCH(B$4,Data[#Headers],0))</f>
        <v>Dunkerton</v>
      </c>
      <c r="C96" s="22">
        <f>INDEX(Data[],MATCH($A96,Data[Dist],0),MATCH(C$4,Data[#Headers],0))</f>
        <v>2546964</v>
      </c>
      <c r="D96" s="22">
        <f>INDEX(Data[],MATCH($A96,Data[Dist],0),MATCH(D$4,Data[#Headers],0))</f>
        <v>299</v>
      </c>
      <c r="E96" s="22">
        <f>INDEX(Data[],MATCH($A96,Data[Dist],0),MATCH(E$4,Data[#Headers],0))</f>
        <v>0</v>
      </c>
      <c r="F96" s="22">
        <f>IF(Notes!$B$3="Pay 1 Regular State Payment Budget",0,INDEX(Data[],MATCH($A96,Data[Dist],0),MATCH(F$4,Data[#Headers],0)))</f>
        <v>0</v>
      </c>
      <c r="G96" s="22">
        <f>IF(OR(Notes!$B$3="Pay 1 Regular State Payment Budget",Notes!$B$3="Pay 2 Regular State Payment Budget"),0,INDEX(Data[],MATCH($A96,Data[Dist],0),MATCH(G$4,Data[#Headers],0)))</f>
        <v>0</v>
      </c>
      <c r="H96" s="22">
        <f>INDEX(Data[],MATCH($A96,Data[Dist],0),MATCH(H$4,Data[#Headers],0))</f>
        <v>2546665</v>
      </c>
    </row>
    <row r="97" spans="1:8" s="21" customFormat="1" ht="12.75" x14ac:dyDescent="0.2">
      <c r="A97" s="20" t="str">
        <f>Data!B93</f>
        <v>1917</v>
      </c>
      <c r="B97" s="21" t="str">
        <f>INDEX(Data[],MATCH($A97,Data[Dist],0),MATCH(B$4,Data[#Headers],0))</f>
        <v>Boyer Valley</v>
      </c>
      <c r="C97" s="22">
        <f>INDEX(Data[],MATCH($A97,Data[Dist],0),MATCH(C$4,Data[#Headers],0))</f>
        <v>2102401</v>
      </c>
      <c r="D97" s="22">
        <f>INDEX(Data[],MATCH($A97,Data[Dist],0),MATCH(D$4,Data[#Headers],0))</f>
        <v>481</v>
      </c>
      <c r="E97" s="22">
        <f>INDEX(Data[],MATCH($A97,Data[Dist],0),MATCH(E$4,Data[#Headers],0))</f>
        <v>0</v>
      </c>
      <c r="F97" s="22">
        <f>IF(Notes!$B$3="Pay 1 Regular State Payment Budget",0,INDEX(Data[],MATCH($A97,Data[Dist],0),MATCH(F$4,Data[#Headers],0)))</f>
        <v>0</v>
      </c>
      <c r="G97" s="22">
        <f>IF(OR(Notes!$B$3="Pay 1 Regular State Payment Budget",Notes!$B$3="Pay 2 Regular State Payment Budget"),0,INDEX(Data[],MATCH($A97,Data[Dist],0),MATCH(G$4,Data[#Headers],0)))</f>
        <v>0</v>
      </c>
      <c r="H97" s="22">
        <f>INDEX(Data[],MATCH($A97,Data[Dist],0),MATCH(H$4,Data[#Headers],0))</f>
        <v>2101920</v>
      </c>
    </row>
    <row r="98" spans="1:8" s="21" customFormat="1" ht="12.75" x14ac:dyDescent="0.2">
      <c r="A98" s="20" t="str">
        <f>Data!B94</f>
        <v>1926</v>
      </c>
      <c r="B98" s="21" t="str">
        <f>INDEX(Data[],MATCH($A98,Data[Dist],0),MATCH(B$4,Data[#Headers],0))</f>
        <v>Durant</v>
      </c>
      <c r="C98" s="22">
        <f>INDEX(Data[],MATCH($A98,Data[Dist],0),MATCH(C$4,Data[#Headers],0))</f>
        <v>3275315</v>
      </c>
      <c r="D98" s="22">
        <f>INDEX(Data[],MATCH($A98,Data[Dist],0),MATCH(D$4,Data[#Headers],0))</f>
        <v>597</v>
      </c>
      <c r="E98" s="22">
        <f>INDEX(Data[],MATCH($A98,Data[Dist],0),MATCH(E$4,Data[#Headers],0))</f>
        <v>0</v>
      </c>
      <c r="F98" s="22">
        <f>IF(Notes!$B$3="Pay 1 Regular State Payment Budget",0,INDEX(Data[],MATCH($A98,Data[Dist],0),MATCH(F$4,Data[#Headers],0)))</f>
        <v>0</v>
      </c>
      <c r="G98" s="22">
        <f>IF(OR(Notes!$B$3="Pay 1 Regular State Payment Budget",Notes!$B$3="Pay 2 Regular State Payment Budget"),0,INDEX(Data[],MATCH($A98,Data[Dist],0),MATCH(G$4,Data[#Headers],0)))</f>
        <v>0</v>
      </c>
      <c r="H98" s="22">
        <f>INDEX(Data[],MATCH($A98,Data[Dist],0),MATCH(H$4,Data[#Headers],0))</f>
        <v>3274718</v>
      </c>
    </row>
    <row r="99" spans="1:8" s="21" customFormat="1" ht="12.75" x14ac:dyDescent="0.2">
      <c r="A99" s="20" t="str">
        <f>Data!B95</f>
        <v>1935</v>
      </c>
      <c r="B99" s="21" t="str">
        <f>INDEX(Data[],MATCH($A99,Data[Dist],0),MATCH(B$4,Data[#Headers],0))</f>
        <v>Union</v>
      </c>
      <c r="C99" s="22">
        <f>INDEX(Data[],MATCH($A99,Data[Dist],0),MATCH(C$4,Data[#Headers],0))</f>
        <v>6471136</v>
      </c>
      <c r="D99" s="22">
        <f>INDEX(Data[],MATCH($A99,Data[Dist],0),MATCH(D$4,Data[#Headers],0))</f>
        <v>746</v>
      </c>
      <c r="E99" s="22">
        <f>INDEX(Data[],MATCH($A99,Data[Dist],0),MATCH(E$4,Data[#Headers],0))</f>
        <v>0</v>
      </c>
      <c r="F99" s="22">
        <f>IF(Notes!$B$3="Pay 1 Regular State Payment Budget",0,INDEX(Data[],MATCH($A99,Data[Dist],0),MATCH(F$4,Data[#Headers],0)))</f>
        <v>0</v>
      </c>
      <c r="G99" s="22">
        <f>IF(OR(Notes!$B$3="Pay 1 Regular State Payment Budget",Notes!$B$3="Pay 2 Regular State Payment Budget"),0,INDEX(Data[],MATCH($A99,Data[Dist],0),MATCH(G$4,Data[#Headers],0)))</f>
        <v>0</v>
      </c>
      <c r="H99" s="22">
        <f>INDEX(Data[],MATCH($A99,Data[Dist],0),MATCH(H$4,Data[#Headers],0))</f>
        <v>6470390</v>
      </c>
    </row>
    <row r="100" spans="1:8" s="21" customFormat="1" ht="12.75" x14ac:dyDescent="0.2">
      <c r="A100" s="20" t="str">
        <f>Data!B96</f>
        <v>1944</v>
      </c>
      <c r="B100" s="21" t="str">
        <f>INDEX(Data[],MATCH($A100,Data[Dist],0),MATCH(B$4,Data[#Headers],0))</f>
        <v>Eagle Grove</v>
      </c>
      <c r="C100" s="22">
        <f>INDEX(Data[],MATCH($A100,Data[Dist],0),MATCH(C$4,Data[#Headers],0))</f>
        <v>7492841</v>
      </c>
      <c r="D100" s="22">
        <f>INDEX(Data[],MATCH($A100,Data[Dist],0),MATCH(D$4,Data[#Headers],0))</f>
        <v>829</v>
      </c>
      <c r="E100" s="22">
        <f>INDEX(Data[],MATCH($A100,Data[Dist],0),MATCH(E$4,Data[#Headers],0))</f>
        <v>10775</v>
      </c>
      <c r="F100" s="22">
        <f>IF(Notes!$B$3="Pay 1 Regular State Payment Budget",0,INDEX(Data[],MATCH($A100,Data[Dist],0),MATCH(F$4,Data[#Headers],0)))</f>
        <v>0</v>
      </c>
      <c r="G100" s="22">
        <f>IF(OR(Notes!$B$3="Pay 1 Regular State Payment Budget",Notes!$B$3="Pay 2 Regular State Payment Budget"),0,INDEX(Data[],MATCH($A100,Data[Dist],0),MATCH(G$4,Data[#Headers],0)))</f>
        <v>0</v>
      </c>
      <c r="H100" s="22">
        <f>INDEX(Data[],MATCH($A100,Data[Dist],0),MATCH(H$4,Data[#Headers],0))</f>
        <v>7481237</v>
      </c>
    </row>
    <row r="101" spans="1:8" s="21" customFormat="1" ht="12.75" x14ac:dyDescent="0.2">
      <c r="A101" s="20" t="str">
        <f>Data!B97</f>
        <v>1953</v>
      </c>
      <c r="B101" s="21" t="str">
        <f>INDEX(Data[],MATCH($A101,Data[Dist],0),MATCH(B$4,Data[#Headers],0))</f>
        <v>Earlham</v>
      </c>
      <c r="C101" s="22">
        <f>INDEX(Data[],MATCH($A101,Data[Dist],0),MATCH(C$4,Data[#Headers],0))</f>
        <v>3746572</v>
      </c>
      <c r="D101" s="22">
        <f>INDEX(Data[],MATCH($A101,Data[Dist],0),MATCH(D$4,Data[#Headers],0))</f>
        <v>580</v>
      </c>
      <c r="E101" s="22">
        <f>INDEX(Data[],MATCH($A101,Data[Dist],0),MATCH(E$4,Data[#Headers],0))</f>
        <v>0</v>
      </c>
      <c r="F101" s="22">
        <f>IF(Notes!$B$3="Pay 1 Regular State Payment Budget",0,INDEX(Data[],MATCH($A101,Data[Dist],0),MATCH(F$4,Data[#Headers],0)))</f>
        <v>0</v>
      </c>
      <c r="G101" s="22">
        <f>IF(OR(Notes!$B$3="Pay 1 Regular State Payment Budget",Notes!$B$3="Pay 2 Regular State Payment Budget"),0,INDEX(Data[],MATCH($A101,Data[Dist],0),MATCH(G$4,Data[#Headers],0)))</f>
        <v>0</v>
      </c>
      <c r="H101" s="22">
        <f>INDEX(Data[],MATCH($A101,Data[Dist],0),MATCH(H$4,Data[#Headers],0))</f>
        <v>3745992</v>
      </c>
    </row>
    <row r="102" spans="1:8" s="21" customFormat="1" ht="12.75" x14ac:dyDescent="0.2">
      <c r="A102" s="20" t="str">
        <f>Data!B98</f>
        <v>1963</v>
      </c>
      <c r="B102" s="21" t="str">
        <f>INDEX(Data[],MATCH($A102,Data[Dist],0),MATCH(B$4,Data[#Headers],0))</f>
        <v>East Buchanan</v>
      </c>
      <c r="C102" s="22">
        <f>INDEX(Data[],MATCH($A102,Data[Dist],0),MATCH(C$4,Data[#Headers],0))</f>
        <v>3873317</v>
      </c>
      <c r="D102" s="22">
        <f>INDEX(Data[],MATCH($A102,Data[Dist],0),MATCH(D$4,Data[#Headers],0))</f>
        <v>547</v>
      </c>
      <c r="E102" s="22">
        <f>INDEX(Data[],MATCH($A102,Data[Dist],0),MATCH(E$4,Data[#Headers],0))</f>
        <v>0</v>
      </c>
      <c r="F102" s="22">
        <f>IF(Notes!$B$3="Pay 1 Regular State Payment Budget",0,INDEX(Data[],MATCH($A102,Data[Dist],0),MATCH(F$4,Data[#Headers],0)))</f>
        <v>0</v>
      </c>
      <c r="G102" s="22">
        <f>IF(OR(Notes!$B$3="Pay 1 Regular State Payment Budget",Notes!$B$3="Pay 2 Regular State Payment Budget"),0,INDEX(Data[],MATCH($A102,Data[Dist],0),MATCH(G$4,Data[#Headers],0)))</f>
        <v>0</v>
      </c>
      <c r="H102" s="22">
        <f>INDEX(Data[],MATCH($A102,Data[Dist],0),MATCH(H$4,Data[#Headers],0))</f>
        <v>3872770</v>
      </c>
    </row>
    <row r="103" spans="1:8" s="21" customFormat="1" ht="12.75" x14ac:dyDescent="0.2">
      <c r="A103" s="20" t="str">
        <f>Data!B99</f>
        <v>1965</v>
      </c>
      <c r="B103" s="21" t="str">
        <f>INDEX(Data[],MATCH($A103,Data[Dist],0),MATCH(B$4,Data[#Headers],0))</f>
        <v>Easton Valley</v>
      </c>
      <c r="C103" s="22">
        <f>INDEX(Data[],MATCH($A103,Data[Dist],0),MATCH(C$4,Data[#Headers],0))</f>
        <v>3956289</v>
      </c>
      <c r="D103" s="22">
        <f>INDEX(Data[],MATCH($A103,Data[Dist],0),MATCH(D$4,Data[#Headers],0))</f>
        <v>647</v>
      </c>
      <c r="E103" s="22">
        <f>INDEX(Data[],MATCH($A103,Data[Dist],0),MATCH(E$4,Data[#Headers],0))</f>
        <v>0</v>
      </c>
      <c r="F103" s="22">
        <f>IF(Notes!$B$3="Pay 1 Regular State Payment Budget",0,INDEX(Data[],MATCH($A103,Data[Dist],0),MATCH(F$4,Data[#Headers],0)))</f>
        <v>0</v>
      </c>
      <c r="G103" s="22">
        <f>IF(OR(Notes!$B$3="Pay 1 Regular State Payment Budget",Notes!$B$3="Pay 2 Regular State Payment Budget"),0,INDEX(Data[],MATCH($A103,Data[Dist],0),MATCH(G$4,Data[#Headers],0)))</f>
        <v>0</v>
      </c>
      <c r="H103" s="22">
        <f>INDEX(Data[],MATCH($A103,Data[Dist],0),MATCH(H$4,Data[#Headers],0))</f>
        <v>3955642</v>
      </c>
    </row>
    <row r="104" spans="1:8" s="21" customFormat="1" ht="12.75" x14ac:dyDescent="0.2">
      <c r="A104" s="20" t="str">
        <f>Data!B100</f>
        <v>1970</v>
      </c>
      <c r="B104" s="21" t="str">
        <f>INDEX(Data[],MATCH($A104,Data[Dist],0),MATCH(B$4,Data[#Headers],0))</f>
        <v>East Union</v>
      </c>
      <c r="C104" s="22">
        <f>INDEX(Data[],MATCH($A104,Data[Dist],0),MATCH(C$4,Data[#Headers],0))</f>
        <v>3677558</v>
      </c>
      <c r="D104" s="22">
        <f>INDEX(Data[],MATCH($A104,Data[Dist],0),MATCH(D$4,Data[#Headers],0))</f>
        <v>531</v>
      </c>
      <c r="E104" s="22">
        <f>INDEX(Data[],MATCH($A104,Data[Dist],0),MATCH(E$4,Data[#Headers],0))</f>
        <v>0</v>
      </c>
      <c r="F104" s="22">
        <f>IF(Notes!$B$3="Pay 1 Regular State Payment Budget",0,INDEX(Data[],MATCH($A104,Data[Dist],0),MATCH(F$4,Data[#Headers],0)))</f>
        <v>0</v>
      </c>
      <c r="G104" s="22">
        <f>IF(OR(Notes!$B$3="Pay 1 Regular State Payment Budget",Notes!$B$3="Pay 2 Regular State Payment Budget"),0,INDEX(Data[],MATCH($A104,Data[Dist],0),MATCH(G$4,Data[#Headers],0)))</f>
        <v>0</v>
      </c>
      <c r="H104" s="22">
        <f>INDEX(Data[],MATCH($A104,Data[Dist],0),MATCH(H$4,Data[#Headers],0))</f>
        <v>3677027</v>
      </c>
    </row>
    <row r="105" spans="1:8" s="21" customFormat="1" ht="12.75" x14ac:dyDescent="0.2">
      <c r="A105" s="20" t="str">
        <f>Data!B101</f>
        <v>1972</v>
      </c>
      <c r="B105" s="21" t="str">
        <f>INDEX(Data[],MATCH($A105,Data[Dist],0),MATCH(B$4,Data[#Headers],0))</f>
        <v>Eastern Allamakee</v>
      </c>
      <c r="C105" s="22">
        <f>INDEX(Data[],MATCH($A105,Data[Dist],0),MATCH(C$4,Data[#Headers],0))</f>
        <v>1952122</v>
      </c>
      <c r="D105" s="22">
        <f>INDEX(Data[],MATCH($A105,Data[Dist],0),MATCH(D$4,Data[#Headers],0))</f>
        <v>249</v>
      </c>
      <c r="E105" s="22">
        <f>INDEX(Data[],MATCH($A105,Data[Dist],0),MATCH(E$4,Data[#Headers],0))</f>
        <v>0</v>
      </c>
      <c r="F105" s="22">
        <f>IF(Notes!$B$3="Pay 1 Regular State Payment Budget",0,INDEX(Data[],MATCH($A105,Data[Dist],0),MATCH(F$4,Data[#Headers],0)))</f>
        <v>0</v>
      </c>
      <c r="G105" s="22">
        <f>IF(OR(Notes!$B$3="Pay 1 Regular State Payment Budget",Notes!$B$3="Pay 2 Regular State Payment Budget"),0,INDEX(Data[],MATCH($A105,Data[Dist],0),MATCH(G$4,Data[#Headers],0)))</f>
        <v>0</v>
      </c>
      <c r="H105" s="22">
        <f>INDEX(Data[],MATCH($A105,Data[Dist],0),MATCH(H$4,Data[#Headers],0))</f>
        <v>1951873</v>
      </c>
    </row>
    <row r="106" spans="1:8" s="21" customFormat="1" ht="12.75" x14ac:dyDescent="0.2">
      <c r="A106" s="20" t="str">
        <f>Data!B102</f>
        <v>1975</v>
      </c>
      <c r="B106" s="21" t="str">
        <f>INDEX(Data[],MATCH($A106,Data[Dist],0),MATCH(B$4,Data[#Headers],0))</f>
        <v>River Valley</v>
      </c>
      <c r="C106" s="22">
        <f>INDEX(Data[],MATCH($A106,Data[Dist],0),MATCH(C$4,Data[#Headers],0))</f>
        <v>2222748</v>
      </c>
      <c r="D106" s="22">
        <f>INDEX(Data[],MATCH($A106,Data[Dist],0),MATCH(D$4,Data[#Headers],0))</f>
        <v>332</v>
      </c>
      <c r="E106" s="22">
        <f>INDEX(Data[],MATCH($A106,Data[Dist],0),MATCH(E$4,Data[#Headers],0))</f>
        <v>0</v>
      </c>
      <c r="F106" s="22">
        <f>IF(Notes!$B$3="Pay 1 Regular State Payment Budget",0,INDEX(Data[],MATCH($A106,Data[Dist],0),MATCH(F$4,Data[#Headers],0)))</f>
        <v>0</v>
      </c>
      <c r="G106" s="22">
        <f>IF(OR(Notes!$B$3="Pay 1 Regular State Payment Budget",Notes!$B$3="Pay 2 Regular State Payment Budget"),0,INDEX(Data[],MATCH($A106,Data[Dist],0),MATCH(G$4,Data[#Headers],0)))</f>
        <v>0</v>
      </c>
      <c r="H106" s="22">
        <f>INDEX(Data[],MATCH($A106,Data[Dist],0),MATCH(H$4,Data[#Headers],0))</f>
        <v>2222416</v>
      </c>
    </row>
    <row r="107" spans="1:8" s="21" customFormat="1" ht="12.75" x14ac:dyDescent="0.2">
      <c r="A107" s="20" t="str">
        <f>Data!B103</f>
        <v>1989</v>
      </c>
      <c r="B107" s="21" t="str">
        <f>INDEX(Data[],MATCH($A107,Data[Dist],0),MATCH(B$4,Data[#Headers],0))</f>
        <v>Edgewood-Colesburg</v>
      </c>
      <c r="C107" s="22">
        <f>INDEX(Data[],MATCH($A107,Data[Dist],0),MATCH(C$4,Data[#Headers],0))</f>
        <v>2612113</v>
      </c>
      <c r="D107" s="22">
        <f>INDEX(Data[],MATCH($A107,Data[Dist],0),MATCH(D$4,Data[#Headers],0))</f>
        <v>597</v>
      </c>
      <c r="E107" s="22">
        <f>INDEX(Data[],MATCH($A107,Data[Dist],0),MATCH(E$4,Data[#Headers],0))</f>
        <v>0</v>
      </c>
      <c r="F107" s="22">
        <f>IF(Notes!$B$3="Pay 1 Regular State Payment Budget",0,INDEX(Data[],MATCH($A107,Data[Dist],0),MATCH(F$4,Data[#Headers],0)))</f>
        <v>0</v>
      </c>
      <c r="G107" s="22">
        <f>IF(OR(Notes!$B$3="Pay 1 Regular State Payment Budget",Notes!$B$3="Pay 2 Regular State Payment Budget"),0,INDEX(Data[],MATCH($A107,Data[Dist],0),MATCH(G$4,Data[#Headers],0)))</f>
        <v>0</v>
      </c>
      <c r="H107" s="22">
        <f>INDEX(Data[],MATCH($A107,Data[Dist],0),MATCH(H$4,Data[#Headers],0))</f>
        <v>2611516</v>
      </c>
    </row>
    <row r="108" spans="1:8" s="21" customFormat="1" ht="12.75" x14ac:dyDescent="0.2">
      <c r="A108" s="20" t="str">
        <f>Data!B104</f>
        <v>2007</v>
      </c>
      <c r="B108" s="21" t="str">
        <f>INDEX(Data[],MATCH($A108,Data[Dist],0),MATCH(B$4,Data[#Headers],0))</f>
        <v>Eldora-New Providence</v>
      </c>
      <c r="C108" s="22">
        <f>INDEX(Data[],MATCH($A108,Data[Dist],0),MATCH(C$4,Data[#Headers],0))</f>
        <v>4289416</v>
      </c>
      <c r="D108" s="22">
        <f>INDEX(Data[],MATCH($A108,Data[Dist],0),MATCH(D$4,Data[#Headers],0))</f>
        <v>663</v>
      </c>
      <c r="E108" s="22">
        <f>INDEX(Data[],MATCH($A108,Data[Dist],0),MATCH(E$4,Data[#Headers],0))</f>
        <v>0</v>
      </c>
      <c r="F108" s="22">
        <f>IF(Notes!$B$3="Pay 1 Regular State Payment Budget",0,INDEX(Data[],MATCH($A108,Data[Dist],0),MATCH(F$4,Data[#Headers],0)))</f>
        <v>0</v>
      </c>
      <c r="G108" s="22">
        <f>IF(OR(Notes!$B$3="Pay 1 Regular State Payment Budget",Notes!$B$3="Pay 2 Regular State Payment Budget"),0,INDEX(Data[],MATCH($A108,Data[Dist],0),MATCH(G$4,Data[#Headers],0)))</f>
        <v>0</v>
      </c>
      <c r="H108" s="22">
        <f>INDEX(Data[],MATCH($A108,Data[Dist],0),MATCH(H$4,Data[#Headers],0))</f>
        <v>4288753</v>
      </c>
    </row>
    <row r="109" spans="1:8" s="21" customFormat="1" ht="12.75" x14ac:dyDescent="0.2">
      <c r="A109" s="20" t="str">
        <f>Data!B105</f>
        <v>2088</v>
      </c>
      <c r="B109" s="21" t="str">
        <f>INDEX(Data[],MATCH($A109,Data[Dist],0),MATCH(B$4,Data[#Headers],0))</f>
        <v>Emmetsburg</v>
      </c>
      <c r="C109" s="22">
        <f>INDEX(Data[],MATCH($A109,Data[Dist],0),MATCH(C$4,Data[#Headers],0))</f>
        <v>4146259</v>
      </c>
      <c r="D109" s="22">
        <f>INDEX(Data[],MATCH($A109,Data[Dist],0),MATCH(D$4,Data[#Headers],0))</f>
        <v>896</v>
      </c>
      <c r="E109" s="22">
        <f>INDEX(Data[],MATCH($A109,Data[Dist],0),MATCH(E$4,Data[#Headers],0))</f>
        <v>14268</v>
      </c>
      <c r="F109" s="22">
        <f>IF(Notes!$B$3="Pay 1 Regular State Payment Budget",0,INDEX(Data[],MATCH($A109,Data[Dist],0),MATCH(F$4,Data[#Headers],0)))</f>
        <v>0</v>
      </c>
      <c r="G109" s="22">
        <f>IF(OR(Notes!$B$3="Pay 1 Regular State Payment Budget",Notes!$B$3="Pay 2 Regular State Payment Budget"),0,INDEX(Data[],MATCH($A109,Data[Dist],0),MATCH(G$4,Data[#Headers],0)))</f>
        <v>0</v>
      </c>
      <c r="H109" s="22">
        <f>INDEX(Data[],MATCH($A109,Data[Dist],0),MATCH(H$4,Data[#Headers],0))</f>
        <v>4131095</v>
      </c>
    </row>
    <row r="110" spans="1:8" s="21" customFormat="1" ht="12.75" x14ac:dyDescent="0.2">
      <c r="A110" s="20" t="str">
        <f>Data!B106</f>
        <v>2097</v>
      </c>
      <c r="B110" s="21" t="str">
        <f>INDEX(Data[],MATCH($A110,Data[Dist],0),MATCH(B$4,Data[#Headers],0))</f>
        <v>English Valleys</v>
      </c>
      <c r="C110" s="22">
        <f>INDEX(Data[],MATCH($A110,Data[Dist],0),MATCH(C$4,Data[#Headers],0))</f>
        <v>3062131</v>
      </c>
      <c r="D110" s="22">
        <f>INDEX(Data[],MATCH($A110,Data[Dist],0),MATCH(D$4,Data[#Headers],0))</f>
        <v>398</v>
      </c>
      <c r="E110" s="22">
        <f>INDEX(Data[],MATCH($A110,Data[Dist],0),MATCH(E$4,Data[#Headers],0))</f>
        <v>0</v>
      </c>
      <c r="F110" s="22">
        <f>IF(Notes!$B$3="Pay 1 Regular State Payment Budget",0,INDEX(Data[],MATCH($A110,Data[Dist],0),MATCH(F$4,Data[#Headers],0)))</f>
        <v>0</v>
      </c>
      <c r="G110" s="22">
        <f>IF(OR(Notes!$B$3="Pay 1 Regular State Payment Budget",Notes!$B$3="Pay 2 Regular State Payment Budget"),0,INDEX(Data[],MATCH($A110,Data[Dist],0),MATCH(G$4,Data[#Headers],0)))</f>
        <v>0</v>
      </c>
      <c r="H110" s="22">
        <f>INDEX(Data[],MATCH($A110,Data[Dist],0),MATCH(H$4,Data[#Headers],0))</f>
        <v>3061733</v>
      </c>
    </row>
    <row r="111" spans="1:8" s="21" customFormat="1" ht="12.75" x14ac:dyDescent="0.2">
      <c r="A111" s="20" t="str">
        <f>Data!B107</f>
        <v>2113</v>
      </c>
      <c r="B111" s="21" t="str">
        <f>INDEX(Data[],MATCH($A111,Data[Dist],0),MATCH(B$4,Data[#Headers],0))</f>
        <v>Essex</v>
      </c>
      <c r="C111" s="22">
        <f>INDEX(Data[],MATCH($A111,Data[Dist],0),MATCH(C$4,Data[#Headers],0))</f>
        <v>1303083</v>
      </c>
      <c r="D111" s="22">
        <f>INDEX(Data[],MATCH($A111,Data[Dist],0),MATCH(D$4,Data[#Headers],0))</f>
        <v>133</v>
      </c>
      <c r="E111" s="22">
        <f>INDEX(Data[],MATCH($A111,Data[Dist],0),MATCH(E$4,Data[#Headers],0))</f>
        <v>7576</v>
      </c>
      <c r="F111" s="22">
        <f>IF(Notes!$B$3="Pay 1 Regular State Payment Budget",0,INDEX(Data[],MATCH($A111,Data[Dist],0),MATCH(F$4,Data[#Headers],0)))</f>
        <v>0</v>
      </c>
      <c r="G111" s="22">
        <f>IF(OR(Notes!$B$3="Pay 1 Regular State Payment Budget",Notes!$B$3="Pay 2 Regular State Payment Budget"),0,INDEX(Data[],MATCH($A111,Data[Dist],0),MATCH(G$4,Data[#Headers],0)))</f>
        <v>0</v>
      </c>
      <c r="H111" s="22">
        <f>INDEX(Data[],MATCH($A111,Data[Dist],0),MATCH(H$4,Data[#Headers],0))</f>
        <v>1295374</v>
      </c>
    </row>
    <row r="112" spans="1:8" s="21" customFormat="1" ht="12.75" x14ac:dyDescent="0.2">
      <c r="A112" s="20" t="str">
        <f>Data!B108</f>
        <v>2124</v>
      </c>
      <c r="B112" s="21" t="str">
        <f>INDEX(Data[],MATCH($A112,Data[Dist],0),MATCH(B$4,Data[#Headers],0))</f>
        <v>Estherville-Lincoln Central</v>
      </c>
      <c r="C112" s="22">
        <f>INDEX(Data[],MATCH($A112,Data[Dist],0),MATCH(C$4,Data[#Headers],0))</f>
        <v>8959424</v>
      </c>
      <c r="D112" s="22">
        <f>INDEX(Data[],MATCH($A112,Data[Dist],0),MATCH(D$4,Data[#Headers],0))</f>
        <v>1028</v>
      </c>
      <c r="E112" s="22">
        <f>INDEX(Data[],MATCH($A112,Data[Dist],0),MATCH(E$4,Data[#Headers],0))</f>
        <v>0</v>
      </c>
      <c r="F112" s="22">
        <f>IF(Notes!$B$3="Pay 1 Regular State Payment Budget",0,INDEX(Data[],MATCH($A112,Data[Dist],0),MATCH(F$4,Data[#Headers],0)))</f>
        <v>0</v>
      </c>
      <c r="G112" s="22">
        <f>IF(OR(Notes!$B$3="Pay 1 Regular State Payment Budget",Notes!$B$3="Pay 2 Regular State Payment Budget"),0,INDEX(Data[],MATCH($A112,Data[Dist],0),MATCH(G$4,Data[#Headers],0)))</f>
        <v>0</v>
      </c>
      <c r="H112" s="22">
        <f>INDEX(Data[],MATCH($A112,Data[Dist],0),MATCH(H$4,Data[#Headers],0))</f>
        <v>8958396</v>
      </c>
    </row>
    <row r="113" spans="1:8" s="21" customFormat="1" ht="12.75" x14ac:dyDescent="0.2">
      <c r="A113" s="20" t="str">
        <f>Data!B109</f>
        <v>2151</v>
      </c>
      <c r="B113" s="21" t="str">
        <f>INDEX(Data[],MATCH($A113,Data[Dist],0),MATCH(B$4,Data[#Headers],0))</f>
        <v>Exira-Elk Horn-Kimballton</v>
      </c>
      <c r="C113" s="22">
        <f>INDEX(Data[],MATCH($A113,Data[Dist],0),MATCH(C$4,Data[#Headers],0))</f>
        <v>2636680</v>
      </c>
      <c r="D113" s="22">
        <f>INDEX(Data[],MATCH($A113,Data[Dist],0),MATCH(D$4,Data[#Headers],0))</f>
        <v>332</v>
      </c>
      <c r="E113" s="22">
        <f>INDEX(Data[],MATCH($A113,Data[Dist],0),MATCH(E$4,Data[#Headers],0))</f>
        <v>0</v>
      </c>
      <c r="F113" s="22">
        <f>IF(Notes!$B$3="Pay 1 Regular State Payment Budget",0,INDEX(Data[],MATCH($A113,Data[Dist],0),MATCH(F$4,Data[#Headers],0)))</f>
        <v>0</v>
      </c>
      <c r="G113" s="22">
        <f>IF(OR(Notes!$B$3="Pay 1 Regular State Payment Budget",Notes!$B$3="Pay 2 Regular State Payment Budget"),0,INDEX(Data[],MATCH($A113,Data[Dist],0),MATCH(G$4,Data[#Headers],0)))</f>
        <v>0</v>
      </c>
      <c r="H113" s="22">
        <f>INDEX(Data[],MATCH($A113,Data[Dist],0),MATCH(H$4,Data[#Headers],0))</f>
        <v>2636348</v>
      </c>
    </row>
    <row r="114" spans="1:8" s="21" customFormat="1" ht="12.75" x14ac:dyDescent="0.2">
      <c r="A114" s="20" t="str">
        <f>Data!B110</f>
        <v>2169</v>
      </c>
      <c r="B114" s="21" t="str">
        <f>INDEX(Data[],MATCH($A114,Data[Dist],0),MATCH(B$4,Data[#Headers],0))</f>
        <v>Fairfield</v>
      </c>
      <c r="C114" s="22">
        <f>INDEX(Data[],MATCH($A114,Data[Dist],0),MATCH(C$4,Data[#Headers],0))</f>
        <v>9797966</v>
      </c>
      <c r="D114" s="22">
        <f>INDEX(Data[],MATCH($A114,Data[Dist],0),MATCH(D$4,Data[#Headers],0))</f>
        <v>829</v>
      </c>
      <c r="E114" s="22">
        <f>INDEX(Data[],MATCH($A114,Data[Dist],0),MATCH(E$4,Data[#Headers],0))</f>
        <v>15152</v>
      </c>
      <c r="F114" s="22">
        <f>IF(Notes!$B$3="Pay 1 Regular State Payment Budget",0,INDEX(Data[],MATCH($A114,Data[Dist],0),MATCH(F$4,Data[#Headers],0)))</f>
        <v>0</v>
      </c>
      <c r="G114" s="22">
        <f>IF(OR(Notes!$B$3="Pay 1 Regular State Payment Budget",Notes!$B$3="Pay 2 Regular State Payment Budget"),0,INDEX(Data[],MATCH($A114,Data[Dist],0),MATCH(G$4,Data[#Headers],0)))</f>
        <v>0</v>
      </c>
      <c r="H114" s="22">
        <f>INDEX(Data[],MATCH($A114,Data[Dist],0),MATCH(H$4,Data[#Headers],0))</f>
        <v>9781985</v>
      </c>
    </row>
    <row r="115" spans="1:8" s="21" customFormat="1" ht="12.75" x14ac:dyDescent="0.2">
      <c r="A115" s="20" t="str">
        <f>Data!B111</f>
        <v>2295</v>
      </c>
      <c r="B115" s="21" t="str">
        <f>INDEX(Data[],MATCH($A115,Data[Dist],0),MATCH(B$4,Data[#Headers],0))</f>
        <v>Forest City</v>
      </c>
      <c r="C115" s="22">
        <f>INDEX(Data[],MATCH($A115,Data[Dist],0),MATCH(C$4,Data[#Headers],0))</f>
        <v>7336047</v>
      </c>
      <c r="D115" s="22">
        <f>INDEX(Data[],MATCH($A115,Data[Dist],0),MATCH(D$4,Data[#Headers],0))</f>
        <v>929</v>
      </c>
      <c r="E115" s="22">
        <f>INDEX(Data[],MATCH($A115,Data[Dist],0),MATCH(E$4,Data[#Headers],0))</f>
        <v>7576</v>
      </c>
      <c r="F115" s="22">
        <f>IF(Notes!$B$3="Pay 1 Regular State Payment Budget",0,INDEX(Data[],MATCH($A115,Data[Dist],0),MATCH(F$4,Data[#Headers],0)))</f>
        <v>0</v>
      </c>
      <c r="G115" s="22">
        <f>IF(OR(Notes!$B$3="Pay 1 Regular State Payment Budget",Notes!$B$3="Pay 2 Regular State Payment Budget"),0,INDEX(Data[],MATCH($A115,Data[Dist],0),MATCH(G$4,Data[#Headers],0)))</f>
        <v>0</v>
      </c>
      <c r="H115" s="22">
        <f>INDEX(Data[],MATCH($A115,Data[Dist],0),MATCH(H$4,Data[#Headers],0))</f>
        <v>7327542</v>
      </c>
    </row>
    <row r="116" spans="1:8" s="21" customFormat="1" ht="12.75" x14ac:dyDescent="0.2">
      <c r="A116" s="20" t="str">
        <f>Data!B112</f>
        <v>2313</v>
      </c>
      <c r="B116" s="21" t="str">
        <f>INDEX(Data[],MATCH($A116,Data[Dist],0),MATCH(B$4,Data[#Headers],0))</f>
        <v>Fort Dodge</v>
      </c>
      <c r="C116" s="22">
        <f>INDEX(Data[],MATCH($A116,Data[Dist],0),MATCH(C$4,Data[#Headers],0))</f>
        <v>28075457</v>
      </c>
      <c r="D116" s="22">
        <f>INDEX(Data[],MATCH($A116,Data[Dist],0),MATCH(D$4,Data[#Headers],0))</f>
        <v>3649</v>
      </c>
      <c r="E116" s="22">
        <f>INDEX(Data[],MATCH($A116,Data[Dist],0),MATCH(E$4,Data[#Headers],0))</f>
        <v>5009</v>
      </c>
      <c r="F116" s="22">
        <f>IF(Notes!$B$3="Pay 1 Regular State Payment Budget",0,INDEX(Data[],MATCH($A116,Data[Dist],0),MATCH(F$4,Data[#Headers],0)))</f>
        <v>0</v>
      </c>
      <c r="G116" s="22">
        <f>IF(OR(Notes!$B$3="Pay 1 Regular State Payment Budget",Notes!$B$3="Pay 2 Regular State Payment Budget"),0,INDEX(Data[],MATCH($A116,Data[Dist],0),MATCH(G$4,Data[#Headers],0)))</f>
        <v>0</v>
      </c>
      <c r="H116" s="22">
        <f>INDEX(Data[],MATCH($A116,Data[Dist],0),MATCH(H$4,Data[#Headers],0))</f>
        <v>28066799</v>
      </c>
    </row>
    <row r="117" spans="1:8" s="21" customFormat="1" ht="12.75" x14ac:dyDescent="0.2">
      <c r="A117" s="20" t="str">
        <f>Data!B113</f>
        <v>2322</v>
      </c>
      <c r="B117" s="21" t="str">
        <f>INDEX(Data[],MATCH($A117,Data[Dist],0),MATCH(B$4,Data[#Headers],0))</f>
        <v>Fort Madison</v>
      </c>
      <c r="C117" s="22">
        <f>INDEX(Data[],MATCH($A117,Data[Dist],0),MATCH(C$4,Data[#Headers],0))</f>
        <v>15153548</v>
      </c>
      <c r="D117" s="22">
        <f>INDEX(Data[],MATCH($A117,Data[Dist],0),MATCH(D$4,Data[#Headers],0))</f>
        <v>962</v>
      </c>
      <c r="E117" s="22">
        <f>INDEX(Data[],MATCH($A117,Data[Dist],0),MATCH(E$4,Data[#Headers],0))</f>
        <v>0</v>
      </c>
      <c r="F117" s="22">
        <f>IF(Notes!$B$3="Pay 1 Regular State Payment Budget",0,INDEX(Data[],MATCH($A117,Data[Dist],0),MATCH(F$4,Data[#Headers],0)))</f>
        <v>0</v>
      </c>
      <c r="G117" s="22">
        <f>IF(OR(Notes!$B$3="Pay 1 Regular State Payment Budget",Notes!$B$3="Pay 2 Regular State Payment Budget"),0,INDEX(Data[],MATCH($A117,Data[Dist],0),MATCH(G$4,Data[#Headers],0)))</f>
        <v>0</v>
      </c>
      <c r="H117" s="22">
        <f>INDEX(Data[],MATCH($A117,Data[Dist],0),MATCH(H$4,Data[#Headers],0))</f>
        <v>15152586</v>
      </c>
    </row>
    <row r="118" spans="1:8" s="21" customFormat="1" ht="12.75" x14ac:dyDescent="0.2">
      <c r="A118" s="20" t="str">
        <f>Data!B114</f>
        <v>2369</v>
      </c>
      <c r="B118" s="21" t="str">
        <f>INDEX(Data[],MATCH($A118,Data[Dist],0),MATCH(B$4,Data[#Headers],0))</f>
        <v>Fremont-Mills</v>
      </c>
      <c r="C118" s="22">
        <f>INDEX(Data[],MATCH($A118,Data[Dist],0),MATCH(C$4,Data[#Headers],0))</f>
        <v>3029627</v>
      </c>
      <c r="D118" s="22">
        <f>INDEX(Data[],MATCH($A118,Data[Dist],0),MATCH(D$4,Data[#Headers],0))</f>
        <v>398</v>
      </c>
      <c r="E118" s="22">
        <f>INDEX(Data[],MATCH($A118,Data[Dist],0),MATCH(E$4,Data[#Headers],0))</f>
        <v>0</v>
      </c>
      <c r="F118" s="22">
        <f>IF(Notes!$B$3="Pay 1 Regular State Payment Budget",0,INDEX(Data[],MATCH($A118,Data[Dist],0),MATCH(F$4,Data[#Headers],0)))</f>
        <v>0</v>
      </c>
      <c r="G118" s="22">
        <f>IF(OR(Notes!$B$3="Pay 1 Regular State Payment Budget",Notes!$B$3="Pay 2 Regular State Payment Budget"),0,INDEX(Data[],MATCH($A118,Data[Dist],0),MATCH(G$4,Data[#Headers],0)))</f>
        <v>0</v>
      </c>
      <c r="H118" s="22">
        <f>INDEX(Data[],MATCH($A118,Data[Dist],0),MATCH(H$4,Data[#Headers],0))</f>
        <v>3029229</v>
      </c>
    </row>
    <row r="119" spans="1:8" s="21" customFormat="1" ht="12.75" x14ac:dyDescent="0.2">
      <c r="A119" s="20" t="str">
        <f>Data!B115</f>
        <v>2376</v>
      </c>
      <c r="B119" s="21" t="str">
        <f>INDEX(Data[],MATCH($A119,Data[Dist],0),MATCH(B$4,Data[#Headers],0))</f>
        <v>Galva-Holstein</v>
      </c>
      <c r="C119" s="22">
        <f>INDEX(Data[],MATCH($A119,Data[Dist],0),MATCH(C$4,Data[#Headers],0))</f>
        <v>2602082</v>
      </c>
      <c r="D119" s="22">
        <f>INDEX(Data[],MATCH($A119,Data[Dist],0),MATCH(D$4,Data[#Headers],0))</f>
        <v>415</v>
      </c>
      <c r="E119" s="22">
        <f>INDEX(Data[],MATCH($A119,Data[Dist],0),MATCH(E$4,Data[#Headers],0))</f>
        <v>0</v>
      </c>
      <c r="F119" s="22">
        <f>IF(Notes!$B$3="Pay 1 Regular State Payment Budget",0,INDEX(Data[],MATCH($A119,Data[Dist],0),MATCH(F$4,Data[#Headers],0)))</f>
        <v>0</v>
      </c>
      <c r="G119" s="22">
        <f>IF(OR(Notes!$B$3="Pay 1 Regular State Payment Budget",Notes!$B$3="Pay 2 Regular State Payment Budget"),0,INDEX(Data[],MATCH($A119,Data[Dist],0),MATCH(G$4,Data[#Headers],0)))</f>
        <v>0</v>
      </c>
      <c r="H119" s="22">
        <f>INDEX(Data[],MATCH($A119,Data[Dist],0),MATCH(H$4,Data[#Headers],0))</f>
        <v>2601667</v>
      </c>
    </row>
    <row r="120" spans="1:8" s="21" customFormat="1" ht="12.75" x14ac:dyDescent="0.2">
      <c r="A120" s="20" t="str">
        <f>Data!B116</f>
        <v>2403</v>
      </c>
      <c r="B120" s="21" t="str">
        <f>INDEX(Data[],MATCH($A120,Data[Dist],0),MATCH(B$4,Data[#Headers],0))</f>
        <v>Garner-Hayfield-Ventura</v>
      </c>
      <c r="C120" s="22">
        <f>INDEX(Data[],MATCH($A120,Data[Dist],0),MATCH(C$4,Data[#Headers],0))</f>
        <v>4234778</v>
      </c>
      <c r="D120" s="22">
        <f>INDEX(Data[],MATCH($A120,Data[Dist],0),MATCH(D$4,Data[#Headers],0))</f>
        <v>1227</v>
      </c>
      <c r="E120" s="22">
        <f>INDEX(Data[],MATCH($A120,Data[Dist],0),MATCH(E$4,Data[#Headers],0))</f>
        <v>7576</v>
      </c>
      <c r="F120" s="22">
        <f>IF(Notes!$B$3="Pay 1 Regular State Payment Budget",0,INDEX(Data[],MATCH($A120,Data[Dist],0),MATCH(F$4,Data[#Headers],0)))</f>
        <v>0</v>
      </c>
      <c r="G120" s="22">
        <f>IF(OR(Notes!$B$3="Pay 1 Regular State Payment Budget",Notes!$B$3="Pay 2 Regular State Payment Budget"),0,INDEX(Data[],MATCH($A120,Data[Dist],0),MATCH(G$4,Data[#Headers],0)))</f>
        <v>0</v>
      </c>
      <c r="H120" s="22">
        <f>INDEX(Data[],MATCH($A120,Data[Dist],0),MATCH(H$4,Data[#Headers],0))</f>
        <v>4225975</v>
      </c>
    </row>
    <row r="121" spans="1:8" s="21" customFormat="1" ht="12.75" x14ac:dyDescent="0.2">
      <c r="A121" s="20" t="str">
        <f>Data!B117</f>
        <v>2457</v>
      </c>
      <c r="B121" s="21" t="str">
        <f>INDEX(Data[],MATCH($A121,Data[Dist],0),MATCH(B$4,Data[#Headers],0))</f>
        <v>George-Little Rock</v>
      </c>
      <c r="C121" s="22">
        <f>INDEX(Data[],MATCH($A121,Data[Dist],0),MATCH(C$4,Data[#Headers],0))</f>
        <v>2742971</v>
      </c>
      <c r="D121" s="22">
        <f>INDEX(Data[],MATCH($A121,Data[Dist],0),MATCH(D$4,Data[#Headers],0))</f>
        <v>381</v>
      </c>
      <c r="E121" s="22">
        <f>INDEX(Data[],MATCH($A121,Data[Dist],0),MATCH(E$4,Data[#Headers],0))</f>
        <v>0</v>
      </c>
      <c r="F121" s="22">
        <f>IF(Notes!$B$3="Pay 1 Regular State Payment Budget",0,INDEX(Data[],MATCH($A121,Data[Dist],0),MATCH(F$4,Data[#Headers],0)))</f>
        <v>0</v>
      </c>
      <c r="G121" s="22">
        <f>IF(OR(Notes!$B$3="Pay 1 Regular State Payment Budget",Notes!$B$3="Pay 2 Regular State Payment Budget"),0,INDEX(Data[],MATCH($A121,Data[Dist],0),MATCH(G$4,Data[#Headers],0)))</f>
        <v>0</v>
      </c>
      <c r="H121" s="22">
        <f>INDEX(Data[],MATCH($A121,Data[Dist],0),MATCH(H$4,Data[#Headers],0))</f>
        <v>2742590</v>
      </c>
    </row>
    <row r="122" spans="1:8" s="21" customFormat="1" ht="12.75" x14ac:dyDescent="0.2">
      <c r="A122" s="20" t="str">
        <f>Data!B118</f>
        <v>2466</v>
      </c>
      <c r="B122" s="21" t="str">
        <f>INDEX(Data[],MATCH($A122,Data[Dist],0),MATCH(B$4,Data[#Headers],0))</f>
        <v>Gilbert</v>
      </c>
      <c r="C122" s="22">
        <f>INDEX(Data[],MATCH($A122,Data[Dist],0),MATCH(C$4,Data[#Headers],0))</f>
        <v>10016088</v>
      </c>
      <c r="D122" s="22">
        <f>INDEX(Data[],MATCH($A122,Data[Dist],0),MATCH(D$4,Data[#Headers],0))</f>
        <v>1244</v>
      </c>
      <c r="E122" s="22">
        <f>INDEX(Data[],MATCH($A122,Data[Dist],0),MATCH(E$4,Data[#Headers],0))</f>
        <v>0</v>
      </c>
      <c r="F122" s="22">
        <f>IF(Notes!$B$3="Pay 1 Regular State Payment Budget",0,INDEX(Data[],MATCH($A122,Data[Dist],0),MATCH(F$4,Data[#Headers],0)))</f>
        <v>0</v>
      </c>
      <c r="G122" s="22">
        <f>IF(OR(Notes!$B$3="Pay 1 Regular State Payment Budget",Notes!$B$3="Pay 2 Regular State Payment Budget"),0,INDEX(Data[],MATCH($A122,Data[Dist],0),MATCH(G$4,Data[#Headers],0)))</f>
        <v>0</v>
      </c>
      <c r="H122" s="22">
        <f>INDEX(Data[],MATCH($A122,Data[Dist],0),MATCH(H$4,Data[#Headers],0))</f>
        <v>10014844</v>
      </c>
    </row>
    <row r="123" spans="1:8" s="21" customFormat="1" ht="12.75" x14ac:dyDescent="0.2">
      <c r="A123" s="20" t="str">
        <f>Data!B119</f>
        <v>2493</v>
      </c>
      <c r="B123" s="21" t="str">
        <f>INDEX(Data[],MATCH($A123,Data[Dist],0),MATCH(B$4,Data[#Headers],0))</f>
        <v>Gilmore City-Bradgate</v>
      </c>
      <c r="C123" s="22">
        <f>INDEX(Data[],MATCH($A123,Data[Dist],0),MATCH(C$4,Data[#Headers],0))</f>
        <v>1212186</v>
      </c>
      <c r="D123" s="22">
        <f>INDEX(Data[],MATCH($A123,Data[Dist],0),MATCH(D$4,Data[#Headers],0))</f>
        <v>265</v>
      </c>
      <c r="E123" s="22">
        <f>INDEX(Data[],MATCH($A123,Data[Dist],0),MATCH(E$4,Data[#Headers],0))</f>
        <v>0</v>
      </c>
      <c r="F123" s="22">
        <f>IF(Notes!$B$3="Pay 1 Regular State Payment Budget",0,INDEX(Data[],MATCH($A123,Data[Dist],0),MATCH(F$4,Data[#Headers],0)))</f>
        <v>0</v>
      </c>
      <c r="G123" s="22">
        <f>IF(OR(Notes!$B$3="Pay 1 Regular State Payment Budget",Notes!$B$3="Pay 2 Regular State Payment Budget"),0,INDEX(Data[],MATCH($A123,Data[Dist],0),MATCH(G$4,Data[#Headers],0)))</f>
        <v>0</v>
      </c>
      <c r="H123" s="22">
        <f>INDEX(Data[],MATCH($A123,Data[Dist],0),MATCH(H$4,Data[#Headers],0))</f>
        <v>1211921</v>
      </c>
    </row>
    <row r="124" spans="1:8" s="21" customFormat="1" ht="12.75" x14ac:dyDescent="0.2">
      <c r="A124" s="20" t="str">
        <f>Data!B120</f>
        <v>2502</v>
      </c>
      <c r="B124" s="21" t="str">
        <f>INDEX(Data[],MATCH($A124,Data[Dist],0),MATCH(B$4,Data[#Headers],0))</f>
        <v>Gladbrook-Reinbeck</v>
      </c>
      <c r="C124" s="22">
        <f>INDEX(Data[],MATCH($A124,Data[Dist],0),MATCH(C$4,Data[#Headers],0))</f>
        <v>3830225</v>
      </c>
      <c r="D124" s="22">
        <f>INDEX(Data[],MATCH($A124,Data[Dist],0),MATCH(D$4,Data[#Headers],0))</f>
        <v>464</v>
      </c>
      <c r="E124" s="22">
        <f>INDEX(Data[],MATCH($A124,Data[Dist],0),MATCH(E$4,Data[#Headers],0))</f>
        <v>5472</v>
      </c>
      <c r="F124" s="22">
        <f>IF(Notes!$B$3="Pay 1 Regular State Payment Budget",0,INDEX(Data[],MATCH($A124,Data[Dist],0),MATCH(F$4,Data[#Headers],0)))</f>
        <v>0</v>
      </c>
      <c r="G124" s="22">
        <f>IF(OR(Notes!$B$3="Pay 1 Regular State Payment Budget",Notes!$B$3="Pay 2 Regular State Payment Budget"),0,INDEX(Data[],MATCH($A124,Data[Dist],0),MATCH(G$4,Data[#Headers],0)))</f>
        <v>0</v>
      </c>
      <c r="H124" s="22">
        <f>INDEX(Data[],MATCH($A124,Data[Dist],0),MATCH(H$4,Data[#Headers],0))</f>
        <v>3824289</v>
      </c>
    </row>
    <row r="125" spans="1:8" s="21" customFormat="1" ht="12.75" x14ac:dyDescent="0.2">
      <c r="A125" s="20" t="str">
        <f>Data!B121</f>
        <v>2511</v>
      </c>
      <c r="B125" s="21" t="str">
        <f>INDEX(Data[],MATCH($A125,Data[Dist],0),MATCH(B$4,Data[#Headers],0))</f>
        <v>Glenwood</v>
      </c>
      <c r="C125" s="22">
        <f>INDEX(Data[],MATCH($A125,Data[Dist],0),MATCH(C$4,Data[#Headers],0))</f>
        <v>13490438</v>
      </c>
      <c r="D125" s="22">
        <f>INDEX(Data[],MATCH($A125,Data[Dist],0),MATCH(D$4,Data[#Headers],0))</f>
        <v>796</v>
      </c>
      <c r="E125" s="22">
        <f>INDEX(Data[],MATCH($A125,Data[Dist],0),MATCH(E$4,Data[#Headers],0))</f>
        <v>0</v>
      </c>
      <c r="F125" s="22">
        <f>IF(Notes!$B$3="Pay 1 Regular State Payment Budget",0,INDEX(Data[],MATCH($A125,Data[Dist],0),MATCH(F$4,Data[#Headers],0)))</f>
        <v>0</v>
      </c>
      <c r="G125" s="22">
        <f>IF(OR(Notes!$B$3="Pay 1 Regular State Payment Budget",Notes!$B$3="Pay 2 Regular State Payment Budget"),0,INDEX(Data[],MATCH($A125,Data[Dist],0),MATCH(G$4,Data[#Headers],0)))</f>
        <v>0</v>
      </c>
      <c r="H125" s="22">
        <f>INDEX(Data[],MATCH($A125,Data[Dist],0),MATCH(H$4,Data[#Headers],0))</f>
        <v>13489642</v>
      </c>
    </row>
    <row r="126" spans="1:8" s="21" customFormat="1" ht="12.75" x14ac:dyDescent="0.2">
      <c r="A126" s="20" t="str">
        <f>Data!B122</f>
        <v>2520</v>
      </c>
      <c r="B126" s="21" t="str">
        <f>INDEX(Data[],MATCH($A126,Data[Dist],0),MATCH(B$4,Data[#Headers],0))</f>
        <v>Glidden-Ralston</v>
      </c>
      <c r="C126" s="22">
        <f>INDEX(Data[],MATCH($A126,Data[Dist],0),MATCH(C$4,Data[#Headers],0))</f>
        <v>1847312</v>
      </c>
      <c r="D126" s="22">
        <f>INDEX(Data[],MATCH($A126,Data[Dist],0),MATCH(D$4,Data[#Headers],0))</f>
        <v>580</v>
      </c>
      <c r="E126" s="22">
        <f>INDEX(Data[],MATCH($A126,Data[Dist],0),MATCH(E$4,Data[#Headers],0))</f>
        <v>0</v>
      </c>
      <c r="F126" s="22">
        <f>IF(Notes!$B$3="Pay 1 Regular State Payment Budget",0,INDEX(Data[],MATCH($A126,Data[Dist],0),MATCH(F$4,Data[#Headers],0)))</f>
        <v>0</v>
      </c>
      <c r="G126" s="22">
        <f>IF(OR(Notes!$B$3="Pay 1 Regular State Payment Budget",Notes!$B$3="Pay 2 Regular State Payment Budget"),0,INDEX(Data[],MATCH($A126,Data[Dist],0),MATCH(G$4,Data[#Headers],0)))</f>
        <v>0</v>
      </c>
      <c r="H126" s="22">
        <f>INDEX(Data[],MATCH($A126,Data[Dist],0),MATCH(H$4,Data[#Headers],0))</f>
        <v>1846732</v>
      </c>
    </row>
    <row r="127" spans="1:8" s="21" customFormat="1" ht="12.75" x14ac:dyDescent="0.2">
      <c r="A127" s="20" t="str">
        <f>Data!B123</f>
        <v>2556</v>
      </c>
      <c r="B127" s="21" t="str">
        <f>INDEX(Data[],MATCH($A127,Data[Dist],0),MATCH(B$4,Data[#Headers],0))</f>
        <v>Graettinger-Terril</v>
      </c>
      <c r="C127" s="22">
        <f>INDEX(Data[],MATCH($A127,Data[Dist],0),MATCH(C$4,Data[#Headers],0))</f>
        <v>1997500</v>
      </c>
      <c r="D127" s="22">
        <f>INDEX(Data[],MATCH($A127,Data[Dist],0),MATCH(D$4,Data[#Headers],0))</f>
        <v>431</v>
      </c>
      <c r="E127" s="22">
        <f>INDEX(Data[],MATCH($A127,Data[Dist],0),MATCH(E$4,Data[#Headers],0))</f>
        <v>0</v>
      </c>
      <c r="F127" s="22">
        <f>IF(Notes!$B$3="Pay 1 Regular State Payment Budget",0,INDEX(Data[],MATCH($A127,Data[Dist],0),MATCH(F$4,Data[#Headers],0)))</f>
        <v>0</v>
      </c>
      <c r="G127" s="22">
        <f>IF(OR(Notes!$B$3="Pay 1 Regular State Payment Budget",Notes!$B$3="Pay 2 Regular State Payment Budget"),0,INDEX(Data[],MATCH($A127,Data[Dist],0),MATCH(G$4,Data[#Headers],0)))</f>
        <v>0</v>
      </c>
      <c r="H127" s="22">
        <f>INDEX(Data[],MATCH($A127,Data[Dist],0),MATCH(H$4,Data[#Headers],0))</f>
        <v>1997069</v>
      </c>
    </row>
    <row r="128" spans="1:8" s="21" customFormat="1" ht="12.75" x14ac:dyDescent="0.2">
      <c r="A128" s="20" t="str">
        <f>Data!B124</f>
        <v>2673</v>
      </c>
      <c r="B128" s="21" t="str">
        <f>INDEX(Data[],MATCH($A128,Data[Dist],0),MATCH(B$4,Data[#Headers],0))</f>
        <v>Nodaway Valley</v>
      </c>
      <c r="C128" s="22">
        <f>INDEX(Data[],MATCH($A128,Data[Dist],0),MATCH(C$4,Data[#Headers],0))</f>
        <v>4128135</v>
      </c>
      <c r="D128" s="22">
        <f>INDEX(Data[],MATCH($A128,Data[Dist],0),MATCH(D$4,Data[#Headers],0))</f>
        <v>365</v>
      </c>
      <c r="E128" s="22">
        <f>INDEX(Data[],MATCH($A128,Data[Dist],0),MATCH(E$4,Data[#Headers],0))</f>
        <v>0</v>
      </c>
      <c r="F128" s="22">
        <f>IF(Notes!$B$3="Pay 1 Regular State Payment Budget",0,INDEX(Data[],MATCH($A128,Data[Dist],0),MATCH(F$4,Data[#Headers],0)))</f>
        <v>0</v>
      </c>
      <c r="G128" s="22">
        <f>IF(OR(Notes!$B$3="Pay 1 Regular State Payment Budget",Notes!$B$3="Pay 2 Regular State Payment Budget"),0,INDEX(Data[],MATCH($A128,Data[Dist],0),MATCH(G$4,Data[#Headers],0)))</f>
        <v>0</v>
      </c>
      <c r="H128" s="22">
        <f>INDEX(Data[],MATCH($A128,Data[Dist],0),MATCH(H$4,Data[#Headers],0))</f>
        <v>4127770</v>
      </c>
    </row>
    <row r="129" spans="1:8" s="21" customFormat="1" ht="12.75" x14ac:dyDescent="0.2">
      <c r="A129" s="20" t="str">
        <f>Data!B125</f>
        <v>2682</v>
      </c>
      <c r="B129" s="21" t="str">
        <f>INDEX(Data[],MATCH($A129,Data[Dist],0),MATCH(B$4,Data[#Headers],0))</f>
        <v>GMG</v>
      </c>
      <c r="C129" s="22">
        <f>INDEX(Data[],MATCH($A129,Data[Dist],0),MATCH(C$4,Data[#Headers],0))</f>
        <v>1345830</v>
      </c>
      <c r="D129" s="22">
        <f>INDEX(Data[],MATCH($A129,Data[Dist],0),MATCH(D$4,Data[#Headers],0))</f>
        <v>415</v>
      </c>
      <c r="E129" s="22">
        <f>INDEX(Data[],MATCH($A129,Data[Dist],0),MATCH(E$4,Data[#Headers],0))</f>
        <v>7576</v>
      </c>
      <c r="F129" s="22">
        <f>IF(Notes!$B$3="Pay 1 Regular State Payment Budget",0,INDEX(Data[],MATCH($A129,Data[Dist],0),MATCH(F$4,Data[#Headers],0)))</f>
        <v>0</v>
      </c>
      <c r="G129" s="22">
        <f>IF(OR(Notes!$B$3="Pay 1 Regular State Payment Budget",Notes!$B$3="Pay 2 Regular State Payment Budget"),0,INDEX(Data[],MATCH($A129,Data[Dist],0),MATCH(G$4,Data[#Headers],0)))</f>
        <v>0</v>
      </c>
      <c r="H129" s="22">
        <f>INDEX(Data[],MATCH($A129,Data[Dist],0),MATCH(H$4,Data[#Headers],0))</f>
        <v>1337839</v>
      </c>
    </row>
    <row r="130" spans="1:8" s="21" customFormat="1" ht="12.75" x14ac:dyDescent="0.2">
      <c r="A130" s="20" t="str">
        <f>Data!B126</f>
        <v>2709</v>
      </c>
      <c r="B130" s="21" t="str">
        <f>INDEX(Data[],MATCH($A130,Data[Dist],0),MATCH(B$4,Data[#Headers],0))</f>
        <v>Grinnell-Newburg</v>
      </c>
      <c r="C130" s="22">
        <f>INDEX(Data[],MATCH($A130,Data[Dist],0),MATCH(C$4,Data[#Headers],0))</f>
        <v>10076772</v>
      </c>
      <c r="D130" s="22">
        <f>INDEX(Data[],MATCH($A130,Data[Dist],0),MATCH(D$4,Data[#Headers],0))</f>
        <v>1194</v>
      </c>
      <c r="E130" s="22">
        <f>INDEX(Data[],MATCH($A130,Data[Dist],0),MATCH(E$4,Data[#Headers],0))</f>
        <v>0</v>
      </c>
      <c r="F130" s="22">
        <f>IF(Notes!$B$3="Pay 1 Regular State Payment Budget",0,INDEX(Data[],MATCH($A130,Data[Dist],0),MATCH(F$4,Data[#Headers],0)))</f>
        <v>0</v>
      </c>
      <c r="G130" s="22">
        <f>IF(OR(Notes!$B$3="Pay 1 Regular State Payment Budget",Notes!$B$3="Pay 2 Regular State Payment Budget"),0,INDEX(Data[],MATCH($A130,Data[Dist],0),MATCH(G$4,Data[#Headers],0)))</f>
        <v>0</v>
      </c>
      <c r="H130" s="22">
        <f>INDEX(Data[],MATCH($A130,Data[Dist],0),MATCH(H$4,Data[#Headers],0))</f>
        <v>10075578</v>
      </c>
    </row>
    <row r="131" spans="1:8" s="21" customFormat="1" ht="12.75" x14ac:dyDescent="0.2">
      <c r="A131" s="20" t="str">
        <f>Data!B127</f>
        <v>2718</v>
      </c>
      <c r="B131" s="21" t="str">
        <f>INDEX(Data[],MATCH($A131,Data[Dist],0),MATCH(B$4,Data[#Headers],0))</f>
        <v>Griswold</v>
      </c>
      <c r="C131" s="22">
        <f>INDEX(Data[],MATCH($A131,Data[Dist],0),MATCH(C$4,Data[#Headers],0))</f>
        <v>2791296</v>
      </c>
      <c r="D131" s="22">
        <f>INDEX(Data[],MATCH($A131,Data[Dist],0),MATCH(D$4,Data[#Headers],0))</f>
        <v>498</v>
      </c>
      <c r="E131" s="22">
        <f>INDEX(Data[],MATCH($A131,Data[Dist],0),MATCH(E$4,Data[#Headers],0))</f>
        <v>0</v>
      </c>
      <c r="F131" s="22">
        <f>IF(Notes!$B$3="Pay 1 Regular State Payment Budget",0,INDEX(Data[],MATCH($A131,Data[Dist],0),MATCH(F$4,Data[#Headers],0)))</f>
        <v>0</v>
      </c>
      <c r="G131" s="22">
        <f>IF(OR(Notes!$B$3="Pay 1 Regular State Payment Budget",Notes!$B$3="Pay 2 Regular State Payment Budget"),0,INDEX(Data[],MATCH($A131,Data[Dist],0),MATCH(G$4,Data[#Headers],0)))</f>
        <v>0</v>
      </c>
      <c r="H131" s="22">
        <f>INDEX(Data[],MATCH($A131,Data[Dist],0),MATCH(H$4,Data[#Headers],0))</f>
        <v>2790798</v>
      </c>
    </row>
    <row r="132" spans="1:8" s="21" customFormat="1" ht="12.75" x14ac:dyDescent="0.2">
      <c r="A132" s="20" t="str">
        <f>Data!B128</f>
        <v>2727</v>
      </c>
      <c r="B132" s="21" t="str">
        <f>INDEX(Data[],MATCH($A132,Data[Dist],0),MATCH(B$4,Data[#Headers],0))</f>
        <v>Grundy Center</v>
      </c>
      <c r="C132" s="22">
        <f>INDEX(Data[],MATCH($A132,Data[Dist],0),MATCH(C$4,Data[#Headers],0))</f>
        <v>4817705</v>
      </c>
      <c r="D132" s="22">
        <f>INDEX(Data[],MATCH($A132,Data[Dist],0),MATCH(D$4,Data[#Headers],0))</f>
        <v>779</v>
      </c>
      <c r="E132" s="22">
        <f>INDEX(Data[],MATCH($A132,Data[Dist],0),MATCH(E$4,Data[#Headers],0))</f>
        <v>0</v>
      </c>
      <c r="F132" s="22">
        <f>IF(Notes!$B$3="Pay 1 Regular State Payment Budget",0,INDEX(Data[],MATCH($A132,Data[Dist],0),MATCH(F$4,Data[#Headers],0)))</f>
        <v>0</v>
      </c>
      <c r="G132" s="22">
        <f>IF(OR(Notes!$B$3="Pay 1 Regular State Payment Budget",Notes!$B$3="Pay 2 Regular State Payment Budget"),0,INDEX(Data[],MATCH($A132,Data[Dist],0),MATCH(G$4,Data[#Headers],0)))</f>
        <v>0</v>
      </c>
      <c r="H132" s="22">
        <f>INDEX(Data[],MATCH($A132,Data[Dist],0),MATCH(H$4,Data[#Headers],0))</f>
        <v>4816926</v>
      </c>
    </row>
    <row r="133" spans="1:8" s="21" customFormat="1" ht="12.75" x14ac:dyDescent="0.2">
      <c r="A133" s="20" t="str">
        <f>Data!B129</f>
        <v>2754</v>
      </c>
      <c r="B133" s="21" t="str">
        <f>INDEX(Data[],MATCH($A133,Data[Dist],0),MATCH(B$4,Data[#Headers],0))</f>
        <v>Guthrie Center</v>
      </c>
      <c r="C133" s="22">
        <f>INDEX(Data[],MATCH($A133,Data[Dist],0),MATCH(C$4,Data[#Headers],0))</f>
        <v>2548789</v>
      </c>
      <c r="D133" s="22">
        <f>INDEX(Data[],MATCH($A133,Data[Dist],0),MATCH(D$4,Data[#Headers],0))</f>
        <v>564</v>
      </c>
      <c r="E133" s="22">
        <f>INDEX(Data[],MATCH($A133,Data[Dist],0),MATCH(E$4,Data[#Headers],0))</f>
        <v>0</v>
      </c>
      <c r="F133" s="22">
        <f>IF(Notes!$B$3="Pay 1 Regular State Payment Budget",0,INDEX(Data[],MATCH($A133,Data[Dist],0),MATCH(F$4,Data[#Headers],0)))</f>
        <v>0</v>
      </c>
      <c r="G133" s="22">
        <f>IF(OR(Notes!$B$3="Pay 1 Regular State Payment Budget",Notes!$B$3="Pay 2 Regular State Payment Budget"),0,INDEX(Data[],MATCH($A133,Data[Dist],0),MATCH(G$4,Data[#Headers],0)))</f>
        <v>0</v>
      </c>
      <c r="H133" s="22">
        <f>INDEX(Data[],MATCH($A133,Data[Dist],0),MATCH(H$4,Data[#Headers],0))</f>
        <v>2548225</v>
      </c>
    </row>
    <row r="134" spans="1:8" s="21" customFormat="1" ht="12.75" x14ac:dyDescent="0.2">
      <c r="A134" s="20" t="str">
        <f>Data!B130</f>
        <v>2763</v>
      </c>
      <c r="B134" s="21" t="str">
        <f>INDEX(Data[],MATCH($A134,Data[Dist],0),MATCH(B$4,Data[#Headers],0))</f>
        <v>Clayton Ridge</v>
      </c>
      <c r="C134" s="22">
        <f>INDEX(Data[],MATCH($A134,Data[Dist],0),MATCH(C$4,Data[#Headers],0))</f>
        <v>3591223</v>
      </c>
      <c r="D134" s="22">
        <f>INDEX(Data[],MATCH($A134,Data[Dist],0),MATCH(D$4,Data[#Headers],0))</f>
        <v>398</v>
      </c>
      <c r="E134" s="22">
        <f>INDEX(Data[],MATCH($A134,Data[Dist],0),MATCH(E$4,Data[#Headers],0))</f>
        <v>0</v>
      </c>
      <c r="F134" s="22">
        <f>IF(Notes!$B$3="Pay 1 Regular State Payment Budget",0,INDEX(Data[],MATCH($A134,Data[Dist],0),MATCH(F$4,Data[#Headers],0)))</f>
        <v>0</v>
      </c>
      <c r="G134" s="22">
        <f>IF(OR(Notes!$B$3="Pay 1 Regular State Payment Budget",Notes!$B$3="Pay 2 Regular State Payment Budget"),0,INDEX(Data[],MATCH($A134,Data[Dist],0),MATCH(G$4,Data[#Headers],0)))</f>
        <v>0</v>
      </c>
      <c r="H134" s="22">
        <f>INDEX(Data[],MATCH($A134,Data[Dist],0),MATCH(H$4,Data[#Headers],0))</f>
        <v>3590825</v>
      </c>
    </row>
    <row r="135" spans="1:8" s="21" customFormat="1" ht="12.75" x14ac:dyDescent="0.2">
      <c r="A135" s="20" t="str">
        <f>Data!B131</f>
        <v>2766</v>
      </c>
      <c r="B135" s="21" t="str">
        <f>INDEX(Data[],MATCH($A135,Data[Dist],0),MATCH(B$4,Data[#Headers],0))</f>
        <v>HLV</v>
      </c>
      <c r="C135" s="22">
        <f>INDEX(Data[],MATCH($A135,Data[Dist],0),MATCH(C$4,Data[#Headers],0))</f>
        <v>1951253</v>
      </c>
      <c r="D135" s="22">
        <f>INDEX(Data[],MATCH($A135,Data[Dist],0),MATCH(D$4,Data[#Headers],0))</f>
        <v>282</v>
      </c>
      <c r="E135" s="22">
        <f>INDEX(Data[],MATCH($A135,Data[Dist],0),MATCH(E$4,Data[#Headers],0))</f>
        <v>0</v>
      </c>
      <c r="F135" s="22">
        <f>IF(Notes!$B$3="Pay 1 Regular State Payment Budget",0,INDEX(Data[],MATCH($A135,Data[Dist],0),MATCH(F$4,Data[#Headers],0)))</f>
        <v>0</v>
      </c>
      <c r="G135" s="22">
        <f>IF(OR(Notes!$B$3="Pay 1 Regular State Payment Budget",Notes!$B$3="Pay 2 Regular State Payment Budget"),0,INDEX(Data[],MATCH($A135,Data[Dist],0),MATCH(G$4,Data[#Headers],0)))</f>
        <v>0</v>
      </c>
      <c r="H135" s="22">
        <f>INDEX(Data[],MATCH($A135,Data[Dist],0),MATCH(H$4,Data[#Headers],0))</f>
        <v>1950971</v>
      </c>
    </row>
    <row r="136" spans="1:8" s="21" customFormat="1" ht="12.75" x14ac:dyDescent="0.2">
      <c r="A136" s="20" t="str">
        <f>Data!B132</f>
        <v>2772</v>
      </c>
      <c r="B136" s="21" t="str">
        <f>INDEX(Data[],MATCH($A136,Data[Dist],0),MATCH(B$4,Data[#Headers],0))</f>
        <v>Hamburg</v>
      </c>
      <c r="C136" s="22">
        <f>INDEX(Data[],MATCH($A136,Data[Dist],0),MATCH(C$4,Data[#Headers],0))</f>
        <v>1426448</v>
      </c>
      <c r="D136" s="22">
        <f>INDEX(Data[],MATCH($A136,Data[Dist],0),MATCH(D$4,Data[#Headers],0))</f>
        <v>182</v>
      </c>
      <c r="E136" s="22">
        <f>INDEX(Data[],MATCH($A136,Data[Dist],0),MATCH(E$4,Data[#Headers],0))</f>
        <v>204343</v>
      </c>
      <c r="F136" s="22">
        <f>IF(Notes!$B$3="Pay 1 Regular State Payment Budget",0,INDEX(Data[],MATCH($A136,Data[Dist],0),MATCH(F$4,Data[#Headers],0)))</f>
        <v>0</v>
      </c>
      <c r="G136" s="22">
        <f>IF(OR(Notes!$B$3="Pay 1 Regular State Payment Budget",Notes!$B$3="Pay 2 Regular State Payment Budget"),0,INDEX(Data[],MATCH($A136,Data[Dist],0),MATCH(G$4,Data[#Headers],0)))</f>
        <v>0</v>
      </c>
      <c r="H136" s="22">
        <f>INDEX(Data[],MATCH($A136,Data[Dist],0),MATCH(H$4,Data[#Headers],0))</f>
        <v>1221923</v>
      </c>
    </row>
    <row r="137" spans="1:8" s="21" customFormat="1" ht="12.75" x14ac:dyDescent="0.2">
      <c r="A137" s="20" t="str">
        <f>Data!B133</f>
        <v>2781</v>
      </c>
      <c r="B137" s="21" t="str">
        <f>INDEX(Data[],MATCH($A137,Data[Dist],0),MATCH(B$4,Data[#Headers],0))</f>
        <v>Hampton-Dumont</v>
      </c>
      <c r="C137" s="22">
        <f>INDEX(Data[],MATCH($A137,Data[Dist],0),MATCH(C$4,Data[#Headers],0))</f>
        <v>8008227</v>
      </c>
      <c r="D137" s="22">
        <f>INDEX(Data[],MATCH($A137,Data[Dist],0),MATCH(D$4,Data[#Headers],0))</f>
        <v>896</v>
      </c>
      <c r="E137" s="22">
        <f>INDEX(Data[],MATCH($A137,Data[Dist],0),MATCH(E$4,Data[#Headers],0))</f>
        <v>0</v>
      </c>
      <c r="F137" s="22">
        <f>IF(Notes!$B$3="Pay 1 Regular State Payment Budget",0,INDEX(Data[],MATCH($A137,Data[Dist],0),MATCH(F$4,Data[#Headers],0)))</f>
        <v>0</v>
      </c>
      <c r="G137" s="22">
        <f>IF(OR(Notes!$B$3="Pay 1 Regular State Payment Budget",Notes!$B$3="Pay 2 Regular State Payment Budget"),0,INDEX(Data[],MATCH($A137,Data[Dist],0),MATCH(G$4,Data[#Headers],0)))</f>
        <v>0</v>
      </c>
      <c r="H137" s="22">
        <f>INDEX(Data[],MATCH($A137,Data[Dist],0),MATCH(H$4,Data[#Headers],0))</f>
        <v>8007331</v>
      </c>
    </row>
    <row r="138" spans="1:8" s="21" customFormat="1" ht="12.75" x14ac:dyDescent="0.2">
      <c r="A138" s="20" t="str">
        <f>Data!B134</f>
        <v>2826</v>
      </c>
      <c r="B138" s="21" t="str">
        <f>INDEX(Data[],MATCH($A138,Data[Dist],0),MATCH(B$4,Data[#Headers],0))</f>
        <v>Harlan</v>
      </c>
      <c r="C138" s="22">
        <f>INDEX(Data[],MATCH($A138,Data[Dist],0),MATCH(C$4,Data[#Headers],0))</f>
        <v>9523192</v>
      </c>
      <c r="D138" s="22">
        <f>INDEX(Data[],MATCH($A138,Data[Dist],0),MATCH(D$4,Data[#Headers],0))</f>
        <v>1360</v>
      </c>
      <c r="E138" s="22">
        <f>INDEX(Data[],MATCH($A138,Data[Dist],0),MATCH(E$4,Data[#Headers],0))</f>
        <v>0</v>
      </c>
      <c r="F138" s="22">
        <f>IF(Notes!$B$3="Pay 1 Regular State Payment Budget",0,INDEX(Data[],MATCH($A138,Data[Dist],0),MATCH(F$4,Data[#Headers],0)))</f>
        <v>0</v>
      </c>
      <c r="G138" s="22">
        <f>IF(OR(Notes!$B$3="Pay 1 Regular State Payment Budget",Notes!$B$3="Pay 2 Regular State Payment Budget"),0,INDEX(Data[],MATCH($A138,Data[Dist],0),MATCH(G$4,Data[#Headers],0)))</f>
        <v>0</v>
      </c>
      <c r="H138" s="22">
        <f>INDEX(Data[],MATCH($A138,Data[Dist],0),MATCH(H$4,Data[#Headers],0))</f>
        <v>9521832</v>
      </c>
    </row>
    <row r="139" spans="1:8" s="21" customFormat="1" ht="12.75" x14ac:dyDescent="0.2">
      <c r="A139" s="20" t="str">
        <f>Data!B135</f>
        <v>2846</v>
      </c>
      <c r="B139" s="21" t="str">
        <f>INDEX(Data[],MATCH($A139,Data[Dist],0),MATCH(B$4,Data[#Headers],0))</f>
        <v>Harris-Lake Park</v>
      </c>
      <c r="C139" s="22">
        <f>INDEX(Data[],MATCH($A139,Data[Dist],0),MATCH(C$4,Data[#Headers],0))</f>
        <v>1141706</v>
      </c>
      <c r="D139" s="22">
        <f>INDEX(Data[],MATCH($A139,Data[Dist],0),MATCH(D$4,Data[#Headers],0))</f>
        <v>249</v>
      </c>
      <c r="E139" s="22">
        <f>INDEX(Data[],MATCH($A139,Data[Dist],0),MATCH(E$4,Data[#Headers],0))</f>
        <v>0</v>
      </c>
      <c r="F139" s="22">
        <f>IF(Notes!$B$3="Pay 1 Regular State Payment Budget",0,INDEX(Data[],MATCH($A139,Data[Dist],0),MATCH(F$4,Data[#Headers],0)))</f>
        <v>0</v>
      </c>
      <c r="G139" s="22">
        <f>IF(OR(Notes!$B$3="Pay 1 Regular State Payment Budget",Notes!$B$3="Pay 2 Regular State Payment Budget"),0,INDEX(Data[],MATCH($A139,Data[Dist],0),MATCH(G$4,Data[#Headers],0)))</f>
        <v>0</v>
      </c>
      <c r="H139" s="22">
        <f>INDEX(Data[],MATCH($A139,Data[Dist],0),MATCH(H$4,Data[#Headers],0))</f>
        <v>1141457</v>
      </c>
    </row>
    <row r="140" spans="1:8" s="21" customFormat="1" ht="12.75" x14ac:dyDescent="0.2">
      <c r="A140" s="20" t="str">
        <f>Data!B136</f>
        <v>2862</v>
      </c>
      <c r="B140" s="21" t="str">
        <f>INDEX(Data[],MATCH($A140,Data[Dist],0),MATCH(B$4,Data[#Headers],0))</f>
        <v>Hartley-Melvin-Sanborn</v>
      </c>
      <c r="C140" s="22">
        <f>INDEX(Data[],MATCH($A140,Data[Dist],0),MATCH(C$4,Data[#Headers],0))</f>
        <v>3254577</v>
      </c>
      <c r="D140" s="22">
        <f>INDEX(Data[],MATCH($A140,Data[Dist],0),MATCH(D$4,Data[#Headers],0))</f>
        <v>614</v>
      </c>
      <c r="E140" s="22">
        <f>INDEX(Data[],MATCH($A140,Data[Dist],0),MATCH(E$4,Data[#Headers],0))</f>
        <v>0</v>
      </c>
      <c r="F140" s="22">
        <f>IF(Notes!$B$3="Pay 1 Regular State Payment Budget",0,INDEX(Data[],MATCH($A140,Data[Dist],0),MATCH(F$4,Data[#Headers],0)))</f>
        <v>0</v>
      </c>
      <c r="G140" s="22">
        <f>IF(OR(Notes!$B$3="Pay 1 Regular State Payment Budget",Notes!$B$3="Pay 2 Regular State Payment Budget"),0,INDEX(Data[],MATCH($A140,Data[Dist],0),MATCH(G$4,Data[#Headers],0)))</f>
        <v>0</v>
      </c>
      <c r="H140" s="22">
        <f>INDEX(Data[],MATCH($A140,Data[Dist],0),MATCH(H$4,Data[#Headers],0))</f>
        <v>3253963</v>
      </c>
    </row>
    <row r="141" spans="1:8" s="21" customFormat="1" ht="12.75" x14ac:dyDescent="0.2">
      <c r="A141" s="20" t="str">
        <f>Data!B137</f>
        <v>2977</v>
      </c>
      <c r="B141" s="21" t="str">
        <f>INDEX(Data[],MATCH($A141,Data[Dist],0),MATCH(B$4,Data[#Headers],0))</f>
        <v>Highland</v>
      </c>
      <c r="C141" s="22">
        <f>INDEX(Data[],MATCH($A141,Data[Dist],0),MATCH(C$4,Data[#Headers],0))</f>
        <v>3481668</v>
      </c>
      <c r="D141" s="22">
        <f>INDEX(Data[],MATCH($A141,Data[Dist],0),MATCH(D$4,Data[#Headers],0))</f>
        <v>580</v>
      </c>
      <c r="E141" s="22">
        <f>INDEX(Data[],MATCH($A141,Data[Dist],0),MATCH(E$4,Data[#Headers],0))</f>
        <v>0</v>
      </c>
      <c r="F141" s="22">
        <f>IF(Notes!$B$3="Pay 1 Regular State Payment Budget",0,INDEX(Data[],MATCH($A141,Data[Dist],0),MATCH(F$4,Data[#Headers],0)))</f>
        <v>0</v>
      </c>
      <c r="G141" s="22">
        <f>IF(OR(Notes!$B$3="Pay 1 Regular State Payment Budget",Notes!$B$3="Pay 2 Regular State Payment Budget"),0,INDEX(Data[],MATCH($A141,Data[Dist],0),MATCH(G$4,Data[#Headers],0)))</f>
        <v>0</v>
      </c>
      <c r="H141" s="22">
        <f>INDEX(Data[],MATCH($A141,Data[Dist],0),MATCH(H$4,Data[#Headers],0))</f>
        <v>3481088</v>
      </c>
    </row>
    <row r="142" spans="1:8" s="21" customFormat="1" ht="12.75" x14ac:dyDescent="0.2">
      <c r="A142" s="20" t="str">
        <f>Data!B138</f>
        <v>2988</v>
      </c>
      <c r="B142" s="21" t="str">
        <f>INDEX(Data[],MATCH($A142,Data[Dist],0),MATCH(B$4,Data[#Headers],0))</f>
        <v>Hinton</v>
      </c>
      <c r="C142" s="22">
        <f>INDEX(Data[],MATCH($A142,Data[Dist],0),MATCH(C$4,Data[#Headers],0))</f>
        <v>3695278</v>
      </c>
      <c r="D142" s="22">
        <f>INDEX(Data[],MATCH($A142,Data[Dist],0),MATCH(D$4,Data[#Headers],0))</f>
        <v>580</v>
      </c>
      <c r="E142" s="22">
        <f>INDEX(Data[],MATCH($A142,Data[Dist],0),MATCH(E$4,Data[#Headers],0))</f>
        <v>0</v>
      </c>
      <c r="F142" s="22">
        <f>IF(Notes!$B$3="Pay 1 Regular State Payment Budget",0,INDEX(Data[],MATCH($A142,Data[Dist],0),MATCH(F$4,Data[#Headers],0)))</f>
        <v>0</v>
      </c>
      <c r="G142" s="22">
        <f>IF(OR(Notes!$B$3="Pay 1 Regular State Payment Budget",Notes!$B$3="Pay 2 Regular State Payment Budget"),0,INDEX(Data[],MATCH($A142,Data[Dist],0),MATCH(G$4,Data[#Headers],0)))</f>
        <v>0</v>
      </c>
      <c r="H142" s="22">
        <f>INDEX(Data[],MATCH($A142,Data[Dist],0),MATCH(H$4,Data[#Headers],0))</f>
        <v>3694698</v>
      </c>
    </row>
    <row r="143" spans="1:8" s="21" customFormat="1" ht="12.75" x14ac:dyDescent="0.2">
      <c r="A143" s="20" t="str">
        <f>Data!B139</f>
        <v>3029</v>
      </c>
      <c r="B143" s="21" t="str">
        <f>INDEX(Data[],MATCH($A143,Data[Dist],0),MATCH(B$4,Data[#Headers],0))</f>
        <v>Howard-Winneshiek</v>
      </c>
      <c r="C143" s="22">
        <f>INDEX(Data[],MATCH($A143,Data[Dist],0),MATCH(C$4,Data[#Headers],0))</f>
        <v>7475304</v>
      </c>
      <c r="D143" s="22">
        <f>INDEX(Data[],MATCH($A143,Data[Dist],0),MATCH(D$4,Data[#Headers],0))</f>
        <v>1045</v>
      </c>
      <c r="E143" s="22">
        <f>INDEX(Data[],MATCH($A143,Data[Dist],0),MATCH(E$4,Data[#Headers],0))</f>
        <v>0</v>
      </c>
      <c r="F143" s="22">
        <f>IF(Notes!$B$3="Pay 1 Regular State Payment Budget",0,INDEX(Data[],MATCH($A143,Data[Dist],0),MATCH(F$4,Data[#Headers],0)))</f>
        <v>0</v>
      </c>
      <c r="G143" s="22">
        <f>IF(OR(Notes!$B$3="Pay 1 Regular State Payment Budget",Notes!$B$3="Pay 2 Regular State Payment Budget"),0,INDEX(Data[],MATCH($A143,Data[Dist],0),MATCH(G$4,Data[#Headers],0)))</f>
        <v>0</v>
      </c>
      <c r="H143" s="22">
        <f>INDEX(Data[],MATCH($A143,Data[Dist],0),MATCH(H$4,Data[#Headers],0))</f>
        <v>7474259</v>
      </c>
    </row>
    <row r="144" spans="1:8" s="21" customFormat="1" ht="12.75" x14ac:dyDescent="0.2">
      <c r="A144" s="20" t="str">
        <f>Data!B140</f>
        <v>3033</v>
      </c>
      <c r="B144" s="21" t="str">
        <f>INDEX(Data[],MATCH($A144,Data[Dist],0),MATCH(B$4,Data[#Headers],0))</f>
        <v>Hubbard-Radcliffe</v>
      </c>
      <c r="C144" s="22">
        <f>INDEX(Data[],MATCH($A144,Data[Dist],0),MATCH(C$4,Data[#Headers],0))</f>
        <v>1963037</v>
      </c>
      <c r="D144" s="22">
        <f>INDEX(Data[],MATCH($A144,Data[Dist],0),MATCH(D$4,Data[#Headers],0))</f>
        <v>431</v>
      </c>
      <c r="E144" s="22">
        <f>INDEX(Data[],MATCH($A144,Data[Dist],0),MATCH(E$4,Data[#Headers],0))</f>
        <v>0</v>
      </c>
      <c r="F144" s="22">
        <f>IF(Notes!$B$3="Pay 1 Regular State Payment Budget",0,INDEX(Data[],MATCH($A144,Data[Dist],0),MATCH(F$4,Data[#Headers],0)))</f>
        <v>0</v>
      </c>
      <c r="G144" s="22">
        <f>IF(OR(Notes!$B$3="Pay 1 Regular State Payment Budget",Notes!$B$3="Pay 2 Regular State Payment Budget"),0,INDEX(Data[],MATCH($A144,Data[Dist],0),MATCH(G$4,Data[#Headers],0)))</f>
        <v>0</v>
      </c>
      <c r="H144" s="22">
        <f>INDEX(Data[],MATCH($A144,Data[Dist],0),MATCH(H$4,Data[#Headers],0))</f>
        <v>1962606</v>
      </c>
    </row>
    <row r="145" spans="1:8" s="21" customFormat="1" ht="12.75" x14ac:dyDescent="0.2">
      <c r="A145" s="20" t="str">
        <f>Data!B141</f>
        <v>3042</v>
      </c>
      <c r="B145" s="21" t="str">
        <f>INDEX(Data[],MATCH($A145,Data[Dist],0),MATCH(B$4,Data[#Headers],0))</f>
        <v>Hudson</v>
      </c>
      <c r="C145" s="22">
        <f>INDEX(Data[],MATCH($A145,Data[Dist],0),MATCH(C$4,Data[#Headers],0))</f>
        <v>5590895</v>
      </c>
      <c r="D145" s="22">
        <f>INDEX(Data[],MATCH($A145,Data[Dist],0),MATCH(D$4,Data[#Headers],0))</f>
        <v>680</v>
      </c>
      <c r="E145" s="22">
        <f>INDEX(Data[],MATCH($A145,Data[Dist],0),MATCH(E$4,Data[#Headers],0))</f>
        <v>0</v>
      </c>
      <c r="F145" s="22">
        <f>IF(Notes!$B$3="Pay 1 Regular State Payment Budget",0,INDEX(Data[],MATCH($A145,Data[Dist],0),MATCH(F$4,Data[#Headers],0)))</f>
        <v>0</v>
      </c>
      <c r="G145" s="22">
        <f>IF(OR(Notes!$B$3="Pay 1 Regular State Payment Budget",Notes!$B$3="Pay 2 Regular State Payment Budget"),0,INDEX(Data[],MATCH($A145,Data[Dist],0),MATCH(G$4,Data[#Headers],0)))</f>
        <v>0</v>
      </c>
      <c r="H145" s="22">
        <f>INDEX(Data[],MATCH($A145,Data[Dist],0),MATCH(H$4,Data[#Headers],0))</f>
        <v>5590215</v>
      </c>
    </row>
    <row r="146" spans="1:8" s="21" customFormat="1" ht="12.75" x14ac:dyDescent="0.2">
      <c r="A146" s="20" t="str">
        <f>Data!B142</f>
        <v>3060</v>
      </c>
      <c r="B146" s="21" t="str">
        <f>INDEX(Data[],MATCH($A146,Data[Dist],0),MATCH(B$4,Data[#Headers],0))</f>
        <v>Humboldt</v>
      </c>
      <c r="C146" s="22">
        <f>INDEX(Data[],MATCH($A146,Data[Dist],0),MATCH(C$4,Data[#Headers],0))</f>
        <v>8380694</v>
      </c>
      <c r="D146" s="22">
        <f>INDEX(Data[],MATCH($A146,Data[Dist],0),MATCH(D$4,Data[#Headers],0))</f>
        <v>1194</v>
      </c>
      <c r="E146" s="22">
        <f>INDEX(Data[],MATCH($A146,Data[Dist],0),MATCH(E$4,Data[#Headers],0))</f>
        <v>0</v>
      </c>
      <c r="F146" s="22">
        <f>IF(Notes!$B$3="Pay 1 Regular State Payment Budget",0,INDEX(Data[],MATCH($A146,Data[Dist],0),MATCH(F$4,Data[#Headers],0)))</f>
        <v>0</v>
      </c>
      <c r="G146" s="22">
        <f>IF(OR(Notes!$B$3="Pay 1 Regular State Payment Budget",Notes!$B$3="Pay 2 Regular State Payment Budget"),0,INDEX(Data[],MATCH($A146,Data[Dist],0),MATCH(G$4,Data[#Headers],0)))</f>
        <v>0</v>
      </c>
      <c r="H146" s="22">
        <f>INDEX(Data[],MATCH($A146,Data[Dist],0),MATCH(H$4,Data[#Headers],0))</f>
        <v>8379500</v>
      </c>
    </row>
    <row r="147" spans="1:8" s="21" customFormat="1" ht="12.75" x14ac:dyDescent="0.2">
      <c r="A147" s="20" t="str">
        <f>Data!B143</f>
        <v>3105</v>
      </c>
      <c r="B147" s="21" t="str">
        <f>INDEX(Data[],MATCH($A147,Data[Dist],0),MATCH(B$4,Data[#Headers],0))</f>
        <v>Independence</v>
      </c>
      <c r="C147" s="22">
        <f>INDEX(Data[],MATCH($A147,Data[Dist],0),MATCH(C$4,Data[#Headers],0))</f>
        <v>10232469</v>
      </c>
      <c r="D147" s="22">
        <f>INDEX(Data[],MATCH($A147,Data[Dist],0),MATCH(D$4,Data[#Headers],0))</f>
        <v>1725</v>
      </c>
      <c r="E147" s="22">
        <f>INDEX(Data[],MATCH($A147,Data[Dist],0),MATCH(E$4,Data[#Headers],0))</f>
        <v>0</v>
      </c>
      <c r="F147" s="22">
        <f>IF(Notes!$B$3="Pay 1 Regular State Payment Budget",0,INDEX(Data[],MATCH($A147,Data[Dist],0),MATCH(F$4,Data[#Headers],0)))</f>
        <v>0</v>
      </c>
      <c r="G147" s="22">
        <f>IF(OR(Notes!$B$3="Pay 1 Regular State Payment Budget",Notes!$B$3="Pay 2 Regular State Payment Budget"),0,INDEX(Data[],MATCH($A147,Data[Dist],0),MATCH(G$4,Data[#Headers],0)))</f>
        <v>0</v>
      </c>
      <c r="H147" s="22">
        <f>INDEX(Data[],MATCH($A147,Data[Dist],0),MATCH(H$4,Data[#Headers],0))</f>
        <v>10230744</v>
      </c>
    </row>
    <row r="148" spans="1:8" s="21" customFormat="1" ht="12.75" x14ac:dyDescent="0.2">
      <c r="A148" s="20" t="str">
        <f>Data!B144</f>
        <v>3114</v>
      </c>
      <c r="B148" s="21" t="str">
        <f>INDEX(Data[],MATCH($A148,Data[Dist],0),MATCH(B$4,Data[#Headers],0))</f>
        <v>Indianola</v>
      </c>
      <c r="C148" s="22">
        <f>INDEX(Data[],MATCH($A148,Data[Dist],0),MATCH(C$4,Data[#Headers],0))</f>
        <v>26123950</v>
      </c>
      <c r="D148" s="22">
        <f>INDEX(Data[],MATCH($A148,Data[Dist],0),MATCH(D$4,Data[#Headers],0))</f>
        <v>2007</v>
      </c>
      <c r="E148" s="22">
        <f>INDEX(Data[],MATCH($A148,Data[Dist],0),MATCH(E$4,Data[#Headers],0))</f>
        <v>6608</v>
      </c>
      <c r="F148" s="22">
        <f>IF(Notes!$B$3="Pay 1 Regular State Payment Budget",0,INDEX(Data[],MATCH($A148,Data[Dist],0),MATCH(F$4,Data[#Headers],0)))</f>
        <v>0</v>
      </c>
      <c r="G148" s="22">
        <f>IF(OR(Notes!$B$3="Pay 1 Regular State Payment Budget",Notes!$B$3="Pay 2 Regular State Payment Budget"),0,INDEX(Data[],MATCH($A148,Data[Dist],0),MATCH(G$4,Data[#Headers],0)))</f>
        <v>0</v>
      </c>
      <c r="H148" s="22">
        <f>INDEX(Data[],MATCH($A148,Data[Dist],0),MATCH(H$4,Data[#Headers],0))</f>
        <v>26115335</v>
      </c>
    </row>
    <row r="149" spans="1:8" s="21" customFormat="1" ht="12.75" x14ac:dyDescent="0.2">
      <c r="A149" s="20" t="str">
        <f>Data!B145</f>
        <v>3119</v>
      </c>
      <c r="B149" s="21" t="str">
        <f>INDEX(Data[],MATCH($A149,Data[Dist],0),MATCH(B$4,Data[#Headers],0))</f>
        <v>Interstate 35</v>
      </c>
      <c r="C149" s="22">
        <f>INDEX(Data[],MATCH($A149,Data[Dist],0),MATCH(C$4,Data[#Headers],0))</f>
        <v>6014722</v>
      </c>
      <c r="D149" s="22">
        <f>INDEX(Data[],MATCH($A149,Data[Dist],0),MATCH(D$4,Data[#Headers],0))</f>
        <v>647</v>
      </c>
      <c r="E149" s="22">
        <f>INDEX(Data[],MATCH($A149,Data[Dist],0),MATCH(E$4,Data[#Headers],0))</f>
        <v>0</v>
      </c>
      <c r="F149" s="22">
        <f>IF(Notes!$B$3="Pay 1 Regular State Payment Budget",0,INDEX(Data[],MATCH($A149,Data[Dist],0),MATCH(F$4,Data[#Headers],0)))</f>
        <v>0</v>
      </c>
      <c r="G149" s="22">
        <f>IF(OR(Notes!$B$3="Pay 1 Regular State Payment Budget",Notes!$B$3="Pay 2 Regular State Payment Budget"),0,INDEX(Data[],MATCH($A149,Data[Dist],0),MATCH(G$4,Data[#Headers],0)))</f>
        <v>0</v>
      </c>
      <c r="H149" s="22">
        <f>INDEX(Data[],MATCH($A149,Data[Dist],0),MATCH(H$4,Data[#Headers],0))</f>
        <v>6014075</v>
      </c>
    </row>
    <row r="150" spans="1:8" s="21" customFormat="1" ht="12.75" x14ac:dyDescent="0.2">
      <c r="A150" s="20" t="str">
        <f>Data!B146</f>
        <v>3141</v>
      </c>
      <c r="B150" s="21" t="str">
        <f>INDEX(Data[],MATCH($A150,Data[Dist],0),MATCH(B$4,Data[#Headers],0))</f>
        <v>Iowa City</v>
      </c>
      <c r="C150" s="22">
        <f>INDEX(Data[],MATCH($A150,Data[Dist],0),MATCH(C$4,Data[#Headers],0))</f>
        <v>91830657</v>
      </c>
      <c r="D150" s="22">
        <f>INDEX(Data[],MATCH($A150,Data[Dist],0),MATCH(D$4,Data[#Headers],0))</f>
        <v>7695</v>
      </c>
      <c r="E150" s="22">
        <f>INDEX(Data[],MATCH($A150,Data[Dist],0),MATCH(E$4,Data[#Headers],0))</f>
        <v>8712</v>
      </c>
      <c r="F150" s="22">
        <f>IF(Notes!$B$3="Pay 1 Regular State Payment Budget",0,INDEX(Data[],MATCH($A150,Data[Dist],0),MATCH(F$4,Data[#Headers],0)))</f>
        <v>0</v>
      </c>
      <c r="G150" s="22">
        <f>IF(OR(Notes!$B$3="Pay 1 Regular State Payment Budget",Notes!$B$3="Pay 2 Regular State Payment Budget"),0,INDEX(Data[],MATCH($A150,Data[Dist],0),MATCH(G$4,Data[#Headers],0)))</f>
        <v>0</v>
      </c>
      <c r="H150" s="22">
        <f>INDEX(Data[],MATCH($A150,Data[Dist],0),MATCH(H$4,Data[#Headers],0))</f>
        <v>91814250</v>
      </c>
    </row>
    <row r="151" spans="1:8" s="21" customFormat="1" ht="12.75" x14ac:dyDescent="0.2">
      <c r="A151" s="20" t="str">
        <f>Data!B147</f>
        <v>3150</v>
      </c>
      <c r="B151" s="21" t="str">
        <f>INDEX(Data[],MATCH($A151,Data[Dist],0),MATCH(B$4,Data[#Headers],0))</f>
        <v>Iowa Falls</v>
      </c>
      <c r="C151" s="22">
        <f>INDEX(Data[],MATCH($A151,Data[Dist],0),MATCH(C$4,Data[#Headers],0))</f>
        <v>6993269</v>
      </c>
      <c r="D151" s="22">
        <f>INDEX(Data[],MATCH($A151,Data[Dist],0),MATCH(D$4,Data[#Headers],0))</f>
        <v>1028</v>
      </c>
      <c r="E151" s="22">
        <f>INDEX(Data[],MATCH($A151,Data[Dist],0),MATCH(E$4,Data[#Headers],0))</f>
        <v>0</v>
      </c>
      <c r="F151" s="22">
        <f>IF(Notes!$B$3="Pay 1 Regular State Payment Budget",0,INDEX(Data[],MATCH($A151,Data[Dist],0),MATCH(F$4,Data[#Headers],0)))</f>
        <v>0</v>
      </c>
      <c r="G151" s="22">
        <f>IF(OR(Notes!$B$3="Pay 1 Regular State Payment Budget",Notes!$B$3="Pay 2 Regular State Payment Budget"),0,INDEX(Data[],MATCH($A151,Data[Dist],0),MATCH(G$4,Data[#Headers],0)))</f>
        <v>0</v>
      </c>
      <c r="H151" s="22">
        <f>INDEX(Data[],MATCH($A151,Data[Dist],0),MATCH(H$4,Data[#Headers],0))</f>
        <v>6992241</v>
      </c>
    </row>
    <row r="152" spans="1:8" s="21" customFormat="1" ht="12.75" x14ac:dyDescent="0.2">
      <c r="A152" s="20" t="str">
        <f>Data!B148</f>
        <v>3154</v>
      </c>
      <c r="B152" s="21" t="str">
        <f>INDEX(Data[],MATCH($A152,Data[Dist],0),MATCH(B$4,Data[#Headers],0))</f>
        <v>Iowa Valley</v>
      </c>
      <c r="C152" s="22">
        <f>INDEX(Data[],MATCH($A152,Data[Dist],0),MATCH(C$4,Data[#Headers],0))</f>
        <v>3602176</v>
      </c>
      <c r="D152" s="22">
        <f>INDEX(Data[],MATCH($A152,Data[Dist],0),MATCH(D$4,Data[#Headers],0))</f>
        <v>514</v>
      </c>
      <c r="E152" s="22">
        <f>INDEX(Data[],MATCH($A152,Data[Dist],0),MATCH(E$4,Data[#Headers],0))</f>
        <v>0</v>
      </c>
      <c r="F152" s="22">
        <f>IF(Notes!$B$3="Pay 1 Regular State Payment Budget",0,INDEX(Data[],MATCH($A152,Data[Dist],0),MATCH(F$4,Data[#Headers],0)))</f>
        <v>0</v>
      </c>
      <c r="G152" s="22">
        <f>IF(OR(Notes!$B$3="Pay 1 Regular State Payment Budget",Notes!$B$3="Pay 2 Regular State Payment Budget"),0,INDEX(Data[],MATCH($A152,Data[Dist],0),MATCH(G$4,Data[#Headers],0)))</f>
        <v>0</v>
      </c>
      <c r="H152" s="22">
        <f>INDEX(Data[],MATCH($A152,Data[Dist],0),MATCH(H$4,Data[#Headers],0))</f>
        <v>3601662</v>
      </c>
    </row>
    <row r="153" spans="1:8" s="21" customFormat="1" ht="12.75" x14ac:dyDescent="0.2">
      <c r="A153" s="20" t="str">
        <f>Data!B149</f>
        <v>3168</v>
      </c>
      <c r="B153" s="21" t="str">
        <f>INDEX(Data[],MATCH($A153,Data[Dist],0),MATCH(B$4,Data[#Headers],0))</f>
        <v>IKM-Manning</v>
      </c>
      <c r="C153" s="22">
        <f>INDEX(Data[],MATCH($A153,Data[Dist],0),MATCH(C$4,Data[#Headers],0))</f>
        <v>3845428</v>
      </c>
      <c r="D153" s="22">
        <f>INDEX(Data[],MATCH($A153,Data[Dist],0),MATCH(D$4,Data[#Headers],0))</f>
        <v>796</v>
      </c>
      <c r="E153" s="22">
        <f>INDEX(Data[],MATCH($A153,Data[Dist],0),MATCH(E$4,Data[#Headers],0))</f>
        <v>0</v>
      </c>
      <c r="F153" s="22">
        <f>IF(Notes!$B$3="Pay 1 Regular State Payment Budget",0,INDEX(Data[],MATCH($A153,Data[Dist],0),MATCH(F$4,Data[#Headers],0)))</f>
        <v>0</v>
      </c>
      <c r="G153" s="22">
        <f>IF(OR(Notes!$B$3="Pay 1 Regular State Payment Budget",Notes!$B$3="Pay 2 Regular State Payment Budget"),0,INDEX(Data[],MATCH($A153,Data[Dist],0),MATCH(G$4,Data[#Headers],0)))</f>
        <v>0</v>
      </c>
      <c r="H153" s="22">
        <f>INDEX(Data[],MATCH($A153,Data[Dist],0),MATCH(H$4,Data[#Headers],0))</f>
        <v>3844632</v>
      </c>
    </row>
    <row r="154" spans="1:8" s="21" customFormat="1" ht="12.75" x14ac:dyDescent="0.2">
      <c r="A154" s="20" t="str">
        <f>Data!B150</f>
        <v>3186</v>
      </c>
      <c r="B154" s="21" t="str">
        <f>INDEX(Data[],MATCH($A154,Data[Dist],0),MATCH(B$4,Data[#Headers],0))</f>
        <v>Janesville</v>
      </c>
      <c r="C154" s="22">
        <f>INDEX(Data[],MATCH($A154,Data[Dist],0),MATCH(C$4,Data[#Headers],0))</f>
        <v>3278191</v>
      </c>
      <c r="D154" s="22">
        <f>INDEX(Data[],MATCH($A154,Data[Dist],0),MATCH(D$4,Data[#Headers],0))</f>
        <v>647</v>
      </c>
      <c r="E154" s="22">
        <f>INDEX(Data[],MATCH($A154,Data[Dist],0),MATCH(E$4,Data[#Headers],0))</f>
        <v>0</v>
      </c>
      <c r="F154" s="22">
        <f>IF(Notes!$B$3="Pay 1 Regular State Payment Budget",0,INDEX(Data[],MATCH($A154,Data[Dist],0),MATCH(F$4,Data[#Headers],0)))</f>
        <v>0</v>
      </c>
      <c r="G154" s="22">
        <f>IF(OR(Notes!$B$3="Pay 1 Regular State Payment Budget",Notes!$B$3="Pay 2 Regular State Payment Budget"),0,INDEX(Data[],MATCH($A154,Data[Dist],0),MATCH(G$4,Data[#Headers],0)))</f>
        <v>0</v>
      </c>
      <c r="H154" s="22">
        <f>INDEX(Data[],MATCH($A154,Data[Dist],0),MATCH(H$4,Data[#Headers],0))</f>
        <v>3277544</v>
      </c>
    </row>
    <row r="155" spans="1:8" s="21" customFormat="1" ht="12.75" x14ac:dyDescent="0.2">
      <c r="A155" s="20" t="str">
        <f>Data!B151</f>
        <v>3195</v>
      </c>
      <c r="B155" s="21" t="str">
        <f>INDEX(Data[],MATCH($A155,Data[Dist],0),MATCH(B$4,Data[#Headers],0))</f>
        <v>Greene County</v>
      </c>
      <c r="C155" s="22">
        <f>INDEX(Data[],MATCH($A155,Data[Dist],0),MATCH(C$4,Data[#Headers],0))</f>
        <v>7618874</v>
      </c>
      <c r="D155" s="22">
        <f>INDEX(Data[],MATCH($A155,Data[Dist],0),MATCH(D$4,Data[#Headers],0))</f>
        <v>1294</v>
      </c>
      <c r="E155" s="22">
        <f>INDEX(Data[],MATCH($A155,Data[Dist],0),MATCH(E$4,Data[#Headers],0))</f>
        <v>0</v>
      </c>
      <c r="F155" s="22">
        <f>IF(Notes!$B$3="Pay 1 Regular State Payment Budget",0,INDEX(Data[],MATCH($A155,Data[Dist],0),MATCH(F$4,Data[#Headers],0)))</f>
        <v>0</v>
      </c>
      <c r="G155" s="22">
        <f>IF(OR(Notes!$B$3="Pay 1 Regular State Payment Budget",Notes!$B$3="Pay 2 Regular State Payment Budget"),0,INDEX(Data[],MATCH($A155,Data[Dist],0),MATCH(G$4,Data[#Headers],0)))</f>
        <v>0</v>
      </c>
      <c r="H155" s="22">
        <f>INDEX(Data[],MATCH($A155,Data[Dist],0),MATCH(H$4,Data[#Headers],0))</f>
        <v>7617580</v>
      </c>
    </row>
    <row r="156" spans="1:8" s="21" customFormat="1" ht="12.75" x14ac:dyDescent="0.2">
      <c r="A156" s="20" t="str">
        <f>Data!B152</f>
        <v>3204</v>
      </c>
      <c r="B156" s="21" t="str">
        <f>INDEX(Data[],MATCH($A156,Data[Dist],0),MATCH(B$4,Data[#Headers],0))</f>
        <v>Jesup</v>
      </c>
      <c r="C156" s="22">
        <f>INDEX(Data[],MATCH($A156,Data[Dist],0),MATCH(C$4,Data[#Headers],0))</f>
        <v>6491414</v>
      </c>
      <c r="D156" s="22">
        <f>INDEX(Data[],MATCH($A156,Data[Dist],0),MATCH(D$4,Data[#Headers],0))</f>
        <v>1012</v>
      </c>
      <c r="E156" s="22">
        <f>INDEX(Data[],MATCH($A156,Data[Dist],0),MATCH(E$4,Data[#Headers],0))</f>
        <v>0</v>
      </c>
      <c r="F156" s="22">
        <f>IF(Notes!$B$3="Pay 1 Regular State Payment Budget",0,INDEX(Data[],MATCH($A156,Data[Dist],0),MATCH(F$4,Data[#Headers],0)))</f>
        <v>0</v>
      </c>
      <c r="G156" s="22">
        <f>IF(OR(Notes!$B$3="Pay 1 Regular State Payment Budget",Notes!$B$3="Pay 2 Regular State Payment Budget"),0,INDEX(Data[],MATCH($A156,Data[Dist],0),MATCH(G$4,Data[#Headers],0)))</f>
        <v>0</v>
      </c>
      <c r="H156" s="22">
        <f>INDEX(Data[],MATCH($A156,Data[Dist],0),MATCH(H$4,Data[#Headers],0))</f>
        <v>6490402</v>
      </c>
    </row>
    <row r="157" spans="1:8" s="21" customFormat="1" ht="12.75" x14ac:dyDescent="0.2">
      <c r="A157" s="20" t="str">
        <f>Data!B153</f>
        <v>3231</v>
      </c>
      <c r="B157" s="21" t="str">
        <f>INDEX(Data[],MATCH($A157,Data[Dist],0),MATCH(B$4,Data[#Headers],0))</f>
        <v>Johnston</v>
      </c>
      <c r="C157" s="22">
        <f>INDEX(Data[],MATCH($A157,Data[Dist],0),MATCH(C$4,Data[#Headers],0))</f>
        <v>48327267</v>
      </c>
      <c r="D157" s="22">
        <f>INDEX(Data[],MATCH($A157,Data[Dist],0),MATCH(D$4,Data[#Headers],0))</f>
        <v>4030</v>
      </c>
      <c r="E157" s="22">
        <f>INDEX(Data[],MATCH($A157,Data[Dist],0),MATCH(E$4,Data[#Headers],0))</f>
        <v>3830</v>
      </c>
      <c r="F157" s="22">
        <f>IF(Notes!$B$3="Pay 1 Regular State Payment Budget",0,INDEX(Data[],MATCH($A157,Data[Dist],0),MATCH(F$4,Data[#Headers],0)))</f>
        <v>0</v>
      </c>
      <c r="G157" s="22">
        <f>IF(OR(Notes!$B$3="Pay 1 Regular State Payment Budget",Notes!$B$3="Pay 2 Regular State Payment Budget"),0,INDEX(Data[],MATCH($A157,Data[Dist],0),MATCH(G$4,Data[#Headers],0)))</f>
        <v>0</v>
      </c>
      <c r="H157" s="22">
        <f>INDEX(Data[],MATCH($A157,Data[Dist],0),MATCH(H$4,Data[#Headers],0))</f>
        <v>48319407</v>
      </c>
    </row>
    <row r="158" spans="1:8" s="21" customFormat="1" ht="12.75" x14ac:dyDescent="0.2">
      <c r="A158" s="20" t="str">
        <f>Data!B154</f>
        <v>3312</v>
      </c>
      <c r="B158" s="21" t="str">
        <f>INDEX(Data[],MATCH($A158,Data[Dist],0),MATCH(B$4,Data[#Headers],0))</f>
        <v>Keokuk</v>
      </c>
      <c r="C158" s="22">
        <f>INDEX(Data[],MATCH($A158,Data[Dist],0),MATCH(C$4,Data[#Headers],0))</f>
        <v>16016553</v>
      </c>
      <c r="D158" s="22">
        <f>INDEX(Data[],MATCH($A158,Data[Dist],0),MATCH(D$4,Data[#Headers],0))</f>
        <v>1542</v>
      </c>
      <c r="E158" s="22">
        <f>INDEX(Data[],MATCH($A158,Data[Dist],0),MATCH(E$4,Data[#Headers],0))</f>
        <v>0</v>
      </c>
      <c r="F158" s="22">
        <f>IF(Notes!$B$3="Pay 1 Regular State Payment Budget",0,INDEX(Data[],MATCH($A158,Data[Dist],0),MATCH(F$4,Data[#Headers],0)))</f>
        <v>0</v>
      </c>
      <c r="G158" s="22">
        <f>IF(OR(Notes!$B$3="Pay 1 Regular State Payment Budget",Notes!$B$3="Pay 2 Regular State Payment Budget"),0,INDEX(Data[],MATCH($A158,Data[Dist],0),MATCH(G$4,Data[#Headers],0)))</f>
        <v>0</v>
      </c>
      <c r="H158" s="22">
        <f>INDEX(Data[],MATCH($A158,Data[Dist],0),MATCH(H$4,Data[#Headers],0))</f>
        <v>16015011</v>
      </c>
    </row>
    <row r="159" spans="1:8" s="21" customFormat="1" ht="12.75" x14ac:dyDescent="0.2">
      <c r="A159" s="20" t="str">
        <f>Data!B155</f>
        <v>3330</v>
      </c>
      <c r="B159" s="21" t="str">
        <f>INDEX(Data[],MATCH($A159,Data[Dist],0),MATCH(B$4,Data[#Headers],0))</f>
        <v>Keota</v>
      </c>
      <c r="C159" s="22">
        <f>INDEX(Data[],MATCH($A159,Data[Dist],0),MATCH(C$4,Data[#Headers],0))</f>
        <v>2258489</v>
      </c>
      <c r="D159" s="22">
        <f>INDEX(Data[],MATCH($A159,Data[Dist],0),MATCH(D$4,Data[#Headers],0))</f>
        <v>315</v>
      </c>
      <c r="E159" s="22">
        <f>INDEX(Data[],MATCH($A159,Data[Dist],0),MATCH(E$4,Data[#Headers],0))</f>
        <v>0</v>
      </c>
      <c r="F159" s="22">
        <f>IF(Notes!$B$3="Pay 1 Regular State Payment Budget",0,INDEX(Data[],MATCH($A159,Data[Dist],0),MATCH(F$4,Data[#Headers],0)))</f>
        <v>0</v>
      </c>
      <c r="G159" s="22">
        <f>IF(OR(Notes!$B$3="Pay 1 Regular State Payment Budget",Notes!$B$3="Pay 2 Regular State Payment Budget"),0,INDEX(Data[],MATCH($A159,Data[Dist],0),MATCH(G$4,Data[#Headers],0)))</f>
        <v>0</v>
      </c>
      <c r="H159" s="22">
        <f>INDEX(Data[],MATCH($A159,Data[Dist],0),MATCH(H$4,Data[#Headers],0))</f>
        <v>2258174</v>
      </c>
    </row>
    <row r="160" spans="1:8" s="21" customFormat="1" ht="12.75" x14ac:dyDescent="0.2">
      <c r="A160" s="20" t="str">
        <f>Data!B156</f>
        <v>3348</v>
      </c>
      <c r="B160" s="21" t="str">
        <f>INDEX(Data[],MATCH($A160,Data[Dist],0),MATCH(B$4,Data[#Headers],0))</f>
        <v>Kingsley-Pierson</v>
      </c>
      <c r="C160" s="22">
        <f>INDEX(Data[],MATCH($A160,Data[Dist],0),MATCH(C$4,Data[#Headers],0))</f>
        <v>3173129</v>
      </c>
      <c r="D160" s="22">
        <f>INDEX(Data[],MATCH($A160,Data[Dist],0),MATCH(D$4,Data[#Headers],0))</f>
        <v>0</v>
      </c>
      <c r="E160" s="22">
        <f>INDEX(Data[],MATCH($A160,Data[Dist],0),MATCH(E$4,Data[#Headers],0))</f>
        <v>0</v>
      </c>
      <c r="F160" s="22">
        <f>IF(Notes!$B$3="Pay 1 Regular State Payment Budget",0,INDEX(Data[],MATCH($A160,Data[Dist],0),MATCH(F$4,Data[#Headers],0)))</f>
        <v>0</v>
      </c>
      <c r="G160" s="22">
        <f>IF(OR(Notes!$B$3="Pay 1 Regular State Payment Budget",Notes!$B$3="Pay 2 Regular State Payment Budget"),0,INDEX(Data[],MATCH($A160,Data[Dist],0),MATCH(G$4,Data[#Headers],0)))</f>
        <v>0</v>
      </c>
      <c r="H160" s="22">
        <f>INDEX(Data[],MATCH($A160,Data[Dist],0),MATCH(H$4,Data[#Headers],0))</f>
        <v>3173129</v>
      </c>
    </row>
    <row r="161" spans="1:8" s="21" customFormat="1" ht="12.75" x14ac:dyDescent="0.2">
      <c r="A161" s="20" t="str">
        <f>Data!B157</f>
        <v>3375</v>
      </c>
      <c r="B161" s="21" t="str">
        <f>INDEX(Data[],MATCH($A161,Data[Dist],0),MATCH(B$4,Data[#Headers],0))</f>
        <v>Knoxville</v>
      </c>
      <c r="C161" s="22">
        <f>INDEX(Data[],MATCH($A161,Data[Dist],0),MATCH(C$4,Data[#Headers],0))</f>
        <v>13665947</v>
      </c>
      <c r="D161" s="22">
        <f>INDEX(Data[],MATCH($A161,Data[Dist],0),MATCH(D$4,Data[#Headers],0))</f>
        <v>1211</v>
      </c>
      <c r="E161" s="22">
        <f>INDEX(Data[],MATCH($A161,Data[Dist],0),MATCH(E$4,Data[#Headers],0))</f>
        <v>3409</v>
      </c>
      <c r="F161" s="22">
        <f>IF(Notes!$B$3="Pay 1 Regular State Payment Budget",0,INDEX(Data[],MATCH($A161,Data[Dist],0),MATCH(F$4,Data[#Headers],0)))</f>
        <v>0</v>
      </c>
      <c r="G161" s="22">
        <f>IF(OR(Notes!$B$3="Pay 1 Regular State Payment Budget",Notes!$B$3="Pay 2 Regular State Payment Budget"),0,INDEX(Data[],MATCH($A161,Data[Dist],0),MATCH(G$4,Data[#Headers],0)))</f>
        <v>0</v>
      </c>
      <c r="H161" s="22">
        <f>INDEX(Data[],MATCH($A161,Data[Dist],0),MATCH(H$4,Data[#Headers],0))</f>
        <v>13661327</v>
      </c>
    </row>
    <row r="162" spans="1:8" s="21" customFormat="1" ht="12.75" x14ac:dyDescent="0.2">
      <c r="A162" s="20" t="str">
        <f>Data!B158</f>
        <v>3420</v>
      </c>
      <c r="B162" s="21" t="str">
        <f>INDEX(Data[],MATCH($A162,Data[Dist],0),MATCH(B$4,Data[#Headers],0))</f>
        <v>Lake Mills</v>
      </c>
      <c r="C162" s="22">
        <f>INDEX(Data[],MATCH($A162,Data[Dist],0),MATCH(C$4,Data[#Headers],0))</f>
        <v>3460838</v>
      </c>
      <c r="D162" s="22">
        <f>INDEX(Data[],MATCH($A162,Data[Dist],0),MATCH(D$4,Data[#Headers],0))</f>
        <v>464</v>
      </c>
      <c r="E162" s="22">
        <f>INDEX(Data[],MATCH($A162,Data[Dist],0),MATCH(E$4,Data[#Headers],0))</f>
        <v>0</v>
      </c>
      <c r="F162" s="22">
        <f>IF(Notes!$B$3="Pay 1 Regular State Payment Budget",0,INDEX(Data[],MATCH($A162,Data[Dist],0),MATCH(F$4,Data[#Headers],0)))</f>
        <v>0</v>
      </c>
      <c r="G162" s="22">
        <f>IF(OR(Notes!$B$3="Pay 1 Regular State Payment Budget",Notes!$B$3="Pay 2 Regular State Payment Budget"),0,INDEX(Data[],MATCH($A162,Data[Dist],0),MATCH(G$4,Data[#Headers],0)))</f>
        <v>0</v>
      </c>
      <c r="H162" s="22">
        <f>INDEX(Data[],MATCH($A162,Data[Dist],0),MATCH(H$4,Data[#Headers],0))</f>
        <v>3460374</v>
      </c>
    </row>
    <row r="163" spans="1:8" s="21" customFormat="1" ht="12.75" x14ac:dyDescent="0.2">
      <c r="A163" s="20" t="str">
        <f>Data!B159</f>
        <v>3465</v>
      </c>
      <c r="B163" s="21" t="str">
        <f>INDEX(Data[],MATCH($A163,Data[Dist],0),MATCH(B$4,Data[#Headers],0))</f>
        <v>Lamoni</v>
      </c>
      <c r="C163" s="22">
        <f>INDEX(Data[],MATCH($A163,Data[Dist],0),MATCH(C$4,Data[#Headers],0))</f>
        <v>2954902</v>
      </c>
      <c r="D163" s="22">
        <f>INDEX(Data[],MATCH($A163,Data[Dist],0),MATCH(D$4,Data[#Headers],0))</f>
        <v>398</v>
      </c>
      <c r="E163" s="22">
        <f>INDEX(Data[],MATCH($A163,Data[Dist],0),MATCH(E$4,Data[#Headers],0))</f>
        <v>0</v>
      </c>
      <c r="F163" s="22">
        <f>IF(Notes!$B$3="Pay 1 Regular State Payment Budget",0,INDEX(Data[],MATCH($A163,Data[Dist],0),MATCH(F$4,Data[#Headers],0)))</f>
        <v>0</v>
      </c>
      <c r="G163" s="22">
        <f>IF(OR(Notes!$B$3="Pay 1 Regular State Payment Budget",Notes!$B$3="Pay 2 Regular State Payment Budget"),0,INDEX(Data[],MATCH($A163,Data[Dist],0),MATCH(G$4,Data[#Headers],0)))</f>
        <v>0</v>
      </c>
      <c r="H163" s="22">
        <f>INDEX(Data[],MATCH($A163,Data[Dist],0),MATCH(H$4,Data[#Headers],0))</f>
        <v>2954504</v>
      </c>
    </row>
    <row r="164" spans="1:8" s="21" customFormat="1" ht="12.75" x14ac:dyDescent="0.2">
      <c r="A164" s="20" t="str">
        <f>Data!B160</f>
        <v>3537</v>
      </c>
      <c r="B164" s="21" t="str">
        <f>INDEX(Data[],MATCH($A164,Data[Dist],0),MATCH(B$4,Data[#Headers],0))</f>
        <v>Laurens-Marathon</v>
      </c>
      <c r="C164" s="22">
        <f>INDEX(Data[],MATCH($A164,Data[Dist],0),MATCH(C$4,Data[#Headers],0))</f>
        <v>1965733</v>
      </c>
      <c r="D164" s="22">
        <f>INDEX(Data[],MATCH($A164,Data[Dist],0),MATCH(D$4,Data[#Headers],0))</f>
        <v>332</v>
      </c>
      <c r="E164" s="22">
        <f>INDEX(Data[],MATCH($A164,Data[Dist],0),MATCH(E$4,Data[#Headers],0))</f>
        <v>0</v>
      </c>
      <c r="F164" s="22">
        <f>IF(Notes!$B$3="Pay 1 Regular State Payment Budget",0,INDEX(Data[],MATCH($A164,Data[Dist],0),MATCH(F$4,Data[#Headers],0)))</f>
        <v>0</v>
      </c>
      <c r="G164" s="22">
        <f>IF(OR(Notes!$B$3="Pay 1 Regular State Payment Budget",Notes!$B$3="Pay 2 Regular State Payment Budget"),0,INDEX(Data[],MATCH($A164,Data[Dist],0),MATCH(G$4,Data[#Headers],0)))</f>
        <v>0</v>
      </c>
      <c r="H164" s="22">
        <f>INDEX(Data[],MATCH($A164,Data[Dist],0),MATCH(H$4,Data[#Headers],0))</f>
        <v>1965401</v>
      </c>
    </row>
    <row r="165" spans="1:8" s="21" customFormat="1" ht="12.75" x14ac:dyDescent="0.2">
      <c r="A165" s="20" t="str">
        <f>Data!B161</f>
        <v>3555</v>
      </c>
      <c r="B165" s="21" t="str">
        <f>INDEX(Data[],MATCH($A165,Data[Dist],0),MATCH(B$4,Data[#Headers],0))</f>
        <v>Lawton-Bronson</v>
      </c>
      <c r="C165" s="22">
        <f>INDEX(Data[],MATCH($A165,Data[Dist],0),MATCH(C$4,Data[#Headers],0))</f>
        <v>4001088</v>
      </c>
      <c r="D165" s="22">
        <f>INDEX(Data[],MATCH($A165,Data[Dist],0),MATCH(D$4,Data[#Headers],0))</f>
        <v>514</v>
      </c>
      <c r="E165" s="22">
        <f>INDEX(Data[],MATCH($A165,Data[Dist],0),MATCH(E$4,Data[#Headers],0))</f>
        <v>0</v>
      </c>
      <c r="F165" s="22">
        <f>IF(Notes!$B$3="Pay 1 Regular State Payment Budget",0,INDEX(Data[],MATCH($A165,Data[Dist],0),MATCH(F$4,Data[#Headers],0)))</f>
        <v>0</v>
      </c>
      <c r="G165" s="22">
        <f>IF(OR(Notes!$B$3="Pay 1 Regular State Payment Budget",Notes!$B$3="Pay 2 Regular State Payment Budget"),0,INDEX(Data[],MATCH($A165,Data[Dist],0),MATCH(G$4,Data[#Headers],0)))</f>
        <v>0</v>
      </c>
      <c r="H165" s="22">
        <f>INDEX(Data[],MATCH($A165,Data[Dist],0),MATCH(H$4,Data[#Headers],0))</f>
        <v>4000574</v>
      </c>
    </row>
    <row r="166" spans="1:8" s="21" customFormat="1" ht="12.75" x14ac:dyDescent="0.2">
      <c r="A166" s="20" t="str">
        <f>Data!B162</f>
        <v>3582</v>
      </c>
      <c r="B166" s="21" t="str">
        <f>INDEX(Data[],MATCH($A166,Data[Dist],0),MATCH(B$4,Data[#Headers],0))</f>
        <v>East Marshall</v>
      </c>
      <c r="C166" s="22">
        <f>INDEX(Data[],MATCH($A166,Data[Dist],0),MATCH(C$4,Data[#Headers],0))</f>
        <v>3126662</v>
      </c>
      <c r="D166" s="22">
        <f>INDEX(Data[],MATCH($A166,Data[Dist],0),MATCH(D$4,Data[#Headers],0))</f>
        <v>381</v>
      </c>
      <c r="E166" s="22">
        <f>INDEX(Data[],MATCH($A166,Data[Dist],0),MATCH(E$4,Data[#Headers],0))</f>
        <v>0</v>
      </c>
      <c r="F166" s="22">
        <f>IF(Notes!$B$3="Pay 1 Regular State Payment Budget",0,INDEX(Data[],MATCH($A166,Data[Dist],0),MATCH(F$4,Data[#Headers],0)))</f>
        <v>0</v>
      </c>
      <c r="G166" s="22">
        <f>IF(OR(Notes!$B$3="Pay 1 Regular State Payment Budget",Notes!$B$3="Pay 2 Regular State Payment Budget"),0,INDEX(Data[],MATCH($A166,Data[Dist],0),MATCH(G$4,Data[#Headers],0)))</f>
        <v>0</v>
      </c>
      <c r="H166" s="22">
        <f>INDEX(Data[],MATCH($A166,Data[Dist],0),MATCH(H$4,Data[#Headers],0))</f>
        <v>3126281</v>
      </c>
    </row>
    <row r="167" spans="1:8" s="21" customFormat="1" ht="12.75" x14ac:dyDescent="0.2">
      <c r="A167" s="20" t="str">
        <f>Data!B163</f>
        <v>3600</v>
      </c>
      <c r="B167" s="21" t="str">
        <f>INDEX(Data[],MATCH($A167,Data[Dist],0),MATCH(B$4,Data[#Headers],0))</f>
        <v>Le Mars</v>
      </c>
      <c r="C167" s="22">
        <f>INDEX(Data[],MATCH($A167,Data[Dist],0),MATCH(C$4,Data[#Headers],0))</f>
        <v>15573722</v>
      </c>
      <c r="D167" s="22">
        <f>INDEX(Data[],MATCH($A167,Data[Dist],0),MATCH(D$4,Data[#Headers],0))</f>
        <v>1741</v>
      </c>
      <c r="E167" s="22">
        <f>INDEX(Data[],MATCH($A167,Data[Dist],0),MATCH(E$4,Data[#Headers],0))</f>
        <v>0</v>
      </c>
      <c r="F167" s="22">
        <f>IF(Notes!$B$3="Pay 1 Regular State Payment Budget",0,INDEX(Data[],MATCH($A167,Data[Dist],0),MATCH(F$4,Data[#Headers],0)))</f>
        <v>0</v>
      </c>
      <c r="G167" s="22">
        <f>IF(OR(Notes!$B$3="Pay 1 Regular State Payment Budget",Notes!$B$3="Pay 2 Regular State Payment Budget"),0,INDEX(Data[],MATCH($A167,Data[Dist],0),MATCH(G$4,Data[#Headers],0)))</f>
        <v>0</v>
      </c>
      <c r="H167" s="22">
        <f>INDEX(Data[],MATCH($A167,Data[Dist],0),MATCH(H$4,Data[#Headers],0))</f>
        <v>15571981</v>
      </c>
    </row>
    <row r="168" spans="1:8" s="21" customFormat="1" ht="12.75" x14ac:dyDescent="0.2">
      <c r="A168" s="20" t="str">
        <f>Data!B164</f>
        <v>3609</v>
      </c>
      <c r="B168" s="21" t="str">
        <f>INDEX(Data[],MATCH($A168,Data[Dist],0),MATCH(B$4,Data[#Headers],0))</f>
        <v>Lenox</v>
      </c>
      <c r="C168" s="22">
        <f>INDEX(Data[],MATCH($A168,Data[Dist],0),MATCH(C$4,Data[#Headers],0))</f>
        <v>3299434</v>
      </c>
      <c r="D168" s="22">
        <f>INDEX(Data[],MATCH($A168,Data[Dist],0),MATCH(D$4,Data[#Headers],0))</f>
        <v>564</v>
      </c>
      <c r="E168" s="22">
        <f>INDEX(Data[],MATCH($A168,Data[Dist],0),MATCH(E$4,Data[#Headers],0))</f>
        <v>0</v>
      </c>
      <c r="F168" s="22">
        <f>IF(Notes!$B$3="Pay 1 Regular State Payment Budget",0,INDEX(Data[],MATCH($A168,Data[Dist],0),MATCH(F$4,Data[#Headers],0)))</f>
        <v>0</v>
      </c>
      <c r="G168" s="22">
        <f>IF(OR(Notes!$B$3="Pay 1 Regular State Payment Budget",Notes!$B$3="Pay 2 Regular State Payment Budget"),0,INDEX(Data[],MATCH($A168,Data[Dist],0),MATCH(G$4,Data[#Headers],0)))</f>
        <v>0</v>
      </c>
      <c r="H168" s="22">
        <f>INDEX(Data[],MATCH($A168,Data[Dist],0),MATCH(H$4,Data[#Headers],0))</f>
        <v>3298870</v>
      </c>
    </row>
    <row r="169" spans="1:8" s="21" customFormat="1" ht="12.75" x14ac:dyDescent="0.2">
      <c r="A169" s="20" t="str">
        <f>Data!B165</f>
        <v>3645</v>
      </c>
      <c r="B169" s="21" t="str">
        <f>INDEX(Data[],MATCH($A169,Data[Dist],0),MATCH(B$4,Data[#Headers],0))</f>
        <v>Lewis Central</v>
      </c>
      <c r="C169" s="22">
        <f>INDEX(Data[],MATCH($A169,Data[Dist],0),MATCH(C$4,Data[#Headers],0))</f>
        <v>15707993</v>
      </c>
      <c r="D169" s="22">
        <f>INDEX(Data[],MATCH($A169,Data[Dist],0),MATCH(D$4,Data[#Headers],0))</f>
        <v>1045</v>
      </c>
      <c r="E169" s="22">
        <f>INDEX(Data[],MATCH($A169,Data[Dist],0),MATCH(E$4,Data[#Headers],0))</f>
        <v>0</v>
      </c>
      <c r="F169" s="22">
        <f>IF(Notes!$B$3="Pay 1 Regular State Payment Budget",0,INDEX(Data[],MATCH($A169,Data[Dist],0),MATCH(F$4,Data[#Headers],0)))</f>
        <v>0</v>
      </c>
      <c r="G169" s="22">
        <f>IF(OR(Notes!$B$3="Pay 1 Regular State Payment Budget",Notes!$B$3="Pay 2 Regular State Payment Budget"),0,INDEX(Data[],MATCH($A169,Data[Dist],0),MATCH(G$4,Data[#Headers],0)))</f>
        <v>0</v>
      </c>
      <c r="H169" s="22">
        <f>INDEX(Data[],MATCH($A169,Data[Dist],0),MATCH(H$4,Data[#Headers],0))</f>
        <v>15706948</v>
      </c>
    </row>
    <row r="170" spans="1:8" s="21" customFormat="1" ht="12.75" x14ac:dyDescent="0.2">
      <c r="A170" s="20" t="str">
        <f>Data!B166</f>
        <v>3691</v>
      </c>
      <c r="B170" s="21" t="str">
        <f>INDEX(Data[],MATCH($A170,Data[Dist],0),MATCH(B$4,Data[#Headers],0))</f>
        <v>North Cedar</v>
      </c>
      <c r="C170" s="22">
        <f>INDEX(Data[],MATCH($A170,Data[Dist],0),MATCH(C$4,Data[#Headers],0))</f>
        <v>4779848</v>
      </c>
      <c r="D170" s="22">
        <f>INDEX(Data[],MATCH($A170,Data[Dist],0),MATCH(D$4,Data[#Headers],0))</f>
        <v>614</v>
      </c>
      <c r="E170" s="22">
        <f>INDEX(Data[],MATCH($A170,Data[Dist],0),MATCH(E$4,Data[#Headers],0))</f>
        <v>0</v>
      </c>
      <c r="F170" s="22">
        <f>IF(Notes!$B$3="Pay 1 Regular State Payment Budget",0,INDEX(Data[],MATCH($A170,Data[Dist],0),MATCH(F$4,Data[#Headers],0)))</f>
        <v>0</v>
      </c>
      <c r="G170" s="22">
        <f>IF(OR(Notes!$B$3="Pay 1 Regular State Payment Budget",Notes!$B$3="Pay 2 Regular State Payment Budget"),0,INDEX(Data[],MATCH($A170,Data[Dist],0),MATCH(G$4,Data[#Headers],0)))</f>
        <v>0</v>
      </c>
      <c r="H170" s="22">
        <f>INDEX(Data[],MATCH($A170,Data[Dist],0),MATCH(H$4,Data[#Headers],0))</f>
        <v>4779234</v>
      </c>
    </row>
    <row r="171" spans="1:8" s="21" customFormat="1" ht="12.75" x14ac:dyDescent="0.2">
      <c r="A171" s="20" t="str">
        <f>Data!B167</f>
        <v>3715</v>
      </c>
      <c r="B171" s="21" t="str">
        <f>INDEX(Data[],MATCH($A171,Data[Dist],0),MATCH(B$4,Data[#Headers],0))</f>
        <v>Linn-Mar</v>
      </c>
      <c r="C171" s="22">
        <f>INDEX(Data[],MATCH($A171,Data[Dist],0),MATCH(C$4,Data[#Headers],0))</f>
        <v>55020275</v>
      </c>
      <c r="D171" s="22">
        <f>INDEX(Data[],MATCH($A171,Data[Dist],0),MATCH(D$4,Data[#Headers],0))</f>
        <v>4146</v>
      </c>
      <c r="E171" s="22">
        <f>INDEX(Data[],MATCH($A171,Data[Dist],0),MATCH(E$4,Data[#Headers],0))</f>
        <v>0</v>
      </c>
      <c r="F171" s="22">
        <f>IF(Notes!$B$3="Pay 1 Regular State Payment Budget",0,INDEX(Data[],MATCH($A171,Data[Dist],0),MATCH(F$4,Data[#Headers],0)))</f>
        <v>0</v>
      </c>
      <c r="G171" s="22">
        <f>IF(OR(Notes!$B$3="Pay 1 Regular State Payment Budget",Notes!$B$3="Pay 2 Regular State Payment Budget"),0,INDEX(Data[],MATCH($A171,Data[Dist],0),MATCH(G$4,Data[#Headers],0)))</f>
        <v>0</v>
      </c>
      <c r="H171" s="22">
        <f>INDEX(Data[],MATCH($A171,Data[Dist],0),MATCH(H$4,Data[#Headers],0))</f>
        <v>55016129</v>
      </c>
    </row>
    <row r="172" spans="1:8" s="21" customFormat="1" ht="12.75" x14ac:dyDescent="0.2">
      <c r="A172" s="20" t="str">
        <f>Data!B168</f>
        <v>3744</v>
      </c>
      <c r="B172" s="21" t="str">
        <f>INDEX(Data[],MATCH($A172,Data[Dist],0),MATCH(B$4,Data[#Headers],0))</f>
        <v>Lisbon</v>
      </c>
      <c r="C172" s="22">
        <f>INDEX(Data[],MATCH($A172,Data[Dist],0),MATCH(C$4,Data[#Headers],0))</f>
        <v>5086267</v>
      </c>
      <c r="D172" s="22">
        <f>INDEX(Data[],MATCH($A172,Data[Dist],0),MATCH(D$4,Data[#Headers],0))</f>
        <v>796</v>
      </c>
      <c r="E172" s="22">
        <f>INDEX(Data[],MATCH($A172,Data[Dist],0),MATCH(E$4,Data[#Headers],0))</f>
        <v>0</v>
      </c>
      <c r="F172" s="22">
        <f>IF(Notes!$B$3="Pay 1 Regular State Payment Budget",0,INDEX(Data[],MATCH($A172,Data[Dist],0),MATCH(F$4,Data[#Headers],0)))</f>
        <v>0</v>
      </c>
      <c r="G172" s="22">
        <f>IF(OR(Notes!$B$3="Pay 1 Regular State Payment Budget",Notes!$B$3="Pay 2 Regular State Payment Budget"),0,INDEX(Data[],MATCH($A172,Data[Dist],0),MATCH(G$4,Data[#Headers],0)))</f>
        <v>0</v>
      </c>
      <c r="H172" s="22">
        <f>INDEX(Data[],MATCH($A172,Data[Dist],0),MATCH(H$4,Data[#Headers],0))</f>
        <v>5085471</v>
      </c>
    </row>
    <row r="173" spans="1:8" s="21" customFormat="1" ht="12.75" x14ac:dyDescent="0.2">
      <c r="A173" s="20" t="str">
        <f>Data!B169</f>
        <v>3798</v>
      </c>
      <c r="B173" s="21" t="str">
        <f>INDEX(Data[],MATCH($A173,Data[Dist],0),MATCH(B$4,Data[#Headers],0))</f>
        <v>Logan-Magnolia</v>
      </c>
      <c r="C173" s="22">
        <f>INDEX(Data[],MATCH($A173,Data[Dist],0),MATCH(C$4,Data[#Headers],0))</f>
        <v>4201163</v>
      </c>
      <c r="D173" s="22">
        <f>INDEX(Data[],MATCH($A173,Data[Dist],0),MATCH(D$4,Data[#Headers],0))</f>
        <v>431</v>
      </c>
      <c r="E173" s="22">
        <f>INDEX(Data[],MATCH($A173,Data[Dist],0),MATCH(E$4,Data[#Headers],0))</f>
        <v>0</v>
      </c>
      <c r="F173" s="22">
        <f>IF(Notes!$B$3="Pay 1 Regular State Payment Budget",0,INDEX(Data[],MATCH($A173,Data[Dist],0),MATCH(F$4,Data[#Headers],0)))</f>
        <v>0</v>
      </c>
      <c r="G173" s="22">
        <f>IF(OR(Notes!$B$3="Pay 1 Regular State Payment Budget",Notes!$B$3="Pay 2 Regular State Payment Budget"),0,INDEX(Data[],MATCH($A173,Data[Dist],0),MATCH(G$4,Data[#Headers],0)))</f>
        <v>0</v>
      </c>
      <c r="H173" s="22">
        <f>INDEX(Data[],MATCH($A173,Data[Dist],0),MATCH(H$4,Data[#Headers],0))</f>
        <v>4200732</v>
      </c>
    </row>
    <row r="174" spans="1:8" s="21" customFormat="1" ht="12.75" x14ac:dyDescent="0.2">
      <c r="A174" s="20" t="str">
        <f>Data!B170</f>
        <v>3816</v>
      </c>
      <c r="B174" s="21" t="str">
        <f>INDEX(Data[],MATCH($A174,Data[Dist],0),MATCH(B$4,Data[#Headers],0))</f>
        <v>Lone Tree</v>
      </c>
      <c r="C174" s="22">
        <f>INDEX(Data[],MATCH($A174,Data[Dist],0),MATCH(C$4,Data[#Headers],0))</f>
        <v>1864483</v>
      </c>
      <c r="D174" s="22">
        <f>INDEX(Data[],MATCH($A174,Data[Dist],0),MATCH(D$4,Data[#Headers],0))</f>
        <v>282</v>
      </c>
      <c r="E174" s="22">
        <f>INDEX(Data[],MATCH($A174,Data[Dist],0),MATCH(E$4,Data[#Headers],0))</f>
        <v>0</v>
      </c>
      <c r="F174" s="22">
        <f>IF(Notes!$B$3="Pay 1 Regular State Payment Budget",0,INDEX(Data[],MATCH($A174,Data[Dist],0),MATCH(F$4,Data[#Headers],0)))</f>
        <v>0</v>
      </c>
      <c r="G174" s="22">
        <f>IF(OR(Notes!$B$3="Pay 1 Regular State Payment Budget",Notes!$B$3="Pay 2 Regular State Payment Budget"),0,INDEX(Data[],MATCH($A174,Data[Dist],0),MATCH(G$4,Data[#Headers],0)))</f>
        <v>0</v>
      </c>
      <c r="H174" s="22">
        <f>INDEX(Data[],MATCH($A174,Data[Dist],0),MATCH(H$4,Data[#Headers],0))</f>
        <v>1864201</v>
      </c>
    </row>
    <row r="175" spans="1:8" s="21" customFormat="1" ht="12.75" x14ac:dyDescent="0.2">
      <c r="A175" s="20" t="str">
        <f>Data!B171</f>
        <v>3841</v>
      </c>
      <c r="B175" s="21" t="str">
        <f>INDEX(Data[],MATCH($A175,Data[Dist],0),MATCH(B$4,Data[#Headers],0))</f>
        <v>Louisa-Muscatine</v>
      </c>
      <c r="C175" s="22">
        <f>INDEX(Data[],MATCH($A175,Data[Dist],0),MATCH(C$4,Data[#Headers],0))</f>
        <v>4581091</v>
      </c>
      <c r="D175" s="22">
        <f>INDEX(Data[],MATCH($A175,Data[Dist],0),MATCH(D$4,Data[#Headers],0))</f>
        <v>697</v>
      </c>
      <c r="E175" s="22">
        <f>INDEX(Data[],MATCH($A175,Data[Dist],0),MATCH(E$4,Data[#Headers],0))</f>
        <v>0</v>
      </c>
      <c r="F175" s="22">
        <f>IF(Notes!$B$3="Pay 1 Regular State Payment Budget",0,INDEX(Data[],MATCH($A175,Data[Dist],0),MATCH(F$4,Data[#Headers],0)))</f>
        <v>0</v>
      </c>
      <c r="G175" s="22">
        <f>IF(OR(Notes!$B$3="Pay 1 Regular State Payment Budget",Notes!$B$3="Pay 2 Regular State Payment Budget"),0,INDEX(Data[],MATCH($A175,Data[Dist],0),MATCH(G$4,Data[#Headers],0)))</f>
        <v>0</v>
      </c>
      <c r="H175" s="22">
        <f>INDEX(Data[],MATCH($A175,Data[Dist],0),MATCH(H$4,Data[#Headers],0))</f>
        <v>4580394</v>
      </c>
    </row>
    <row r="176" spans="1:8" s="21" customFormat="1" ht="12.75" x14ac:dyDescent="0.2">
      <c r="A176" s="20" t="str">
        <f>Data!B172</f>
        <v>3906</v>
      </c>
      <c r="B176" s="21" t="str">
        <f>INDEX(Data[],MATCH($A176,Data[Dist],0),MATCH(B$4,Data[#Headers],0))</f>
        <v>Lynnville-Sully</v>
      </c>
      <c r="C176" s="22">
        <f>INDEX(Data[],MATCH($A176,Data[Dist],0),MATCH(C$4,Data[#Headers],0))</f>
        <v>2798670</v>
      </c>
      <c r="D176" s="22">
        <f>INDEX(Data[],MATCH($A176,Data[Dist],0),MATCH(D$4,Data[#Headers],0))</f>
        <v>431</v>
      </c>
      <c r="E176" s="22">
        <f>INDEX(Data[],MATCH($A176,Data[Dist],0),MATCH(E$4,Data[#Headers],0))</f>
        <v>0</v>
      </c>
      <c r="F176" s="22">
        <f>IF(Notes!$B$3="Pay 1 Regular State Payment Budget",0,INDEX(Data[],MATCH($A176,Data[Dist],0),MATCH(F$4,Data[#Headers],0)))</f>
        <v>0</v>
      </c>
      <c r="G176" s="22">
        <f>IF(OR(Notes!$B$3="Pay 1 Regular State Payment Budget",Notes!$B$3="Pay 2 Regular State Payment Budget"),0,INDEX(Data[],MATCH($A176,Data[Dist],0),MATCH(G$4,Data[#Headers],0)))</f>
        <v>0</v>
      </c>
      <c r="H176" s="22">
        <f>INDEX(Data[],MATCH($A176,Data[Dist],0),MATCH(H$4,Data[#Headers],0))</f>
        <v>2798239</v>
      </c>
    </row>
    <row r="177" spans="1:8" s="21" customFormat="1" ht="12.75" x14ac:dyDescent="0.2">
      <c r="A177" s="20" t="str">
        <f>Data!B173</f>
        <v>3942</v>
      </c>
      <c r="B177" s="21" t="str">
        <f>INDEX(Data[],MATCH($A177,Data[Dist],0),MATCH(B$4,Data[#Headers],0))</f>
        <v>Madrid</v>
      </c>
      <c r="C177" s="22">
        <f>INDEX(Data[],MATCH($A177,Data[Dist],0),MATCH(C$4,Data[#Headers],0))</f>
        <v>5274402</v>
      </c>
      <c r="D177" s="22">
        <f>INDEX(Data[],MATCH($A177,Data[Dist],0),MATCH(D$4,Data[#Headers],0))</f>
        <v>481</v>
      </c>
      <c r="E177" s="22">
        <f>INDEX(Data[],MATCH($A177,Data[Dist],0),MATCH(E$4,Data[#Headers],0))</f>
        <v>0</v>
      </c>
      <c r="F177" s="22">
        <f>IF(Notes!$B$3="Pay 1 Regular State Payment Budget",0,INDEX(Data[],MATCH($A177,Data[Dist],0),MATCH(F$4,Data[#Headers],0)))</f>
        <v>0</v>
      </c>
      <c r="G177" s="22">
        <f>IF(OR(Notes!$B$3="Pay 1 Regular State Payment Budget",Notes!$B$3="Pay 2 Regular State Payment Budget"),0,INDEX(Data[],MATCH($A177,Data[Dist],0),MATCH(G$4,Data[#Headers],0)))</f>
        <v>0</v>
      </c>
      <c r="H177" s="22">
        <f>INDEX(Data[],MATCH($A177,Data[Dist],0),MATCH(H$4,Data[#Headers],0))</f>
        <v>5273921</v>
      </c>
    </row>
    <row r="178" spans="1:8" s="21" customFormat="1" ht="12.75" x14ac:dyDescent="0.2">
      <c r="A178" s="20" t="str">
        <f>Data!B174</f>
        <v>3978</v>
      </c>
      <c r="B178" s="21" t="str">
        <f>INDEX(Data[],MATCH($A178,Data[Dist],0),MATCH(B$4,Data[#Headers],0))</f>
        <v>East Mills</v>
      </c>
      <c r="C178" s="22">
        <f>INDEX(Data[],MATCH($A178,Data[Dist],0),MATCH(C$4,Data[#Headers],0))</f>
        <v>3259333</v>
      </c>
      <c r="D178" s="22">
        <f>INDEX(Data[],MATCH($A178,Data[Dist],0),MATCH(D$4,Data[#Headers],0))</f>
        <v>431</v>
      </c>
      <c r="E178" s="22">
        <f>INDEX(Data[],MATCH($A178,Data[Dist],0),MATCH(E$4,Data[#Headers],0))</f>
        <v>0</v>
      </c>
      <c r="F178" s="22">
        <f>IF(Notes!$B$3="Pay 1 Regular State Payment Budget",0,INDEX(Data[],MATCH($A178,Data[Dist],0),MATCH(F$4,Data[#Headers],0)))</f>
        <v>0</v>
      </c>
      <c r="G178" s="22">
        <f>IF(OR(Notes!$B$3="Pay 1 Regular State Payment Budget",Notes!$B$3="Pay 2 Regular State Payment Budget"),0,INDEX(Data[],MATCH($A178,Data[Dist],0),MATCH(G$4,Data[#Headers],0)))</f>
        <v>0</v>
      </c>
      <c r="H178" s="22">
        <f>INDEX(Data[],MATCH($A178,Data[Dist],0),MATCH(H$4,Data[#Headers],0))</f>
        <v>3258902</v>
      </c>
    </row>
    <row r="179" spans="1:8" s="21" customFormat="1" ht="12.75" x14ac:dyDescent="0.2">
      <c r="A179" s="20" t="str">
        <f>Data!B175</f>
        <v>4023</v>
      </c>
      <c r="B179" s="21" t="str">
        <f>INDEX(Data[],MATCH($A179,Data[Dist],0),MATCH(B$4,Data[#Headers],0))</f>
        <v>Manson-Northwest Webster</v>
      </c>
      <c r="C179" s="22">
        <f>INDEX(Data[],MATCH($A179,Data[Dist],0),MATCH(C$4,Data[#Headers],0))</f>
        <v>3477194</v>
      </c>
      <c r="D179" s="22">
        <f>INDEX(Data[],MATCH($A179,Data[Dist],0),MATCH(D$4,Data[#Headers],0))</f>
        <v>564</v>
      </c>
      <c r="E179" s="22">
        <f>INDEX(Data[],MATCH($A179,Data[Dist],0),MATCH(E$4,Data[#Headers],0))</f>
        <v>0</v>
      </c>
      <c r="F179" s="22">
        <f>IF(Notes!$B$3="Pay 1 Regular State Payment Budget",0,INDEX(Data[],MATCH($A179,Data[Dist],0),MATCH(F$4,Data[#Headers],0)))</f>
        <v>0</v>
      </c>
      <c r="G179" s="22">
        <f>IF(OR(Notes!$B$3="Pay 1 Regular State Payment Budget",Notes!$B$3="Pay 2 Regular State Payment Budget"),0,INDEX(Data[],MATCH($A179,Data[Dist],0),MATCH(G$4,Data[#Headers],0)))</f>
        <v>0</v>
      </c>
      <c r="H179" s="22">
        <f>INDEX(Data[],MATCH($A179,Data[Dist],0),MATCH(H$4,Data[#Headers],0))</f>
        <v>3476630</v>
      </c>
    </row>
    <row r="180" spans="1:8" s="21" customFormat="1" ht="12.75" x14ac:dyDescent="0.2">
      <c r="A180" s="20" t="str">
        <f>Data!B176</f>
        <v>4033</v>
      </c>
      <c r="B180" s="21" t="str">
        <f>INDEX(Data[],MATCH($A180,Data[Dist],0),MATCH(B$4,Data[#Headers],0))</f>
        <v>Maple Valley-Anthon Oto</v>
      </c>
      <c r="C180" s="22">
        <f>INDEX(Data[],MATCH($A180,Data[Dist],0),MATCH(C$4,Data[#Headers],0))</f>
        <v>3200195</v>
      </c>
      <c r="D180" s="22">
        <f>INDEX(Data[],MATCH($A180,Data[Dist],0),MATCH(D$4,Data[#Headers],0))</f>
        <v>580</v>
      </c>
      <c r="E180" s="22">
        <f>INDEX(Data[],MATCH($A180,Data[Dist],0),MATCH(E$4,Data[#Headers],0))</f>
        <v>0</v>
      </c>
      <c r="F180" s="22">
        <f>IF(Notes!$B$3="Pay 1 Regular State Payment Budget",0,INDEX(Data[],MATCH($A180,Data[Dist],0),MATCH(F$4,Data[#Headers],0)))</f>
        <v>0</v>
      </c>
      <c r="G180" s="22">
        <f>IF(OR(Notes!$B$3="Pay 1 Regular State Payment Budget",Notes!$B$3="Pay 2 Regular State Payment Budget"),0,INDEX(Data[],MATCH($A180,Data[Dist],0),MATCH(G$4,Data[#Headers],0)))</f>
        <v>0</v>
      </c>
      <c r="H180" s="22">
        <f>INDEX(Data[],MATCH($A180,Data[Dist],0),MATCH(H$4,Data[#Headers],0))</f>
        <v>3199615</v>
      </c>
    </row>
    <row r="181" spans="1:8" s="21" customFormat="1" ht="12.75" x14ac:dyDescent="0.2">
      <c r="A181" s="20" t="str">
        <f>Data!B177</f>
        <v>4041</v>
      </c>
      <c r="B181" s="21" t="str">
        <f>INDEX(Data[],MATCH($A181,Data[Dist],0),MATCH(B$4,Data[#Headers],0))</f>
        <v>Maquoketa</v>
      </c>
      <c r="C181" s="22">
        <f>INDEX(Data[],MATCH($A181,Data[Dist],0),MATCH(C$4,Data[#Headers],0))</f>
        <v>9794141</v>
      </c>
      <c r="D181" s="22">
        <f>INDEX(Data[],MATCH($A181,Data[Dist],0),MATCH(D$4,Data[#Headers],0))</f>
        <v>1144</v>
      </c>
      <c r="E181" s="22">
        <f>INDEX(Data[],MATCH($A181,Data[Dist],0),MATCH(E$4,Data[#Headers],0))</f>
        <v>0</v>
      </c>
      <c r="F181" s="22">
        <f>IF(Notes!$B$3="Pay 1 Regular State Payment Budget",0,INDEX(Data[],MATCH($A181,Data[Dist],0),MATCH(F$4,Data[#Headers],0)))</f>
        <v>0</v>
      </c>
      <c r="G181" s="22">
        <f>IF(OR(Notes!$B$3="Pay 1 Regular State Payment Budget",Notes!$B$3="Pay 2 Regular State Payment Budget"),0,INDEX(Data[],MATCH($A181,Data[Dist],0),MATCH(G$4,Data[#Headers],0)))</f>
        <v>0</v>
      </c>
      <c r="H181" s="22">
        <f>INDEX(Data[],MATCH($A181,Data[Dist],0),MATCH(H$4,Data[#Headers],0))</f>
        <v>9792997</v>
      </c>
    </row>
    <row r="182" spans="1:8" s="21" customFormat="1" ht="12.75" x14ac:dyDescent="0.2">
      <c r="A182" s="20" t="str">
        <f>Data!B178</f>
        <v>4043</v>
      </c>
      <c r="B182" s="21" t="str">
        <f>INDEX(Data[],MATCH($A182,Data[Dist],0),MATCH(B$4,Data[#Headers],0))</f>
        <v>Maquoketa Valley</v>
      </c>
      <c r="C182" s="22">
        <f>INDEX(Data[],MATCH($A182,Data[Dist],0),MATCH(C$4,Data[#Headers],0))</f>
        <v>3818586</v>
      </c>
      <c r="D182" s="22">
        <f>INDEX(Data[],MATCH($A182,Data[Dist],0),MATCH(D$4,Data[#Headers],0))</f>
        <v>614</v>
      </c>
      <c r="E182" s="22">
        <f>INDEX(Data[],MATCH($A182,Data[Dist],0),MATCH(E$4,Data[#Headers],0))</f>
        <v>0</v>
      </c>
      <c r="F182" s="22">
        <f>IF(Notes!$B$3="Pay 1 Regular State Payment Budget",0,INDEX(Data[],MATCH($A182,Data[Dist],0),MATCH(F$4,Data[#Headers],0)))</f>
        <v>0</v>
      </c>
      <c r="G182" s="22">
        <f>IF(OR(Notes!$B$3="Pay 1 Regular State Payment Budget",Notes!$B$3="Pay 2 Regular State Payment Budget"),0,INDEX(Data[],MATCH($A182,Data[Dist],0),MATCH(G$4,Data[#Headers],0)))</f>
        <v>0</v>
      </c>
      <c r="H182" s="22">
        <f>INDEX(Data[],MATCH($A182,Data[Dist],0),MATCH(H$4,Data[#Headers],0))</f>
        <v>3817972</v>
      </c>
    </row>
    <row r="183" spans="1:8" s="21" customFormat="1" ht="12.75" x14ac:dyDescent="0.2">
      <c r="A183" s="20" t="str">
        <f>Data!B179</f>
        <v>4068</v>
      </c>
      <c r="B183" s="21" t="str">
        <f>INDEX(Data[],MATCH($A183,Data[Dist],0),MATCH(B$4,Data[#Headers],0))</f>
        <v>Marcus-Meriden Cleghorn</v>
      </c>
      <c r="C183" s="22">
        <f>INDEX(Data[],MATCH($A183,Data[Dist],0),MATCH(C$4,Data[#Headers],0))</f>
        <v>2134744</v>
      </c>
      <c r="D183" s="22">
        <f>INDEX(Data[],MATCH($A183,Data[Dist],0),MATCH(D$4,Data[#Headers],0))</f>
        <v>381</v>
      </c>
      <c r="E183" s="22">
        <f>INDEX(Data[],MATCH($A183,Data[Dist],0),MATCH(E$4,Data[#Headers],0))</f>
        <v>0</v>
      </c>
      <c r="F183" s="22">
        <f>IF(Notes!$B$3="Pay 1 Regular State Payment Budget",0,INDEX(Data[],MATCH($A183,Data[Dist],0),MATCH(F$4,Data[#Headers],0)))</f>
        <v>0</v>
      </c>
      <c r="G183" s="22">
        <f>IF(OR(Notes!$B$3="Pay 1 Regular State Payment Budget",Notes!$B$3="Pay 2 Regular State Payment Budget"),0,INDEX(Data[],MATCH($A183,Data[Dist],0),MATCH(G$4,Data[#Headers],0)))</f>
        <v>0</v>
      </c>
      <c r="H183" s="22">
        <f>INDEX(Data[],MATCH($A183,Data[Dist],0),MATCH(H$4,Data[#Headers],0))</f>
        <v>2134363</v>
      </c>
    </row>
    <row r="184" spans="1:8" s="21" customFormat="1" ht="12.75" x14ac:dyDescent="0.2">
      <c r="A184" s="20" t="str">
        <f>Data!B180</f>
        <v>4086</v>
      </c>
      <c r="B184" s="21" t="str">
        <f>INDEX(Data[],MATCH($A184,Data[Dist],0),MATCH(B$4,Data[#Headers],0))</f>
        <v>Marion</v>
      </c>
      <c r="C184" s="22">
        <f>INDEX(Data[],MATCH($A184,Data[Dist],0),MATCH(C$4,Data[#Headers],0))</f>
        <v>14678861</v>
      </c>
      <c r="D184" s="22">
        <f>INDEX(Data[],MATCH($A184,Data[Dist],0),MATCH(D$4,Data[#Headers],0))</f>
        <v>1692</v>
      </c>
      <c r="E184" s="22">
        <f>INDEX(Data[],MATCH($A184,Data[Dist],0),MATCH(E$4,Data[#Headers],0))</f>
        <v>0</v>
      </c>
      <c r="F184" s="22">
        <f>IF(Notes!$B$3="Pay 1 Regular State Payment Budget",0,INDEX(Data[],MATCH($A184,Data[Dist],0),MATCH(F$4,Data[#Headers],0)))</f>
        <v>0</v>
      </c>
      <c r="G184" s="22">
        <f>IF(OR(Notes!$B$3="Pay 1 Regular State Payment Budget",Notes!$B$3="Pay 2 Regular State Payment Budget"),0,INDEX(Data[],MATCH($A184,Data[Dist],0),MATCH(G$4,Data[#Headers],0)))</f>
        <v>0</v>
      </c>
      <c r="H184" s="22">
        <f>INDEX(Data[],MATCH($A184,Data[Dist],0),MATCH(H$4,Data[#Headers],0))</f>
        <v>14677169</v>
      </c>
    </row>
    <row r="185" spans="1:8" s="21" customFormat="1" ht="12.75" x14ac:dyDescent="0.2">
      <c r="A185" s="20" t="str">
        <f>Data!B181</f>
        <v>4104</v>
      </c>
      <c r="B185" s="21" t="str">
        <f>INDEX(Data[],MATCH($A185,Data[Dist],0),MATCH(B$4,Data[#Headers],0))</f>
        <v>Marshalltown</v>
      </c>
      <c r="C185" s="22">
        <f>INDEX(Data[],MATCH($A185,Data[Dist],0),MATCH(C$4,Data[#Headers],0))</f>
        <v>46719083</v>
      </c>
      <c r="D185" s="22">
        <f>INDEX(Data[],MATCH($A185,Data[Dist],0),MATCH(D$4,Data[#Headers],0))</f>
        <v>4710</v>
      </c>
      <c r="E185" s="22">
        <f>INDEX(Data[],MATCH($A185,Data[Dist],0),MATCH(E$4,Data[#Headers],0))</f>
        <v>39017</v>
      </c>
      <c r="F185" s="22">
        <f>IF(Notes!$B$3="Pay 1 Regular State Payment Budget",0,INDEX(Data[],MATCH($A185,Data[Dist],0),MATCH(F$4,Data[#Headers],0)))</f>
        <v>0</v>
      </c>
      <c r="G185" s="22">
        <f>IF(OR(Notes!$B$3="Pay 1 Regular State Payment Budget",Notes!$B$3="Pay 2 Regular State Payment Budget"),0,INDEX(Data[],MATCH($A185,Data[Dist],0),MATCH(G$4,Data[#Headers],0)))</f>
        <v>0</v>
      </c>
      <c r="H185" s="22">
        <f>INDEX(Data[],MATCH($A185,Data[Dist],0),MATCH(H$4,Data[#Headers],0))</f>
        <v>46675356</v>
      </c>
    </row>
    <row r="186" spans="1:8" s="21" customFormat="1" ht="12.75" x14ac:dyDescent="0.2">
      <c r="A186" s="20" t="str">
        <f>Data!B182</f>
        <v>4122</v>
      </c>
      <c r="B186" s="21" t="str">
        <f>INDEX(Data[],MATCH($A186,Data[Dist],0),MATCH(B$4,Data[#Headers],0))</f>
        <v>Martensdale-St Marys</v>
      </c>
      <c r="C186" s="22">
        <f>INDEX(Data[],MATCH($A186,Data[Dist],0),MATCH(C$4,Data[#Headers],0))</f>
        <v>3344871</v>
      </c>
      <c r="D186" s="22">
        <f>INDEX(Data[],MATCH($A186,Data[Dist],0),MATCH(D$4,Data[#Headers],0))</f>
        <v>315</v>
      </c>
      <c r="E186" s="22">
        <f>INDEX(Data[],MATCH($A186,Data[Dist],0),MATCH(E$4,Data[#Headers],0))</f>
        <v>0</v>
      </c>
      <c r="F186" s="22">
        <f>IF(Notes!$B$3="Pay 1 Regular State Payment Budget",0,INDEX(Data[],MATCH($A186,Data[Dist],0),MATCH(F$4,Data[#Headers],0)))</f>
        <v>0</v>
      </c>
      <c r="G186" s="22">
        <f>IF(OR(Notes!$B$3="Pay 1 Regular State Payment Budget",Notes!$B$3="Pay 2 Regular State Payment Budget"),0,INDEX(Data[],MATCH($A186,Data[Dist],0),MATCH(G$4,Data[#Headers],0)))</f>
        <v>0</v>
      </c>
      <c r="H186" s="22">
        <f>INDEX(Data[],MATCH($A186,Data[Dist],0),MATCH(H$4,Data[#Headers],0))</f>
        <v>3344556</v>
      </c>
    </row>
    <row r="187" spans="1:8" s="21" customFormat="1" ht="12.75" x14ac:dyDescent="0.2">
      <c r="A187" s="20" t="str">
        <f>Data!B183</f>
        <v>4131</v>
      </c>
      <c r="B187" s="21" t="str">
        <f>INDEX(Data[],MATCH($A187,Data[Dist],0),MATCH(B$4,Data[#Headers],0))</f>
        <v>Mason City</v>
      </c>
      <c r="C187" s="22">
        <f>INDEX(Data[],MATCH($A187,Data[Dist],0),MATCH(C$4,Data[#Headers],0))</f>
        <v>24548120</v>
      </c>
      <c r="D187" s="22">
        <f>INDEX(Data[],MATCH($A187,Data[Dist],0),MATCH(D$4,Data[#Headers],0))</f>
        <v>2985</v>
      </c>
      <c r="E187" s="22">
        <f>INDEX(Data[],MATCH($A187,Data[Dist],0),MATCH(E$4,Data[#Headers],0))</f>
        <v>20708</v>
      </c>
      <c r="F187" s="22">
        <f>IF(Notes!$B$3="Pay 1 Regular State Payment Budget",0,INDEX(Data[],MATCH($A187,Data[Dist],0),MATCH(F$4,Data[#Headers],0)))</f>
        <v>0</v>
      </c>
      <c r="G187" s="22">
        <f>IF(OR(Notes!$B$3="Pay 1 Regular State Payment Budget",Notes!$B$3="Pay 2 Regular State Payment Budget"),0,INDEX(Data[],MATCH($A187,Data[Dist],0),MATCH(G$4,Data[#Headers],0)))</f>
        <v>0</v>
      </c>
      <c r="H187" s="22">
        <f>INDEX(Data[],MATCH($A187,Data[Dist],0),MATCH(H$4,Data[#Headers],0))</f>
        <v>24524427</v>
      </c>
    </row>
    <row r="188" spans="1:8" s="21" customFormat="1" ht="12.75" x14ac:dyDescent="0.2">
      <c r="A188" s="20" t="str">
        <f>Data!B184</f>
        <v>4149</v>
      </c>
      <c r="B188" s="21" t="str">
        <f>INDEX(Data[],MATCH($A188,Data[Dist],0),MATCH(B$4,Data[#Headers],0))</f>
        <v>Moc-Floyd Valley</v>
      </c>
      <c r="C188" s="22">
        <f>INDEX(Data[],MATCH($A188,Data[Dist],0),MATCH(C$4,Data[#Headers],0))</f>
        <v>9822666</v>
      </c>
      <c r="D188" s="22">
        <f>INDEX(Data[],MATCH($A188,Data[Dist],0),MATCH(D$4,Data[#Headers],0))</f>
        <v>1012</v>
      </c>
      <c r="E188" s="22">
        <f>INDEX(Data[],MATCH($A188,Data[Dist],0),MATCH(E$4,Data[#Headers],0))</f>
        <v>0</v>
      </c>
      <c r="F188" s="22">
        <f>IF(Notes!$B$3="Pay 1 Regular State Payment Budget",0,INDEX(Data[],MATCH($A188,Data[Dist],0),MATCH(F$4,Data[#Headers],0)))</f>
        <v>0</v>
      </c>
      <c r="G188" s="22">
        <f>IF(OR(Notes!$B$3="Pay 1 Regular State Payment Budget",Notes!$B$3="Pay 2 Regular State Payment Budget"),0,INDEX(Data[],MATCH($A188,Data[Dist],0),MATCH(G$4,Data[#Headers],0)))</f>
        <v>0</v>
      </c>
      <c r="H188" s="22">
        <f>INDEX(Data[],MATCH($A188,Data[Dist],0),MATCH(H$4,Data[#Headers],0))</f>
        <v>9821654</v>
      </c>
    </row>
    <row r="189" spans="1:8" s="21" customFormat="1" ht="12.75" x14ac:dyDescent="0.2">
      <c r="A189" s="20" t="str">
        <f>Data!B185</f>
        <v>4203</v>
      </c>
      <c r="B189" s="21" t="str">
        <f>INDEX(Data[],MATCH($A189,Data[Dist],0),MATCH(B$4,Data[#Headers],0))</f>
        <v>Mediapolis</v>
      </c>
      <c r="C189" s="22">
        <f>INDEX(Data[],MATCH($A189,Data[Dist],0),MATCH(C$4,Data[#Headers],0))</f>
        <v>5590294</v>
      </c>
      <c r="D189" s="22">
        <f>INDEX(Data[],MATCH($A189,Data[Dist],0),MATCH(D$4,Data[#Headers],0))</f>
        <v>0</v>
      </c>
      <c r="E189" s="22">
        <f>INDEX(Data[],MATCH($A189,Data[Dist],0),MATCH(E$4,Data[#Headers],0))</f>
        <v>0</v>
      </c>
      <c r="F189" s="22">
        <f>IF(Notes!$B$3="Pay 1 Regular State Payment Budget",0,INDEX(Data[],MATCH($A189,Data[Dist],0),MATCH(F$4,Data[#Headers],0)))</f>
        <v>0</v>
      </c>
      <c r="G189" s="22">
        <f>IF(OR(Notes!$B$3="Pay 1 Regular State Payment Budget",Notes!$B$3="Pay 2 Regular State Payment Budget"),0,INDEX(Data[],MATCH($A189,Data[Dist],0),MATCH(G$4,Data[#Headers],0)))</f>
        <v>0</v>
      </c>
      <c r="H189" s="22">
        <f>INDEX(Data[],MATCH($A189,Data[Dist],0),MATCH(H$4,Data[#Headers],0))</f>
        <v>5590294</v>
      </c>
    </row>
    <row r="190" spans="1:8" s="21" customFormat="1" ht="12.75" x14ac:dyDescent="0.2">
      <c r="A190" s="20" t="str">
        <f>Data!B186</f>
        <v>4212</v>
      </c>
      <c r="B190" s="21" t="str">
        <f>INDEX(Data[],MATCH($A190,Data[Dist],0),MATCH(B$4,Data[#Headers],0))</f>
        <v>Melcher-Dallas</v>
      </c>
      <c r="C190" s="22">
        <f>INDEX(Data[],MATCH($A190,Data[Dist],0),MATCH(C$4,Data[#Headers],0))</f>
        <v>2503842</v>
      </c>
      <c r="D190" s="22">
        <f>INDEX(Data[],MATCH($A190,Data[Dist],0),MATCH(D$4,Data[#Headers],0))</f>
        <v>348</v>
      </c>
      <c r="E190" s="22">
        <f>INDEX(Data[],MATCH($A190,Data[Dist],0),MATCH(E$4,Data[#Headers],0))</f>
        <v>3788</v>
      </c>
      <c r="F190" s="22">
        <f>IF(Notes!$B$3="Pay 1 Regular State Payment Budget",0,INDEX(Data[],MATCH($A190,Data[Dist],0),MATCH(F$4,Data[#Headers],0)))</f>
        <v>0</v>
      </c>
      <c r="G190" s="22">
        <f>IF(OR(Notes!$B$3="Pay 1 Regular State Payment Budget",Notes!$B$3="Pay 2 Regular State Payment Budget"),0,INDEX(Data[],MATCH($A190,Data[Dist],0),MATCH(G$4,Data[#Headers],0)))</f>
        <v>0</v>
      </c>
      <c r="H190" s="22">
        <f>INDEX(Data[],MATCH($A190,Data[Dist],0),MATCH(H$4,Data[#Headers],0))</f>
        <v>2499706</v>
      </c>
    </row>
    <row r="191" spans="1:8" s="21" customFormat="1" ht="12.75" x14ac:dyDescent="0.2">
      <c r="A191" s="20" t="str">
        <f>Data!B187</f>
        <v>4269</v>
      </c>
      <c r="B191" s="21" t="str">
        <f>INDEX(Data[],MATCH($A191,Data[Dist],0),MATCH(B$4,Data[#Headers],0))</f>
        <v>Midland</v>
      </c>
      <c r="C191" s="22">
        <f>INDEX(Data[],MATCH($A191,Data[Dist],0),MATCH(C$4,Data[#Headers],0))</f>
        <v>3161257</v>
      </c>
      <c r="D191" s="22">
        <f>INDEX(Data[],MATCH($A191,Data[Dist],0),MATCH(D$4,Data[#Headers],0))</f>
        <v>365</v>
      </c>
      <c r="E191" s="22">
        <f>INDEX(Data[],MATCH($A191,Data[Dist],0),MATCH(E$4,Data[#Headers],0))</f>
        <v>0</v>
      </c>
      <c r="F191" s="22">
        <f>IF(Notes!$B$3="Pay 1 Regular State Payment Budget",0,INDEX(Data[],MATCH($A191,Data[Dist],0),MATCH(F$4,Data[#Headers],0)))</f>
        <v>0</v>
      </c>
      <c r="G191" s="22">
        <f>IF(OR(Notes!$B$3="Pay 1 Regular State Payment Budget",Notes!$B$3="Pay 2 Regular State Payment Budget"),0,INDEX(Data[],MATCH($A191,Data[Dist],0),MATCH(G$4,Data[#Headers],0)))</f>
        <v>0</v>
      </c>
      <c r="H191" s="22">
        <f>INDEX(Data[],MATCH($A191,Data[Dist],0),MATCH(H$4,Data[#Headers],0))</f>
        <v>3160892</v>
      </c>
    </row>
    <row r="192" spans="1:8" s="21" customFormat="1" ht="12.75" x14ac:dyDescent="0.2">
      <c r="A192" s="20" t="str">
        <f>Data!B188</f>
        <v>4271</v>
      </c>
      <c r="B192" s="21" t="str">
        <f>INDEX(Data[],MATCH($A192,Data[Dist],0),MATCH(B$4,Data[#Headers],0))</f>
        <v>Mid-Prairie</v>
      </c>
      <c r="C192" s="22">
        <f>INDEX(Data[],MATCH($A192,Data[Dist],0),MATCH(C$4,Data[#Headers],0))</f>
        <v>8282499</v>
      </c>
      <c r="D192" s="22">
        <f>INDEX(Data[],MATCH($A192,Data[Dist],0),MATCH(D$4,Data[#Headers],0))</f>
        <v>1211</v>
      </c>
      <c r="E192" s="22">
        <f>INDEX(Data[],MATCH($A192,Data[Dist],0),MATCH(E$4,Data[#Headers],0))</f>
        <v>0</v>
      </c>
      <c r="F192" s="22">
        <f>IF(Notes!$B$3="Pay 1 Regular State Payment Budget",0,INDEX(Data[],MATCH($A192,Data[Dist],0),MATCH(F$4,Data[#Headers],0)))</f>
        <v>0</v>
      </c>
      <c r="G192" s="22">
        <f>IF(OR(Notes!$B$3="Pay 1 Regular State Payment Budget",Notes!$B$3="Pay 2 Regular State Payment Budget"),0,INDEX(Data[],MATCH($A192,Data[Dist],0),MATCH(G$4,Data[#Headers],0)))</f>
        <v>0</v>
      </c>
      <c r="H192" s="22">
        <f>INDEX(Data[],MATCH($A192,Data[Dist],0),MATCH(H$4,Data[#Headers],0))</f>
        <v>8281288</v>
      </c>
    </row>
    <row r="193" spans="1:8" s="21" customFormat="1" ht="12.75" x14ac:dyDescent="0.2">
      <c r="A193" s="20" t="str">
        <f>Data!B189</f>
        <v>4356</v>
      </c>
      <c r="B193" s="21" t="str">
        <f>INDEX(Data[],MATCH($A193,Data[Dist],0),MATCH(B$4,Data[#Headers],0))</f>
        <v>Missouri Valley</v>
      </c>
      <c r="C193" s="22">
        <f>INDEX(Data[],MATCH($A193,Data[Dist],0),MATCH(C$4,Data[#Headers],0))</f>
        <v>5221497</v>
      </c>
      <c r="D193" s="22">
        <f>INDEX(Data[],MATCH($A193,Data[Dist],0),MATCH(D$4,Data[#Headers],0))</f>
        <v>498</v>
      </c>
      <c r="E193" s="22">
        <f>INDEX(Data[],MATCH($A193,Data[Dist],0),MATCH(E$4,Data[#Headers],0))</f>
        <v>0</v>
      </c>
      <c r="F193" s="22">
        <f>IF(Notes!$B$3="Pay 1 Regular State Payment Budget",0,INDEX(Data[],MATCH($A193,Data[Dist],0),MATCH(F$4,Data[#Headers],0)))</f>
        <v>0</v>
      </c>
      <c r="G193" s="22">
        <f>IF(OR(Notes!$B$3="Pay 1 Regular State Payment Budget",Notes!$B$3="Pay 2 Regular State Payment Budget"),0,INDEX(Data[],MATCH($A193,Data[Dist],0),MATCH(G$4,Data[#Headers],0)))</f>
        <v>0</v>
      </c>
      <c r="H193" s="22">
        <f>INDEX(Data[],MATCH($A193,Data[Dist],0),MATCH(H$4,Data[#Headers],0))</f>
        <v>5220999</v>
      </c>
    </row>
    <row r="194" spans="1:8" s="21" customFormat="1" ht="12.75" x14ac:dyDescent="0.2">
      <c r="A194" s="20" t="str">
        <f>Data!B190</f>
        <v>4419</v>
      </c>
      <c r="B194" s="21" t="str">
        <f>INDEX(Data[],MATCH($A194,Data[Dist],0),MATCH(B$4,Data[#Headers],0))</f>
        <v>MFL Mar Mac</v>
      </c>
      <c r="C194" s="22">
        <f>INDEX(Data[],MATCH($A194,Data[Dist],0),MATCH(C$4,Data[#Headers],0))</f>
        <v>5885776</v>
      </c>
      <c r="D194" s="22">
        <f>INDEX(Data[],MATCH($A194,Data[Dist],0),MATCH(D$4,Data[#Headers],0))</f>
        <v>912</v>
      </c>
      <c r="E194" s="22">
        <f>INDEX(Data[],MATCH($A194,Data[Dist],0),MATCH(E$4,Data[#Headers],0))</f>
        <v>0</v>
      </c>
      <c r="F194" s="22">
        <f>IF(Notes!$B$3="Pay 1 Regular State Payment Budget",0,INDEX(Data[],MATCH($A194,Data[Dist],0),MATCH(F$4,Data[#Headers],0)))</f>
        <v>0</v>
      </c>
      <c r="G194" s="22">
        <f>IF(OR(Notes!$B$3="Pay 1 Regular State Payment Budget",Notes!$B$3="Pay 2 Regular State Payment Budget"),0,INDEX(Data[],MATCH($A194,Data[Dist],0),MATCH(G$4,Data[#Headers],0)))</f>
        <v>0</v>
      </c>
      <c r="H194" s="22">
        <f>INDEX(Data[],MATCH($A194,Data[Dist],0),MATCH(H$4,Data[#Headers],0))</f>
        <v>5884864</v>
      </c>
    </row>
    <row r="195" spans="1:8" s="21" customFormat="1" ht="12.75" x14ac:dyDescent="0.2">
      <c r="A195" s="20" t="str">
        <f>Data!B191</f>
        <v>4437</v>
      </c>
      <c r="B195" s="21" t="str">
        <f>INDEX(Data[],MATCH($A195,Data[Dist],0),MATCH(B$4,Data[#Headers],0))</f>
        <v>Montezuma</v>
      </c>
      <c r="C195" s="22">
        <f>INDEX(Data[],MATCH($A195,Data[Dist],0),MATCH(C$4,Data[#Headers],0))</f>
        <v>1990935</v>
      </c>
      <c r="D195" s="22">
        <f>INDEX(Data[],MATCH($A195,Data[Dist],0),MATCH(D$4,Data[#Headers],0))</f>
        <v>547</v>
      </c>
      <c r="E195" s="22">
        <f>INDEX(Data[],MATCH($A195,Data[Dist],0),MATCH(E$4,Data[#Headers],0))</f>
        <v>0</v>
      </c>
      <c r="F195" s="22">
        <f>IF(Notes!$B$3="Pay 1 Regular State Payment Budget",0,INDEX(Data[],MATCH($A195,Data[Dist],0),MATCH(F$4,Data[#Headers],0)))</f>
        <v>0</v>
      </c>
      <c r="G195" s="22">
        <f>IF(OR(Notes!$B$3="Pay 1 Regular State Payment Budget",Notes!$B$3="Pay 2 Regular State Payment Budget"),0,INDEX(Data[],MATCH($A195,Data[Dist],0),MATCH(G$4,Data[#Headers],0)))</f>
        <v>0</v>
      </c>
      <c r="H195" s="22">
        <f>INDEX(Data[],MATCH($A195,Data[Dist],0),MATCH(H$4,Data[#Headers],0))</f>
        <v>1990388</v>
      </c>
    </row>
    <row r="196" spans="1:8" s="21" customFormat="1" ht="12.75" x14ac:dyDescent="0.2">
      <c r="A196" s="20" t="str">
        <f>Data!B192</f>
        <v>4446</v>
      </c>
      <c r="B196" s="21" t="str">
        <f>INDEX(Data[],MATCH($A196,Data[Dist],0),MATCH(B$4,Data[#Headers],0))</f>
        <v>Monticello</v>
      </c>
      <c r="C196" s="22">
        <f>INDEX(Data[],MATCH($A196,Data[Dist],0),MATCH(C$4,Data[#Headers],0))</f>
        <v>6708074</v>
      </c>
      <c r="D196" s="22">
        <f>INDEX(Data[],MATCH($A196,Data[Dist],0),MATCH(D$4,Data[#Headers],0))</f>
        <v>979</v>
      </c>
      <c r="E196" s="22">
        <f>INDEX(Data[],MATCH($A196,Data[Dist],0),MATCH(E$4,Data[#Headers],0))</f>
        <v>0</v>
      </c>
      <c r="F196" s="22">
        <f>IF(Notes!$B$3="Pay 1 Regular State Payment Budget",0,INDEX(Data[],MATCH($A196,Data[Dist],0),MATCH(F$4,Data[#Headers],0)))</f>
        <v>0</v>
      </c>
      <c r="G196" s="22">
        <f>IF(OR(Notes!$B$3="Pay 1 Regular State Payment Budget",Notes!$B$3="Pay 2 Regular State Payment Budget"),0,INDEX(Data[],MATCH($A196,Data[Dist],0),MATCH(G$4,Data[#Headers],0)))</f>
        <v>0</v>
      </c>
      <c r="H196" s="22">
        <f>INDEX(Data[],MATCH($A196,Data[Dist],0),MATCH(H$4,Data[#Headers],0))</f>
        <v>6707095</v>
      </c>
    </row>
    <row r="197" spans="1:8" s="21" customFormat="1" ht="12.75" x14ac:dyDescent="0.2">
      <c r="A197" s="20" t="str">
        <f>Data!B193</f>
        <v>4491</v>
      </c>
      <c r="B197" s="21" t="str">
        <f>INDEX(Data[],MATCH($A197,Data[Dist],0),MATCH(B$4,Data[#Headers],0))</f>
        <v>Moravia</v>
      </c>
      <c r="C197" s="22">
        <f>INDEX(Data[],MATCH($A197,Data[Dist],0),MATCH(C$4,Data[#Headers],0))</f>
        <v>2464595</v>
      </c>
      <c r="D197" s="22">
        <f>INDEX(Data[],MATCH($A197,Data[Dist],0),MATCH(D$4,Data[#Headers],0))</f>
        <v>299</v>
      </c>
      <c r="E197" s="22">
        <f>INDEX(Data[],MATCH($A197,Data[Dist],0),MATCH(E$4,Data[#Headers],0))</f>
        <v>0</v>
      </c>
      <c r="F197" s="22">
        <f>IF(Notes!$B$3="Pay 1 Regular State Payment Budget",0,INDEX(Data[],MATCH($A197,Data[Dist],0),MATCH(F$4,Data[#Headers],0)))</f>
        <v>0</v>
      </c>
      <c r="G197" s="22">
        <f>IF(OR(Notes!$B$3="Pay 1 Regular State Payment Budget",Notes!$B$3="Pay 2 Regular State Payment Budget"),0,INDEX(Data[],MATCH($A197,Data[Dist],0),MATCH(G$4,Data[#Headers],0)))</f>
        <v>0</v>
      </c>
      <c r="H197" s="22">
        <f>INDEX(Data[],MATCH($A197,Data[Dist],0),MATCH(H$4,Data[#Headers],0))</f>
        <v>2464296</v>
      </c>
    </row>
    <row r="198" spans="1:8" s="21" customFormat="1" ht="12.75" x14ac:dyDescent="0.2">
      <c r="A198" s="20" t="str">
        <f>Data!B194</f>
        <v>4505</v>
      </c>
      <c r="B198" s="21" t="str">
        <f>INDEX(Data[],MATCH($A198,Data[Dist],0),MATCH(B$4,Data[#Headers],0))</f>
        <v>Mormon Trail</v>
      </c>
      <c r="C198" s="22">
        <f>INDEX(Data[],MATCH($A198,Data[Dist],0),MATCH(C$4,Data[#Headers],0))</f>
        <v>1592709</v>
      </c>
      <c r="D198" s="22">
        <f>INDEX(Data[],MATCH($A198,Data[Dist],0),MATCH(D$4,Data[#Headers],0))</f>
        <v>282</v>
      </c>
      <c r="E198" s="22">
        <f>INDEX(Data[],MATCH($A198,Data[Dist],0),MATCH(E$4,Data[#Headers],0))</f>
        <v>0</v>
      </c>
      <c r="F198" s="22">
        <f>IF(Notes!$B$3="Pay 1 Regular State Payment Budget",0,INDEX(Data[],MATCH($A198,Data[Dist],0),MATCH(F$4,Data[#Headers],0)))</f>
        <v>0</v>
      </c>
      <c r="G198" s="22">
        <f>IF(OR(Notes!$B$3="Pay 1 Regular State Payment Budget",Notes!$B$3="Pay 2 Regular State Payment Budget"),0,INDEX(Data[],MATCH($A198,Data[Dist],0),MATCH(G$4,Data[#Headers],0)))</f>
        <v>0</v>
      </c>
      <c r="H198" s="22">
        <f>INDEX(Data[],MATCH($A198,Data[Dist],0),MATCH(H$4,Data[#Headers],0))</f>
        <v>1592427</v>
      </c>
    </row>
    <row r="199" spans="1:8" s="21" customFormat="1" ht="12.75" x14ac:dyDescent="0.2">
      <c r="A199" s="20" t="str">
        <f>Data!B195</f>
        <v>4509</v>
      </c>
      <c r="B199" s="21" t="str">
        <f>INDEX(Data[],MATCH($A199,Data[Dist],0),MATCH(B$4,Data[#Headers],0))</f>
        <v>Morning Sun</v>
      </c>
      <c r="C199" s="22">
        <f>INDEX(Data[],MATCH($A199,Data[Dist],0),MATCH(C$4,Data[#Headers],0))</f>
        <v>1453978</v>
      </c>
      <c r="D199" s="22">
        <f>INDEX(Data[],MATCH($A199,Data[Dist],0),MATCH(D$4,Data[#Headers],0))</f>
        <v>232</v>
      </c>
      <c r="E199" s="22">
        <f>INDEX(Data[],MATCH($A199,Data[Dist],0),MATCH(E$4,Data[#Headers],0))</f>
        <v>0</v>
      </c>
      <c r="F199" s="22">
        <f>IF(Notes!$B$3="Pay 1 Regular State Payment Budget",0,INDEX(Data[],MATCH($A199,Data[Dist],0),MATCH(F$4,Data[#Headers],0)))</f>
        <v>0</v>
      </c>
      <c r="G199" s="22">
        <f>IF(OR(Notes!$B$3="Pay 1 Regular State Payment Budget",Notes!$B$3="Pay 2 Regular State Payment Budget"),0,INDEX(Data[],MATCH($A199,Data[Dist],0),MATCH(G$4,Data[#Headers],0)))</f>
        <v>0</v>
      </c>
      <c r="H199" s="22">
        <f>INDEX(Data[],MATCH($A199,Data[Dist],0),MATCH(H$4,Data[#Headers],0))</f>
        <v>1453746</v>
      </c>
    </row>
    <row r="200" spans="1:8" s="21" customFormat="1" ht="12.75" x14ac:dyDescent="0.2">
      <c r="A200" s="20" t="str">
        <f>Data!B196</f>
        <v>4518</v>
      </c>
      <c r="B200" s="21" t="str">
        <f>INDEX(Data[],MATCH($A200,Data[Dist],0),MATCH(B$4,Data[#Headers],0))</f>
        <v>Moulton-Udell</v>
      </c>
      <c r="C200" s="22">
        <f>INDEX(Data[],MATCH($A200,Data[Dist],0),MATCH(C$4,Data[#Headers],0))</f>
        <v>1262519</v>
      </c>
      <c r="D200" s="22">
        <f>INDEX(Data[],MATCH($A200,Data[Dist],0),MATCH(D$4,Data[#Headers],0))</f>
        <v>83</v>
      </c>
      <c r="E200" s="22">
        <f>INDEX(Data[],MATCH($A200,Data[Dist],0),MATCH(E$4,Data[#Headers],0))</f>
        <v>0</v>
      </c>
      <c r="F200" s="22">
        <f>IF(Notes!$B$3="Pay 1 Regular State Payment Budget",0,INDEX(Data[],MATCH($A200,Data[Dist],0),MATCH(F$4,Data[#Headers],0)))</f>
        <v>0</v>
      </c>
      <c r="G200" s="22">
        <f>IF(OR(Notes!$B$3="Pay 1 Regular State Payment Budget",Notes!$B$3="Pay 2 Regular State Payment Budget"),0,INDEX(Data[],MATCH($A200,Data[Dist],0),MATCH(G$4,Data[#Headers],0)))</f>
        <v>0</v>
      </c>
      <c r="H200" s="22">
        <f>INDEX(Data[],MATCH($A200,Data[Dist],0),MATCH(H$4,Data[#Headers],0))</f>
        <v>1262436</v>
      </c>
    </row>
    <row r="201" spans="1:8" s="21" customFormat="1" ht="12.75" x14ac:dyDescent="0.2">
      <c r="A201" s="20" t="str">
        <f>Data!B197</f>
        <v>4527</v>
      </c>
      <c r="B201" s="21" t="str">
        <f>INDEX(Data[],MATCH($A201,Data[Dist],0),MATCH(B$4,Data[#Headers],0))</f>
        <v>Mount Ayr</v>
      </c>
      <c r="C201" s="22">
        <f>INDEX(Data[],MATCH($A201,Data[Dist],0),MATCH(C$4,Data[#Headers],0))</f>
        <v>3822711</v>
      </c>
      <c r="D201" s="22">
        <f>INDEX(Data[],MATCH($A201,Data[Dist],0),MATCH(D$4,Data[#Headers],0))</f>
        <v>564</v>
      </c>
      <c r="E201" s="22">
        <f>INDEX(Data[],MATCH($A201,Data[Dist],0),MATCH(E$4,Data[#Headers],0))</f>
        <v>0</v>
      </c>
      <c r="F201" s="22">
        <f>IF(Notes!$B$3="Pay 1 Regular State Payment Budget",0,INDEX(Data[],MATCH($A201,Data[Dist],0),MATCH(F$4,Data[#Headers],0)))</f>
        <v>0</v>
      </c>
      <c r="G201" s="22">
        <f>IF(OR(Notes!$B$3="Pay 1 Regular State Payment Budget",Notes!$B$3="Pay 2 Regular State Payment Budget"),0,INDEX(Data[],MATCH($A201,Data[Dist],0),MATCH(G$4,Data[#Headers],0)))</f>
        <v>0</v>
      </c>
      <c r="H201" s="22">
        <f>INDEX(Data[],MATCH($A201,Data[Dist],0),MATCH(H$4,Data[#Headers],0))</f>
        <v>3822147</v>
      </c>
    </row>
    <row r="202" spans="1:8" s="21" customFormat="1" ht="12.75" x14ac:dyDescent="0.2">
      <c r="A202" s="20" t="str">
        <f>Data!B198</f>
        <v>4536</v>
      </c>
      <c r="B202" s="21" t="str">
        <f>INDEX(Data[],MATCH($A202,Data[Dist],0),MATCH(B$4,Data[#Headers],0))</f>
        <v>Mount Pleasant</v>
      </c>
      <c r="C202" s="22">
        <f>INDEX(Data[],MATCH($A202,Data[Dist],0),MATCH(C$4,Data[#Headers],0))</f>
        <v>13255913</v>
      </c>
      <c r="D202" s="22">
        <f>INDEX(Data[],MATCH($A202,Data[Dist],0),MATCH(D$4,Data[#Headers],0))</f>
        <v>1211</v>
      </c>
      <c r="E202" s="22">
        <f>INDEX(Data[],MATCH($A202,Data[Dist],0),MATCH(E$4,Data[#Headers],0))</f>
        <v>926</v>
      </c>
      <c r="F202" s="22">
        <f>IF(Notes!$B$3="Pay 1 Regular State Payment Budget",0,INDEX(Data[],MATCH($A202,Data[Dist],0),MATCH(F$4,Data[#Headers],0)))</f>
        <v>0</v>
      </c>
      <c r="G202" s="22">
        <f>IF(OR(Notes!$B$3="Pay 1 Regular State Payment Budget",Notes!$B$3="Pay 2 Regular State Payment Budget"),0,INDEX(Data[],MATCH($A202,Data[Dist],0),MATCH(G$4,Data[#Headers],0)))</f>
        <v>0</v>
      </c>
      <c r="H202" s="22">
        <f>INDEX(Data[],MATCH($A202,Data[Dist],0),MATCH(H$4,Data[#Headers],0))</f>
        <v>13253776</v>
      </c>
    </row>
    <row r="203" spans="1:8" s="21" customFormat="1" ht="12.75" x14ac:dyDescent="0.2">
      <c r="A203" s="20" t="str">
        <f>Data!B199</f>
        <v>4554</v>
      </c>
      <c r="B203" s="21" t="str">
        <f>INDEX(Data[],MATCH($A203,Data[Dist],0),MATCH(B$4,Data[#Headers],0))</f>
        <v>Mount Vernon</v>
      </c>
      <c r="C203" s="22">
        <f>INDEX(Data[],MATCH($A203,Data[Dist],0),MATCH(C$4,Data[#Headers],0))</f>
        <v>7937993</v>
      </c>
      <c r="D203" s="22">
        <f>INDEX(Data[],MATCH($A203,Data[Dist],0),MATCH(D$4,Data[#Headers],0))</f>
        <v>746</v>
      </c>
      <c r="E203" s="22">
        <f>INDEX(Data[],MATCH($A203,Data[Dist],0),MATCH(E$4,Data[#Headers],0))</f>
        <v>0</v>
      </c>
      <c r="F203" s="22">
        <f>IF(Notes!$B$3="Pay 1 Regular State Payment Budget",0,INDEX(Data[],MATCH($A203,Data[Dist],0),MATCH(F$4,Data[#Headers],0)))</f>
        <v>0</v>
      </c>
      <c r="G203" s="22">
        <f>IF(OR(Notes!$B$3="Pay 1 Regular State Payment Budget",Notes!$B$3="Pay 2 Regular State Payment Budget"),0,INDEX(Data[],MATCH($A203,Data[Dist],0),MATCH(G$4,Data[#Headers],0)))</f>
        <v>0</v>
      </c>
      <c r="H203" s="22">
        <f>INDEX(Data[],MATCH($A203,Data[Dist],0),MATCH(H$4,Data[#Headers],0))</f>
        <v>7937247</v>
      </c>
    </row>
    <row r="204" spans="1:8" s="21" customFormat="1" ht="12.75" x14ac:dyDescent="0.2">
      <c r="A204" s="20" t="str">
        <f>Data!B200</f>
        <v>4572</v>
      </c>
      <c r="B204" s="21" t="str">
        <f>INDEX(Data[],MATCH($A204,Data[Dist],0),MATCH(B$4,Data[#Headers],0))</f>
        <v>Murray</v>
      </c>
      <c r="C204" s="22">
        <f>INDEX(Data[],MATCH($A204,Data[Dist],0),MATCH(C$4,Data[#Headers],0))</f>
        <v>1754991</v>
      </c>
      <c r="D204" s="22">
        <f>INDEX(Data[],MATCH($A204,Data[Dist],0),MATCH(D$4,Data[#Headers],0))</f>
        <v>381</v>
      </c>
      <c r="E204" s="22">
        <f>INDEX(Data[],MATCH($A204,Data[Dist],0),MATCH(E$4,Data[#Headers],0))</f>
        <v>0</v>
      </c>
      <c r="F204" s="22">
        <f>IF(Notes!$B$3="Pay 1 Regular State Payment Budget",0,INDEX(Data[],MATCH($A204,Data[Dist],0),MATCH(F$4,Data[#Headers],0)))</f>
        <v>0</v>
      </c>
      <c r="G204" s="22">
        <f>IF(OR(Notes!$B$3="Pay 1 Regular State Payment Budget",Notes!$B$3="Pay 2 Regular State Payment Budget"),0,INDEX(Data[],MATCH($A204,Data[Dist],0),MATCH(G$4,Data[#Headers],0)))</f>
        <v>0</v>
      </c>
      <c r="H204" s="22">
        <f>INDEX(Data[],MATCH($A204,Data[Dist],0),MATCH(H$4,Data[#Headers],0))</f>
        <v>1754610</v>
      </c>
    </row>
    <row r="205" spans="1:8" s="21" customFormat="1" ht="12.75" x14ac:dyDescent="0.2">
      <c r="A205" s="20" t="str">
        <f>Data!B201</f>
        <v>4581</v>
      </c>
      <c r="B205" s="21" t="str">
        <f>INDEX(Data[],MATCH($A205,Data[Dist],0),MATCH(B$4,Data[#Headers],0))</f>
        <v>Muscatine</v>
      </c>
      <c r="C205" s="22">
        <f>INDEX(Data[],MATCH($A205,Data[Dist],0),MATCH(C$4,Data[#Headers],0))</f>
        <v>34549998</v>
      </c>
      <c r="D205" s="22">
        <f>INDEX(Data[],MATCH($A205,Data[Dist],0),MATCH(D$4,Data[#Headers],0))</f>
        <v>3931</v>
      </c>
      <c r="E205" s="22">
        <f>INDEX(Data[],MATCH($A205,Data[Dist],0),MATCH(E$4,Data[#Headers],0))</f>
        <v>38175</v>
      </c>
      <c r="F205" s="22">
        <f>IF(Notes!$B$3="Pay 1 Regular State Payment Budget",0,INDEX(Data[],MATCH($A205,Data[Dist],0),MATCH(F$4,Data[#Headers],0)))</f>
        <v>0</v>
      </c>
      <c r="G205" s="22">
        <f>IF(OR(Notes!$B$3="Pay 1 Regular State Payment Budget",Notes!$B$3="Pay 2 Regular State Payment Budget"),0,INDEX(Data[],MATCH($A205,Data[Dist],0),MATCH(G$4,Data[#Headers],0)))</f>
        <v>0</v>
      </c>
      <c r="H205" s="22">
        <f>INDEX(Data[],MATCH($A205,Data[Dist],0),MATCH(H$4,Data[#Headers],0))</f>
        <v>34507892</v>
      </c>
    </row>
    <row r="206" spans="1:8" s="21" customFormat="1" ht="12.75" x14ac:dyDescent="0.2">
      <c r="A206" s="20" t="str">
        <f>Data!B202</f>
        <v>4599</v>
      </c>
      <c r="B206" s="21" t="str">
        <f>INDEX(Data[],MATCH($A206,Data[Dist],0),MATCH(B$4,Data[#Headers],0))</f>
        <v>Nashua-Plainfield</v>
      </c>
      <c r="C206" s="22">
        <f>INDEX(Data[],MATCH($A206,Data[Dist],0),MATCH(C$4,Data[#Headers],0))</f>
        <v>3920005</v>
      </c>
      <c r="D206" s="22">
        <f>INDEX(Data[],MATCH($A206,Data[Dist],0),MATCH(D$4,Data[#Headers],0))</f>
        <v>630</v>
      </c>
      <c r="E206" s="22">
        <f>INDEX(Data[],MATCH($A206,Data[Dist],0),MATCH(E$4,Data[#Headers],0))</f>
        <v>0</v>
      </c>
      <c r="F206" s="22">
        <f>IF(Notes!$B$3="Pay 1 Regular State Payment Budget",0,INDEX(Data[],MATCH($A206,Data[Dist],0),MATCH(F$4,Data[#Headers],0)))</f>
        <v>0</v>
      </c>
      <c r="G206" s="22">
        <f>IF(OR(Notes!$B$3="Pay 1 Regular State Payment Budget",Notes!$B$3="Pay 2 Regular State Payment Budget"),0,INDEX(Data[],MATCH($A206,Data[Dist],0),MATCH(G$4,Data[#Headers],0)))</f>
        <v>0</v>
      </c>
      <c r="H206" s="22">
        <f>INDEX(Data[],MATCH($A206,Data[Dist],0),MATCH(H$4,Data[#Headers],0))</f>
        <v>3919375</v>
      </c>
    </row>
    <row r="207" spans="1:8" s="21" customFormat="1" ht="12.75" x14ac:dyDescent="0.2">
      <c r="A207" s="20" t="str">
        <f>Data!B203</f>
        <v>4617</v>
      </c>
      <c r="B207" s="21" t="str">
        <f>INDEX(Data[],MATCH($A207,Data[Dist],0),MATCH(B$4,Data[#Headers],0))</f>
        <v>Nevada</v>
      </c>
      <c r="C207" s="22">
        <f>INDEX(Data[],MATCH($A207,Data[Dist],0),MATCH(C$4,Data[#Headers],0))</f>
        <v>9797141</v>
      </c>
      <c r="D207" s="22">
        <f>INDEX(Data[],MATCH($A207,Data[Dist],0),MATCH(D$4,Data[#Headers],0))</f>
        <v>1244</v>
      </c>
      <c r="E207" s="22">
        <f>INDEX(Data[],MATCH($A207,Data[Dist],0),MATCH(E$4,Data[#Headers],0))</f>
        <v>0</v>
      </c>
      <c r="F207" s="22">
        <f>IF(Notes!$B$3="Pay 1 Regular State Payment Budget",0,INDEX(Data[],MATCH($A207,Data[Dist],0),MATCH(F$4,Data[#Headers],0)))</f>
        <v>0</v>
      </c>
      <c r="G207" s="22">
        <f>IF(OR(Notes!$B$3="Pay 1 Regular State Payment Budget",Notes!$B$3="Pay 2 Regular State Payment Budget"),0,INDEX(Data[],MATCH($A207,Data[Dist],0),MATCH(G$4,Data[#Headers],0)))</f>
        <v>0</v>
      </c>
      <c r="H207" s="22">
        <f>INDEX(Data[],MATCH($A207,Data[Dist],0),MATCH(H$4,Data[#Headers],0))</f>
        <v>9795897</v>
      </c>
    </row>
    <row r="208" spans="1:8" s="21" customFormat="1" ht="12.75" x14ac:dyDescent="0.2">
      <c r="A208" s="20" t="str">
        <f>Data!B204</f>
        <v>4644</v>
      </c>
      <c r="B208" s="21" t="str">
        <f>INDEX(Data[],MATCH($A208,Data[Dist],0),MATCH(B$4,Data[#Headers],0))</f>
        <v>Newell-Fonda</v>
      </c>
      <c r="C208" s="22">
        <f>INDEX(Data[],MATCH($A208,Data[Dist],0),MATCH(C$4,Data[#Headers],0))</f>
        <v>2949615</v>
      </c>
      <c r="D208" s="22">
        <f>INDEX(Data[],MATCH($A208,Data[Dist],0),MATCH(D$4,Data[#Headers],0))</f>
        <v>498</v>
      </c>
      <c r="E208" s="22">
        <f>INDEX(Data[],MATCH($A208,Data[Dist],0),MATCH(E$4,Data[#Headers],0))</f>
        <v>0</v>
      </c>
      <c r="F208" s="22">
        <f>IF(Notes!$B$3="Pay 1 Regular State Payment Budget",0,INDEX(Data[],MATCH($A208,Data[Dist],0),MATCH(F$4,Data[#Headers],0)))</f>
        <v>0</v>
      </c>
      <c r="G208" s="22">
        <f>IF(OR(Notes!$B$3="Pay 1 Regular State Payment Budget",Notes!$B$3="Pay 2 Regular State Payment Budget"),0,INDEX(Data[],MATCH($A208,Data[Dist],0),MATCH(G$4,Data[#Headers],0)))</f>
        <v>0</v>
      </c>
      <c r="H208" s="22">
        <f>INDEX(Data[],MATCH($A208,Data[Dist],0),MATCH(H$4,Data[#Headers],0))</f>
        <v>2949117</v>
      </c>
    </row>
    <row r="209" spans="1:8" s="21" customFormat="1" ht="12.75" x14ac:dyDescent="0.2">
      <c r="A209" s="20" t="str">
        <f>Data!B205</f>
        <v>4662</v>
      </c>
      <c r="B209" s="21" t="str">
        <f>INDEX(Data[],MATCH($A209,Data[Dist],0),MATCH(B$4,Data[#Headers],0))</f>
        <v>New Hampton</v>
      </c>
      <c r="C209" s="22">
        <f>INDEX(Data[],MATCH($A209,Data[Dist],0),MATCH(C$4,Data[#Headers],0))</f>
        <v>5533203</v>
      </c>
      <c r="D209" s="22">
        <f>INDEX(Data[],MATCH($A209,Data[Dist],0),MATCH(D$4,Data[#Headers],0))</f>
        <v>1045</v>
      </c>
      <c r="E209" s="22">
        <f>INDEX(Data[],MATCH($A209,Data[Dist],0),MATCH(E$4,Data[#Headers],0))</f>
        <v>0</v>
      </c>
      <c r="F209" s="22">
        <f>IF(Notes!$B$3="Pay 1 Regular State Payment Budget",0,INDEX(Data[],MATCH($A209,Data[Dist],0),MATCH(F$4,Data[#Headers],0)))</f>
        <v>0</v>
      </c>
      <c r="G209" s="22">
        <f>IF(OR(Notes!$B$3="Pay 1 Regular State Payment Budget",Notes!$B$3="Pay 2 Regular State Payment Budget"),0,INDEX(Data[],MATCH($A209,Data[Dist],0),MATCH(G$4,Data[#Headers],0)))</f>
        <v>0</v>
      </c>
      <c r="H209" s="22">
        <f>INDEX(Data[],MATCH($A209,Data[Dist],0),MATCH(H$4,Data[#Headers],0))</f>
        <v>5532158</v>
      </c>
    </row>
    <row r="210" spans="1:8" s="21" customFormat="1" ht="12.75" x14ac:dyDescent="0.2">
      <c r="A210" s="20" t="str">
        <f>Data!B206</f>
        <v>4689</v>
      </c>
      <c r="B210" s="21" t="str">
        <f>INDEX(Data[],MATCH($A210,Data[Dist],0),MATCH(B$4,Data[#Headers],0))</f>
        <v>New London</v>
      </c>
      <c r="C210" s="22">
        <f>INDEX(Data[],MATCH($A210,Data[Dist],0),MATCH(C$4,Data[#Headers],0))</f>
        <v>4315343</v>
      </c>
      <c r="D210" s="22">
        <f>INDEX(Data[],MATCH($A210,Data[Dist],0),MATCH(D$4,Data[#Headers],0))</f>
        <v>365</v>
      </c>
      <c r="E210" s="22">
        <f>INDEX(Data[],MATCH($A210,Data[Dist],0),MATCH(E$4,Data[#Headers],0))</f>
        <v>0</v>
      </c>
      <c r="F210" s="22">
        <f>IF(Notes!$B$3="Pay 1 Regular State Payment Budget",0,INDEX(Data[],MATCH($A210,Data[Dist],0),MATCH(F$4,Data[#Headers],0)))</f>
        <v>0</v>
      </c>
      <c r="G210" s="22">
        <f>IF(OR(Notes!$B$3="Pay 1 Regular State Payment Budget",Notes!$B$3="Pay 2 Regular State Payment Budget"),0,INDEX(Data[],MATCH($A210,Data[Dist],0),MATCH(G$4,Data[#Headers],0)))</f>
        <v>0</v>
      </c>
      <c r="H210" s="22">
        <f>INDEX(Data[],MATCH($A210,Data[Dist],0),MATCH(H$4,Data[#Headers],0))</f>
        <v>4314978</v>
      </c>
    </row>
    <row r="211" spans="1:8" s="21" customFormat="1" ht="12.75" x14ac:dyDescent="0.2">
      <c r="A211" s="20" t="str">
        <f>Data!B207</f>
        <v>4725</v>
      </c>
      <c r="B211" s="21" t="str">
        <f>INDEX(Data[],MATCH($A211,Data[Dist],0),MATCH(B$4,Data[#Headers],0))</f>
        <v>Newton</v>
      </c>
      <c r="C211" s="22">
        <f>INDEX(Data[],MATCH($A211,Data[Dist],0),MATCH(C$4,Data[#Headers],0))</f>
        <v>23294544</v>
      </c>
      <c r="D211" s="22">
        <f>INDEX(Data[],MATCH($A211,Data[Dist],0),MATCH(D$4,Data[#Headers],0))</f>
        <v>1775</v>
      </c>
      <c r="E211" s="22">
        <f>INDEX(Data[],MATCH($A211,Data[Dist],0),MATCH(E$4,Data[#Headers],0))</f>
        <v>0</v>
      </c>
      <c r="F211" s="22">
        <f>IF(Notes!$B$3="Pay 1 Regular State Payment Budget",0,INDEX(Data[],MATCH($A211,Data[Dist],0),MATCH(F$4,Data[#Headers],0)))</f>
        <v>0</v>
      </c>
      <c r="G211" s="22">
        <f>IF(OR(Notes!$B$3="Pay 1 Regular State Payment Budget",Notes!$B$3="Pay 2 Regular State Payment Budget"),0,INDEX(Data[],MATCH($A211,Data[Dist],0),MATCH(G$4,Data[#Headers],0)))</f>
        <v>0</v>
      </c>
      <c r="H211" s="22">
        <f>INDEX(Data[],MATCH($A211,Data[Dist],0),MATCH(H$4,Data[#Headers],0))</f>
        <v>23292769</v>
      </c>
    </row>
    <row r="212" spans="1:8" s="21" customFormat="1" ht="12.75" x14ac:dyDescent="0.2">
      <c r="A212" s="20" t="str">
        <f>Data!B208</f>
        <v>4772</v>
      </c>
      <c r="B212" s="21" t="str">
        <f>INDEX(Data[],MATCH($A212,Data[Dist],0),MATCH(B$4,Data[#Headers],0))</f>
        <v>Central Springs</v>
      </c>
      <c r="C212" s="22">
        <f>INDEX(Data[],MATCH($A212,Data[Dist],0),MATCH(C$4,Data[#Headers],0))</f>
        <v>5319992</v>
      </c>
      <c r="D212" s="22">
        <f>INDEX(Data[],MATCH($A212,Data[Dist],0),MATCH(D$4,Data[#Headers],0))</f>
        <v>779</v>
      </c>
      <c r="E212" s="22">
        <f>INDEX(Data[],MATCH($A212,Data[Dist],0),MATCH(E$4,Data[#Headers],0))</f>
        <v>0</v>
      </c>
      <c r="F212" s="22">
        <f>IF(Notes!$B$3="Pay 1 Regular State Payment Budget",0,INDEX(Data[],MATCH($A212,Data[Dist],0),MATCH(F$4,Data[#Headers],0)))</f>
        <v>0</v>
      </c>
      <c r="G212" s="22">
        <f>IF(OR(Notes!$B$3="Pay 1 Regular State Payment Budget",Notes!$B$3="Pay 2 Regular State Payment Budget"),0,INDEX(Data[],MATCH($A212,Data[Dist],0),MATCH(G$4,Data[#Headers],0)))</f>
        <v>0</v>
      </c>
      <c r="H212" s="22">
        <f>INDEX(Data[],MATCH($A212,Data[Dist],0),MATCH(H$4,Data[#Headers],0))</f>
        <v>5319213</v>
      </c>
    </row>
    <row r="213" spans="1:8" s="21" customFormat="1" ht="12.75" x14ac:dyDescent="0.2">
      <c r="A213" s="20" t="str">
        <f>Data!B209</f>
        <v>4773</v>
      </c>
      <c r="B213" s="21" t="str">
        <f>INDEX(Data[],MATCH($A213,Data[Dist],0),MATCH(B$4,Data[#Headers],0))</f>
        <v>Northeast</v>
      </c>
      <c r="C213" s="22">
        <f>INDEX(Data[],MATCH($A213,Data[Dist],0),MATCH(C$4,Data[#Headers],0))</f>
        <v>3504307</v>
      </c>
      <c r="D213" s="22">
        <f>INDEX(Data[],MATCH($A213,Data[Dist],0),MATCH(D$4,Data[#Headers],0))</f>
        <v>663</v>
      </c>
      <c r="E213" s="22">
        <f>INDEX(Data[],MATCH($A213,Data[Dist],0),MATCH(E$4,Data[#Headers],0))</f>
        <v>0</v>
      </c>
      <c r="F213" s="22">
        <f>IF(Notes!$B$3="Pay 1 Regular State Payment Budget",0,INDEX(Data[],MATCH($A213,Data[Dist],0),MATCH(F$4,Data[#Headers],0)))</f>
        <v>0</v>
      </c>
      <c r="G213" s="22">
        <f>IF(OR(Notes!$B$3="Pay 1 Regular State Payment Budget",Notes!$B$3="Pay 2 Regular State Payment Budget"),0,INDEX(Data[],MATCH($A213,Data[Dist],0),MATCH(G$4,Data[#Headers],0)))</f>
        <v>0</v>
      </c>
      <c r="H213" s="22">
        <f>INDEX(Data[],MATCH($A213,Data[Dist],0),MATCH(H$4,Data[#Headers],0))</f>
        <v>3503644</v>
      </c>
    </row>
    <row r="214" spans="1:8" s="21" customFormat="1" ht="12.75" x14ac:dyDescent="0.2">
      <c r="A214" s="20" t="str">
        <f>Data!B210</f>
        <v>4774</v>
      </c>
      <c r="B214" s="21" t="str">
        <f>INDEX(Data[],MATCH($A214,Data[Dist],0),MATCH(B$4,Data[#Headers],0))</f>
        <v>North Fayette Valley</v>
      </c>
      <c r="C214" s="22">
        <f>INDEX(Data[],MATCH($A214,Data[Dist],0),MATCH(C$4,Data[#Headers],0))</f>
        <v>8202708</v>
      </c>
      <c r="D214" s="22">
        <f>INDEX(Data[],MATCH($A214,Data[Dist],0),MATCH(D$4,Data[#Headers],0))</f>
        <v>1028</v>
      </c>
      <c r="E214" s="22">
        <f>INDEX(Data[],MATCH($A214,Data[Dist],0),MATCH(E$4,Data[#Headers],0))</f>
        <v>0</v>
      </c>
      <c r="F214" s="22">
        <f>IF(Notes!$B$3="Pay 1 Regular State Payment Budget",0,INDEX(Data[],MATCH($A214,Data[Dist],0),MATCH(F$4,Data[#Headers],0)))</f>
        <v>0</v>
      </c>
      <c r="G214" s="22">
        <f>IF(OR(Notes!$B$3="Pay 1 Regular State Payment Budget",Notes!$B$3="Pay 2 Regular State Payment Budget"),0,INDEX(Data[],MATCH($A214,Data[Dist],0),MATCH(G$4,Data[#Headers],0)))</f>
        <v>0</v>
      </c>
      <c r="H214" s="22">
        <f>INDEX(Data[],MATCH($A214,Data[Dist],0),MATCH(H$4,Data[#Headers],0))</f>
        <v>8201680</v>
      </c>
    </row>
    <row r="215" spans="1:8" s="21" customFormat="1" ht="12.75" x14ac:dyDescent="0.2">
      <c r="A215" s="20" t="str">
        <f>Data!B211</f>
        <v>4776</v>
      </c>
      <c r="B215" s="21" t="str">
        <f>INDEX(Data[],MATCH($A215,Data[Dist],0),MATCH(B$4,Data[#Headers],0))</f>
        <v>North Mahaska</v>
      </c>
      <c r="C215" s="22">
        <f>INDEX(Data[],MATCH($A215,Data[Dist],0),MATCH(C$4,Data[#Headers],0))</f>
        <v>3068151</v>
      </c>
      <c r="D215" s="22">
        <f>INDEX(Data[],MATCH($A215,Data[Dist],0),MATCH(D$4,Data[#Headers],0))</f>
        <v>431</v>
      </c>
      <c r="E215" s="22">
        <f>INDEX(Data[],MATCH($A215,Data[Dist],0),MATCH(E$4,Data[#Headers],0))</f>
        <v>0</v>
      </c>
      <c r="F215" s="22">
        <f>IF(Notes!$B$3="Pay 1 Regular State Payment Budget",0,INDEX(Data[],MATCH($A215,Data[Dist],0),MATCH(F$4,Data[#Headers],0)))</f>
        <v>0</v>
      </c>
      <c r="G215" s="22">
        <f>IF(OR(Notes!$B$3="Pay 1 Regular State Payment Budget",Notes!$B$3="Pay 2 Regular State Payment Budget"),0,INDEX(Data[],MATCH($A215,Data[Dist],0),MATCH(G$4,Data[#Headers],0)))</f>
        <v>0</v>
      </c>
      <c r="H215" s="22">
        <f>INDEX(Data[],MATCH($A215,Data[Dist],0),MATCH(H$4,Data[#Headers],0))</f>
        <v>3067720</v>
      </c>
    </row>
    <row r="216" spans="1:8" s="21" customFormat="1" ht="12.75" x14ac:dyDescent="0.2">
      <c r="A216" s="20" t="str">
        <f>Data!B212</f>
        <v>4777</v>
      </c>
      <c r="B216" s="21" t="str">
        <f>INDEX(Data[],MATCH($A216,Data[Dist],0),MATCH(B$4,Data[#Headers],0))</f>
        <v>North Linn</v>
      </c>
      <c r="C216" s="22">
        <f>INDEX(Data[],MATCH($A216,Data[Dist],0),MATCH(C$4,Data[#Headers],0))</f>
        <v>3487351</v>
      </c>
      <c r="D216" s="22">
        <f>INDEX(Data[],MATCH($A216,Data[Dist],0),MATCH(D$4,Data[#Headers],0))</f>
        <v>332</v>
      </c>
      <c r="E216" s="22">
        <f>INDEX(Data[],MATCH($A216,Data[Dist],0),MATCH(E$4,Data[#Headers],0))</f>
        <v>0</v>
      </c>
      <c r="F216" s="22">
        <f>IF(Notes!$B$3="Pay 1 Regular State Payment Budget",0,INDEX(Data[],MATCH($A216,Data[Dist],0),MATCH(F$4,Data[#Headers],0)))</f>
        <v>0</v>
      </c>
      <c r="G216" s="22">
        <f>IF(OR(Notes!$B$3="Pay 1 Regular State Payment Budget",Notes!$B$3="Pay 2 Regular State Payment Budget"),0,INDEX(Data[],MATCH($A216,Data[Dist],0),MATCH(G$4,Data[#Headers],0)))</f>
        <v>0</v>
      </c>
      <c r="H216" s="22">
        <f>INDEX(Data[],MATCH($A216,Data[Dist],0),MATCH(H$4,Data[#Headers],0))</f>
        <v>3487019</v>
      </c>
    </row>
    <row r="217" spans="1:8" s="21" customFormat="1" ht="12.75" x14ac:dyDescent="0.2">
      <c r="A217" s="20" t="str">
        <f>Data!B213</f>
        <v>4778</v>
      </c>
      <c r="B217" s="21" t="str">
        <f>INDEX(Data[],MATCH($A217,Data[Dist],0),MATCH(B$4,Data[#Headers],0))</f>
        <v>North Kossuth</v>
      </c>
      <c r="C217" s="22">
        <f>INDEX(Data[],MATCH($A217,Data[Dist],0),MATCH(C$4,Data[#Headers],0))</f>
        <v>745374</v>
      </c>
      <c r="D217" s="22">
        <f>INDEX(Data[],MATCH($A217,Data[Dist],0),MATCH(D$4,Data[#Headers],0))</f>
        <v>398</v>
      </c>
      <c r="E217" s="22">
        <f>INDEX(Data[],MATCH($A217,Data[Dist],0),MATCH(E$4,Data[#Headers],0))</f>
        <v>0</v>
      </c>
      <c r="F217" s="22">
        <f>IF(Notes!$B$3="Pay 1 Regular State Payment Budget",0,INDEX(Data[],MATCH($A217,Data[Dist],0),MATCH(F$4,Data[#Headers],0)))</f>
        <v>0</v>
      </c>
      <c r="G217" s="22">
        <f>IF(OR(Notes!$B$3="Pay 1 Regular State Payment Budget",Notes!$B$3="Pay 2 Regular State Payment Budget"),0,INDEX(Data[],MATCH($A217,Data[Dist],0),MATCH(G$4,Data[#Headers],0)))</f>
        <v>0</v>
      </c>
      <c r="H217" s="22">
        <f>INDEX(Data[],MATCH($A217,Data[Dist],0),MATCH(H$4,Data[#Headers],0))</f>
        <v>744976</v>
      </c>
    </row>
    <row r="218" spans="1:8" s="21" customFormat="1" ht="12.75" x14ac:dyDescent="0.2">
      <c r="A218" s="20" t="str">
        <f>Data!B214</f>
        <v>4779</v>
      </c>
      <c r="B218" s="21" t="str">
        <f>INDEX(Data[],MATCH($A218,Data[Dist],0),MATCH(B$4,Data[#Headers],0))</f>
        <v>North Polk</v>
      </c>
      <c r="C218" s="22">
        <f>INDEX(Data[],MATCH($A218,Data[Dist],0),MATCH(C$4,Data[#Headers],0))</f>
        <v>15110275</v>
      </c>
      <c r="D218" s="22">
        <f>INDEX(Data[],MATCH($A218,Data[Dist],0),MATCH(D$4,Data[#Headers],0))</f>
        <v>1741</v>
      </c>
      <c r="E218" s="22">
        <f>INDEX(Data[],MATCH($A218,Data[Dist],0),MATCH(E$4,Data[#Headers],0))</f>
        <v>0</v>
      </c>
      <c r="F218" s="22">
        <f>IF(Notes!$B$3="Pay 1 Regular State Payment Budget",0,INDEX(Data[],MATCH($A218,Data[Dist],0),MATCH(F$4,Data[#Headers],0)))</f>
        <v>0</v>
      </c>
      <c r="G218" s="22">
        <f>IF(OR(Notes!$B$3="Pay 1 Regular State Payment Budget",Notes!$B$3="Pay 2 Regular State Payment Budget"),0,INDEX(Data[],MATCH($A218,Data[Dist],0),MATCH(G$4,Data[#Headers],0)))</f>
        <v>0</v>
      </c>
      <c r="H218" s="22">
        <f>INDEX(Data[],MATCH($A218,Data[Dist],0),MATCH(H$4,Data[#Headers],0))</f>
        <v>15108534</v>
      </c>
    </row>
    <row r="219" spans="1:8" s="21" customFormat="1" ht="12.75" x14ac:dyDescent="0.2">
      <c r="A219" s="20" t="str">
        <f>Data!B215</f>
        <v>4784</v>
      </c>
      <c r="B219" s="21" t="str">
        <f>INDEX(Data[],MATCH($A219,Data[Dist],0),MATCH(B$4,Data[#Headers],0))</f>
        <v>North Scott</v>
      </c>
      <c r="C219" s="22">
        <f>INDEX(Data[],MATCH($A219,Data[Dist],0),MATCH(C$4,Data[#Headers],0))</f>
        <v>20542085</v>
      </c>
      <c r="D219" s="22">
        <f>INDEX(Data[],MATCH($A219,Data[Dist],0),MATCH(D$4,Data[#Headers],0))</f>
        <v>2405</v>
      </c>
      <c r="E219" s="22">
        <f>INDEX(Data[],MATCH($A219,Data[Dist],0),MATCH(E$4,Data[#Headers],0))</f>
        <v>0</v>
      </c>
      <c r="F219" s="22">
        <f>IF(Notes!$B$3="Pay 1 Regular State Payment Budget",0,INDEX(Data[],MATCH($A219,Data[Dist],0),MATCH(F$4,Data[#Headers],0)))</f>
        <v>0</v>
      </c>
      <c r="G219" s="22">
        <f>IF(OR(Notes!$B$3="Pay 1 Regular State Payment Budget",Notes!$B$3="Pay 2 Regular State Payment Budget"),0,INDEX(Data[],MATCH($A219,Data[Dist],0),MATCH(G$4,Data[#Headers],0)))</f>
        <v>0</v>
      </c>
      <c r="H219" s="22">
        <f>INDEX(Data[],MATCH($A219,Data[Dist],0),MATCH(H$4,Data[#Headers],0))</f>
        <v>20539680</v>
      </c>
    </row>
    <row r="220" spans="1:8" s="21" customFormat="1" ht="12.75" x14ac:dyDescent="0.2">
      <c r="A220" s="20" t="str">
        <f>Data!B216</f>
        <v>4785</v>
      </c>
      <c r="B220" s="21" t="str">
        <f>INDEX(Data[],MATCH($A220,Data[Dist],0),MATCH(B$4,Data[#Headers],0))</f>
        <v>North Tama</v>
      </c>
      <c r="C220" s="22">
        <f>INDEX(Data[],MATCH($A220,Data[Dist],0),MATCH(C$4,Data[#Headers],0))</f>
        <v>2715041</v>
      </c>
      <c r="D220" s="22">
        <f>INDEX(Data[],MATCH($A220,Data[Dist],0),MATCH(D$4,Data[#Headers],0))</f>
        <v>564</v>
      </c>
      <c r="E220" s="22">
        <f>INDEX(Data[],MATCH($A220,Data[Dist],0),MATCH(E$4,Data[#Headers],0))</f>
        <v>0</v>
      </c>
      <c r="F220" s="22">
        <f>IF(Notes!$B$3="Pay 1 Regular State Payment Budget",0,INDEX(Data[],MATCH($A220,Data[Dist],0),MATCH(F$4,Data[#Headers],0)))</f>
        <v>0</v>
      </c>
      <c r="G220" s="22">
        <f>IF(OR(Notes!$B$3="Pay 1 Regular State Payment Budget",Notes!$B$3="Pay 2 Regular State Payment Budget"),0,INDEX(Data[],MATCH($A220,Data[Dist],0),MATCH(G$4,Data[#Headers],0)))</f>
        <v>0</v>
      </c>
      <c r="H220" s="22">
        <f>INDEX(Data[],MATCH($A220,Data[Dist],0),MATCH(H$4,Data[#Headers],0))</f>
        <v>2714477</v>
      </c>
    </row>
    <row r="221" spans="1:8" s="21" customFormat="1" ht="12.75" x14ac:dyDescent="0.2">
      <c r="A221" s="20" t="str">
        <f>Data!B217</f>
        <v>4788</v>
      </c>
      <c r="B221" s="21" t="str">
        <f>INDEX(Data[],MATCH($A221,Data[Dist],0),MATCH(B$4,Data[#Headers],0))</f>
        <v>Northwood-Kensett</v>
      </c>
      <c r="C221" s="22">
        <f>INDEX(Data[],MATCH($A221,Data[Dist],0),MATCH(C$4,Data[#Headers],0))</f>
        <v>3370657</v>
      </c>
      <c r="D221" s="22">
        <f>INDEX(Data[],MATCH($A221,Data[Dist],0),MATCH(D$4,Data[#Headers],0))</f>
        <v>680</v>
      </c>
      <c r="E221" s="22">
        <f>INDEX(Data[],MATCH($A221,Data[Dist],0),MATCH(E$4,Data[#Headers],0))</f>
        <v>0</v>
      </c>
      <c r="F221" s="22">
        <f>IF(Notes!$B$3="Pay 1 Regular State Payment Budget",0,INDEX(Data[],MATCH($A221,Data[Dist],0),MATCH(F$4,Data[#Headers],0)))</f>
        <v>0</v>
      </c>
      <c r="G221" s="22">
        <f>IF(OR(Notes!$B$3="Pay 1 Regular State Payment Budget",Notes!$B$3="Pay 2 Regular State Payment Budget"),0,INDEX(Data[],MATCH($A221,Data[Dist],0),MATCH(G$4,Data[#Headers],0)))</f>
        <v>0</v>
      </c>
      <c r="H221" s="22">
        <f>INDEX(Data[],MATCH($A221,Data[Dist],0),MATCH(H$4,Data[#Headers],0))</f>
        <v>3369977</v>
      </c>
    </row>
    <row r="222" spans="1:8" s="21" customFormat="1" ht="12.75" x14ac:dyDescent="0.2">
      <c r="A222" s="20" t="str">
        <f>Data!B218</f>
        <v>4797</v>
      </c>
      <c r="B222" s="21" t="str">
        <f>INDEX(Data[],MATCH($A222,Data[Dist],0),MATCH(B$4,Data[#Headers],0))</f>
        <v>Norwalk</v>
      </c>
      <c r="C222" s="22">
        <f>INDEX(Data[],MATCH($A222,Data[Dist],0),MATCH(C$4,Data[#Headers],0))</f>
        <v>26985290</v>
      </c>
      <c r="D222" s="22">
        <f>INDEX(Data[],MATCH($A222,Data[Dist],0),MATCH(D$4,Data[#Headers],0))</f>
        <v>1924</v>
      </c>
      <c r="E222" s="22">
        <f>INDEX(Data[],MATCH($A222,Data[Dist],0),MATCH(E$4,Data[#Headers],0))</f>
        <v>40069</v>
      </c>
      <c r="F222" s="22">
        <f>IF(Notes!$B$3="Pay 1 Regular State Payment Budget",0,INDEX(Data[],MATCH($A222,Data[Dist],0),MATCH(F$4,Data[#Headers],0)))</f>
        <v>0</v>
      </c>
      <c r="G222" s="22">
        <f>IF(OR(Notes!$B$3="Pay 1 Regular State Payment Budget",Notes!$B$3="Pay 2 Regular State Payment Budget"),0,INDEX(Data[],MATCH($A222,Data[Dist],0),MATCH(G$4,Data[#Headers],0)))</f>
        <v>0</v>
      </c>
      <c r="H222" s="22">
        <f>INDEX(Data[],MATCH($A222,Data[Dist],0),MATCH(H$4,Data[#Headers],0))</f>
        <v>26943297</v>
      </c>
    </row>
    <row r="223" spans="1:8" s="21" customFormat="1" ht="12.75" x14ac:dyDescent="0.2">
      <c r="A223" s="20" t="str">
        <f>Data!B219</f>
        <v>4824</v>
      </c>
      <c r="B223" s="21" t="str">
        <f>INDEX(Data[],MATCH($A223,Data[Dist],0),MATCH(B$4,Data[#Headers],0))</f>
        <v>Riverside</v>
      </c>
      <c r="C223" s="22">
        <f>INDEX(Data[],MATCH($A223,Data[Dist],0),MATCH(C$4,Data[#Headers],0))</f>
        <v>4455556</v>
      </c>
      <c r="D223" s="22">
        <f>INDEX(Data[],MATCH($A223,Data[Dist],0),MATCH(D$4,Data[#Headers],0))</f>
        <v>663</v>
      </c>
      <c r="E223" s="22">
        <f>INDEX(Data[],MATCH($A223,Data[Dist],0),MATCH(E$4,Data[#Headers],0))</f>
        <v>0</v>
      </c>
      <c r="F223" s="22">
        <f>IF(Notes!$B$3="Pay 1 Regular State Payment Budget",0,INDEX(Data[],MATCH($A223,Data[Dist],0),MATCH(F$4,Data[#Headers],0)))</f>
        <v>0</v>
      </c>
      <c r="G223" s="22">
        <f>IF(OR(Notes!$B$3="Pay 1 Regular State Payment Budget",Notes!$B$3="Pay 2 Regular State Payment Budget"),0,INDEX(Data[],MATCH($A223,Data[Dist],0),MATCH(G$4,Data[#Headers],0)))</f>
        <v>0</v>
      </c>
      <c r="H223" s="22">
        <f>INDEX(Data[],MATCH($A223,Data[Dist],0),MATCH(H$4,Data[#Headers],0))</f>
        <v>4454893</v>
      </c>
    </row>
    <row r="224" spans="1:8" s="21" customFormat="1" ht="12.75" x14ac:dyDescent="0.2">
      <c r="A224" s="20" t="str">
        <f>Data!B220</f>
        <v>4860</v>
      </c>
      <c r="B224" s="21" t="str">
        <f>INDEX(Data[],MATCH($A224,Data[Dist],0),MATCH(B$4,Data[#Headers],0))</f>
        <v>Odebolt Arthur Battle Creek Ida Gr</v>
      </c>
      <c r="C224" s="22">
        <f>INDEX(Data[],MATCH($A224,Data[Dist],0),MATCH(C$4,Data[#Headers],0))</f>
        <v>5454267</v>
      </c>
      <c r="D224" s="22">
        <f>INDEX(Data[],MATCH($A224,Data[Dist],0),MATCH(D$4,Data[#Headers],0))</f>
        <v>779</v>
      </c>
      <c r="E224" s="22">
        <f>INDEX(Data[],MATCH($A224,Data[Dist],0),MATCH(E$4,Data[#Headers],0))</f>
        <v>0</v>
      </c>
      <c r="F224" s="22">
        <f>IF(Notes!$B$3="Pay 1 Regular State Payment Budget",0,INDEX(Data[],MATCH($A224,Data[Dist],0),MATCH(F$4,Data[#Headers],0)))</f>
        <v>0</v>
      </c>
      <c r="G224" s="22">
        <f>IF(OR(Notes!$B$3="Pay 1 Regular State Payment Budget",Notes!$B$3="Pay 2 Regular State Payment Budget"),0,INDEX(Data[],MATCH($A224,Data[Dist],0),MATCH(G$4,Data[#Headers],0)))</f>
        <v>0</v>
      </c>
      <c r="H224" s="22">
        <f>INDEX(Data[],MATCH($A224,Data[Dist],0),MATCH(H$4,Data[#Headers],0))</f>
        <v>5453488</v>
      </c>
    </row>
    <row r="225" spans="1:8" s="21" customFormat="1" ht="12.75" x14ac:dyDescent="0.2">
      <c r="A225" s="20" t="str">
        <f>Data!B221</f>
        <v>4869</v>
      </c>
      <c r="B225" s="21" t="str">
        <f>INDEX(Data[],MATCH($A225,Data[Dist],0),MATCH(B$4,Data[#Headers],0))</f>
        <v>Oelwein</v>
      </c>
      <c r="C225" s="22">
        <f>INDEX(Data[],MATCH($A225,Data[Dist],0),MATCH(C$4,Data[#Headers],0))</f>
        <v>11027516</v>
      </c>
      <c r="D225" s="22">
        <f>INDEX(Data[],MATCH($A225,Data[Dist],0),MATCH(D$4,Data[#Headers],0))</f>
        <v>614</v>
      </c>
      <c r="E225" s="22">
        <f>INDEX(Data[],MATCH($A225,Data[Dist],0),MATCH(E$4,Data[#Headers],0))</f>
        <v>0</v>
      </c>
      <c r="F225" s="22">
        <f>IF(Notes!$B$3="Pay 1 Regular State Payment Budget",0,INDEX(Data[],MATCH($A225,Data[Dist],0),MATCH(F$4,Data[#Headers],0)))</f>
        <v>0</v>
      </c>
      <c r="G225" s="22">
        <f>IF(OR(Notes!$B$3="Pay 1 Regular State Payment Budget",Notes!$B$3="Pay 2 Regular State Payment Budget"),0,INDEX(Data[],MATCH($A225,Data[Dist],0),MATCH(G$4,Data[#Headers],0)))</f>
        <v>0</v>
      </c>
      <c r="H225" s="22">
        <f>INDEX(Data[],MATCH($A225,Data[Dist],0),MATCH(H$4,Data[#Headers],0))</f>
        <v>11026902</v>
      </c>
    </row>
    <row r="226" spans="1:8" s="21" customFormat="1" ht="12.75" x14ac:dyDescent="0.2">
      <c r="A226" s="20" t="str">
        <f>Data!B222</f>
        <v>4878</v>
      </c>
      <c r="B226" s="21" t="str">
        <f>INDEX(Data[],MATCH($A226,Data[Dist],0),MATCH(B$4,Data[#Headers],0))</f>
        <v>Ogden</v>
      </c>
      <c r="C226" s="22">
        <f>INDEX(Data[],MATCH($A226,Data[Dist],0),MATCH(C$4,Data[#Headers],0))</f>
        <v>3336932</v>
      </c>
      <c r="D226" s="22">
        <f>INDEX(Data[],MATCH($A226,Data[Dist],0),MATCH(D$4,Data[#Headers],0))</f>
        <v>713</v>
      </c>
      <c r="E226" s="22">
        <f>INDEX(Data[],MATCH($A226,Data[Dist],0),MATCH(E$4,Data[#Headers],0))</f>
        <v>0</v>
      </c>
      <c r="F226" s="22">
        <f>IF(Notes!$B$3="Pay 1 Regular State Payment Budget",0,INDEX(Data[],MATCH($A226,Data[Dist],0),MATCH(F$4,Data[#Headers],0)))</f>
        <v>0</v>
      </c>
      <c r="G226" s="22">
        <f>IF(OR(Notes!$B$3="Pay 1 Regular State Payment Budget",Notes!$B$3="Pay 2 Regular State Payment Budget"),0,INDEX(Data[],MATCH($A226,Data[Dist],0),MATCH(G$4,Data[#Headers],0)))</f>
        <v>0</v>
      </c>
      <c r="H226" s="22">
        <f>INDEX(Data[],MATCH($A226,Data[Dist],0),MATCH(H$4,Data[#Headers],0))</f>
        <v>3336219</v>
      </c>
    </row>
    <row r="227" spans="1:8" s="21" customFormat="1" ht="12.75" x14ac:dyDescent="0.2">
      <c r="A227" s="20" t="str">
        <f>Data!B223</f>
        <v>4890</v>
      </c>
      <c r="B227" s="21" t="str">
        <f>INDEX(Data[],MATCH($A227,Data[Dist],0),MATCH(B$4,Data[#Headers],0))</f>
        <v>Okoboji</v>
      </c>
      <c r="C227" s="22">
        <f>INDEX(Data[],MATCH($A227,Data[Dist],0),MATCH(C$4,Data[#Headers],0))</f>
        <v>823055</v>
      </c>
      <c r="D227" s="22">
        <f>INDEX(Data[],MATCH($A227,Data[Dist],0),MATCH(D$4,Data[#Headers],0))</f>
        <v>1128</v>
      </c>
      <c r="E227" s="22">
        <f>INDEX(Data[],MATCH($A227,Data[Dist],0),MATCH(E$4,Data[#Headers],0))</f>
        <v>0</v>
      </c>
      <c r="F227" s="22">
        <f>IF(Notes!$B$3="Pay 1 Regular State Payment Budget",0,INDEX(Data[],MATCH($A227,Data[Dist],0),MATCH(F$4,Data[#Headers],0)))</f>
        <v>0</v>
      </c>
      <c r="G227" s="22">
        <f>IF(OR(Notes!$B$3="Pay 1 Regular State Payment Budget",Notes!$B$3="Pay 2 Regular State Payment Budget"),0,INDEX(Data[],MATCH($A227,Data[Dist],0),MATCH(G$4,Data[#Headers],0)))</f>
        <v>0</v>
      </c>
      <c r="H227" s="22">
        <f>INDEX(Data[],MATCH($A227,Data[Dist],0),MATCH(H$4,Data[#Headers],0))</f>
        <v>821927</v>
      </c>
    </row>
    <row r="228" spans="1:8" s="21" customFormat="1" ht="12.75" x14ac:dyDescent="0.2">
      <c r="A228" s="20" t="str">
        <f>Data!B224</f>
        <v>4905</v>
      </c>
      <c r="B228" s="21" t="str">
        <f>INDEX(Data[],MATCH($A228,Data[Dist],0),MATCH(B$4,Data[#Headers],0))</f>
        <v>Olin</v>
      </c>
      <c r="C228" s="22">
        <f>INDEX(Data[],MATCH($A228,Data[Dist],0),MATCH(C$4,Data[#Headers],0))</f>
        <v>1471490</v>
      </c>
      <c r="D228" s="22">
        <f>INDEX(Data[],MATCH($A228,Data[Dist],0),MATCH(D$4,Data[#Headers],0))</f>
        <v>166</v>
      </c>
      <c r="E228" s="22">
        <f>INDEX(Data[],MATCH($A228,Data[Dist],0),MATCH(E$4,Data[#Headers],0))</f>
        <v>0</v>
      </c>
      <c r="F228" s="22">
        <f>IF(Notes!$B$3="Pay 1 Regular State Payment Budget",0,INDEX(Data[],MATCH($A228,Data[Dist],0),MATCH(F$4,Data[#Headers],0)))</f>
        <v>0</v>
      </c>
      <c r="G228" s="22">
        <f>IF(OR(Notes!$B$3="Pay 1 Regular State Payment Budget",Notes!$B$3="Pay 2 Regular State Payment Budget"),0,INDEX(Data[],MATCH($A228,Data[Dist],0),MATCH(G$4,Data[#Headers],0)))</f>
        <v>0</v>
      </c>
      <c r="H228" s="22">
        <f>INDEX(Data[],MATCH($A228,Data[Dist],0),MATCH(H$4,Data[#Headers],0))</f>
        <v>1471324</v>
      </c>
    </row>
    <row r="229" spans="1:8" s="21" customFormat="1" ht="12.75" x14ac:dyDescent="0.2">
      <c r="A229" s="20" t="str">
        <f>Data!B225</f>
        <v>4978</v>
      </c>
      <c r="B229" s="21" t="str">
        <f>INDEX(Data[],MATCH($A229,Data[Dist],0),MATCH(B$4,Data[#Headers],0))</f>
        <v>Orient-Macksburg</v>
      </c>
      <c r="C229" s="22">
        <f>INDEX(Data[],MATCH($A229,Data[Dist],0),MATCH(C$4,Data[#Headers],0))</f>
        <v>808860</v>
      </c>
      <c r="D229" s="22">
        <f>INDEX(Data[],MATCH($A229,Data[Dist],0),MATCH(D$4,Data[#Headers],0))</f>
        <v>66</v>
      </c>
      <c r="E229" s="22">
        <f>INDEX(Data[],MATCH($A229,Data[Dist],0),MATCH(E$4,Data[#Headers],0))</f>
        <v>0</v>
      </c>
      <c r="F229" s="22">
        <f>IF(Notes!$B$3="Pay 1 Regular State Payment Budget",0,INDEX(Data[],MATCH($A229,Data[Dist],0),MATCH(F$4,Data[#Headers],0)))</f>
        <v>0</v>
      </c>
      <c r="G229" s="22">
        <f>IF(OR(Notes!$B$3="Pay 1 Regular State Payment Budget",Notes!$B$3="Pay 2 Regular State Payment Budget"),0,INDEX(Data[],MATCH($A229,Data[Dist],0),MATCH(G$4,Data[#Headers],0)))</f>
        <v>0</v>
      </c>
      <c r="H229" s="22">
        <f>INDEX(Data[],MATCH($A229,Data[Dist],0),MATCH(H$4,Data[#Headers],0))</f>
        <v>808794</v>
      </c>
    </row>
    <row r="230" spans="1:8" s="21" customFormat="1" ht="12.75" x14ac:dyDescent="0.2">
      <c r="A230" s="20" t="str">
        <f>Data!B226</f>
        <v>4995</v>
      </c>
      <c r="B230" s="21" t="str">
        <f>INDEX(Data[],MATCH($A230,Data[Dist],0),MATCH(B$4,Data[#Headers],0))</f>
        <v>Osage</v>
      </c>
      <c r="C230" s="22">
        <f>INDEX(Data[],MATCH($A230,Data[Dist],0),MATCH(C$4,Data[#Headers],0))</f>
        <v>5920400</v>
      </c>
      <c r="D230" s="22">
        <f>INDEX(Data[],MATCH($A230,Data[Dist],0),MATCH(D$4,Data[#Headers],0))</f>
        <v>1045</v>
      </c>
      <c r="E230" s="22">
        <f>INDEX(Data[],MATCH($A230,Data[Dist],0),MATCH(E$4,Data[#Headers],0))</f>
        <v>0</v>
      </c>
      <c r="F230" s="22">
        <f>IF(Notes!$B$3="Pay 1 Regular State Payment Budget",0,INDEX(Data[],MATCH($A230,Data[Dist],0),MATCH(F$4,Data[#Headers],0)))</f>
        <v>0</v>
      </c>
      <c r="G230" s="22">
        <f>IF(OR(Notes!$B$3="Pay 1 Regular State Payment Budget",Notes!$B$3="Pay 2 Regular State Payment Budget"),0,INDEX(Data[],MATCH($A230,Data[Dist],0),MATCH(G$4,Data[#Headers],0)))</f>
        <v>0</v>
      </c>
      <c r="H230" s="22">
        <f>INDEX(Data[],MATCH($A230,Data[Dist],0),MATCH(H$4,Data[#Headers],0))</f>
        <v>5919355</v>
      </c>
    </row>
    <row r="231" spans="1:8" s="21" customFormat="1" ht="12.75" x14ac:dyDescent="0.2">
      <c r="A231" s="20" t="str">
        <f>Data!B227</f>
        <v>5013</v>
      </c>
      <c r="B231" s="21" t="str">
        <f>INDEX(Data[],MATCH($A231,Data[Dist],0),MATCH(B$4,Data[#Headers],0))</f>
        <v>Oskaloosa</v>
      </c>
      <c r="C231" s="22">
        <f>INDEX(Data[],MATCH($A231,Data[Dist],0),MATCH(C$4,Data[#Headers],0))</f>
        <v>17009223</v>
      </c>
      <c r="D231" s="22">
        <f>INDEX(Data[],MATCH($A231,Data[Dist],0),MATCH(D$4,Data[#Headers],0))</f>
        <v>1974</v>
      </c>
      <c r="E231" s="22">
        <f>INDEX(Data[],MATCH($A231,Data[Dist],0),MATCH(E$4,Data[#Headers],0))</f>
        <v>0</v>
      </c>
      <c r="F231" s="22">
        <f>IF(Notes!$B$3="Pay 1 Regular State Payment Budget",0,INDEX(Data[],MATCH($A231,Data[Dist],0),MATCH(F$4,Data[#Headers],0)))</f>
        <v>0</v>
      </c>
      <c r="G231" s="22">
        <f>IF(OR(Notes!$B$3="Pay 1 Regular State Payment Budget",Notes!$B$3="Pay 2 Regular State Payment Budget"),0,INDEX(Data[],MATCH($A231,Data[Dist],0),MATCH(G$4,Data[#Headers],0)))</f>
        <v>0</v>
      </c>
      <c r="H231" s="22">
        <f>INDEX(Data[],MATCH($A231,Data[Dist],0),MATCH(H$4,Data[#Headers],0))</f>
        <v>17007249</v>
      </c>
    </row>
    <row r="232" spans="1:8" s="21" customFormat="1" ht="12.75" x14ac:dyDescent="0.2">
      <c r="A232" s="20" t="str">
        <f>Data!B228</f>
        <v>5049</v>
      </c>
      <c r="B232" s="21" t="str">
        <f>INDEX(Data[],MATCH($A232,Data[Dist],0),MATCH(B$4,Data[#Headers],0))</f>
        <v>Ottumwa</v>
      </c>
      <c r="C232" s="22">
        <f>INDEX(Data[],MATCH($A232,Data[Dist],0),MATCH(C$4,Data[#Headers],0))</f>
        <v>44894055</v>
      </c>
      <c r="D232" s="22">
        <f>INDEX(Data[],MATCH($A232,Data[Dist],0),MATCH(D$4,Data[#Headers],0))</f>
        <v>4080</v>
      </c>
      <c r="E232" s="22">
        <f>INDEX(Data[],MATCH($A232,Data[Dist],0),MATCH(E$4,Data[#Headers],0))</f>
        <v>0</v>
      </c>
      <c r="F232" s="22">
        <f>IF(Notes!$B$3="Pay 1 Regular State Payment Budget",0,INDEX(Data[],MATCH($A232,Data[Dist],0),MATCH(F$4,Data[#Headers],0)))</f>
        <v>0</v>
      </c>
      <c r="G232" s="22">
        <f>IF(OR(Notes!$B$3="Pay 1 Regular State Payment Budget",Notes!$B$3="Pay 2 Regular State Payment Budget"),0,INDEX(Data[],MATCH($A232,Data[Dist],0),MATCH(G$4,Data[#Headers],0)))</f>
        <v>0</v>
      </c>
      <c r="H232" s="22">
        <f>INDEX(Data[],MATCH($A232,Data[Dist],0),MATCH(H$4,Data[#Headers],0))</f>
        <v>44889975</v>
      </c>
    </row>
    <row r="233" spans="1:8" s="21" customFormat="1" ht="12.75" x14ac:dyDescent="0.2">
      <c r="A233" s="20" t="str">
        <f>Data!B229</f>
        <v>5121</v>
      </c>
      <c r="B233" s="21" t="str">
        <f>INDEX(Data[],MATCH($A233,Data[Dist],0),MATCH(B$4,Data[#Headers],0))</f>
        <v>Panorama</v>
      </c>
      <c r="C233" s="22">
        <f>INDEX(Data[],MATCH($A233,Data[Dist],0),MATCH(C$4,Data[#Headers],0))</f>
        <v>3568313</v>
      </c>
      <c r="D233" s="22">
        <f>INDEX(Data[],MATCH($A233,Data[Dist],0),MATCH(D$4,Data[#Headers],0))</f>
        <v>564</v>
      </c>
      <c r="E233" s="22">
        <f>INDEX(Data[],MATCH($A233,Data[Dist],0),MATCH(E$4,Data[#Headers],0))</f>
        <v>4630</v>
      </c>
      <c r="F233" s="22">
        <f>IF(Notes!$B$3="Pay 1 Regular State Payment Budget",0,INDEX(Data[],MATCH($A233,Data[Dist],0),MATCH(F$4,Data[#Headers],0)))</f>
        <v>0</v>
      </c>
      <c r="G233" s="22">
        <f>IF(OR(Notes!$B$3="Pay 1 Regular State Payment Budget",Notes!$B$3="Pay 2 Regular State Payment Budget"),0,INDEX(Data[],MATCH($A233,Data[Dist],0),MATCH(G$4,Data[#Headers],0)))</f>
        <v>0</v>
      </c>
      <c r="H233" s="22">
        <f>INDEX(Data[],MATCH($A233,Data[Dist],0),MATCH(H$4,Data[#Headers],0))</f>
        <v>3563119</v>
      </c>
    </row>
    <row r="234" spans="1:8" s="21" customFormat="1" ht="12.75" x14ac:dyDescent="0.2">
      <c r="A234" s="20" t="str">
        <f>Data!B230</f>
        <v>5139</v>
      </c>
      <c r="B234" s="21" t="str">
        <f>INDEX(Data[],MATCH($A234,Data[Dist],0),MATCH(B$4,Data[#Headers],0))</f>
        <v>Paton-Churdan</v>
      </c>
      <c r="C234" s="22">
        <f>INDEX(Data[],MATCH($A234,Data[Dist],0),MATCH(C$4,Data[#Headers],0))</f>
        <v>1010065</v>
      </c>
      <c r="D234" s="22">
        <f>INDEX(Data[],MATCH($A234,Data[Dist],0),MATCH(D$4,Data[#Headers],0))</f>
        <v>182</v>
      </c>
      <c r="E234" s="22">
        <f>INDEX(Data[],MATCH($A234,Data[Dist],0),MATCH(E$4,Data[#Headers],0))</f>
        <v>0</v>
      </c>
      <c r="F234" s="22">
        <f>IF(Notes!$B$3="Pay 1 Regular State Payment Budget",0,INDEX(Data[],MATCH($A234,Data[Dist],0),MATCH(F$4,Data[#Headers],0)))</f>
        <v>0</v>
      </c>
      <c r="G234" s="22">
        <f>IF(OR(Notes!$B$3="Pay 1 Regular State Payment Budget",Notes!$B$3="Pay 2 Regular State Payment Budget"),0,INDEX(Data[],MATCH($A234,Data[Dist],0),MATCH(G$4,Data[#Headers],0)))</f>
        <v>0</v>
      </c>
      <c r="H234" s="22">
        <f>INDEX(Data[],MATCH($A234,Data[Dist],0),MATCH(H$4,Data[#Headers],0))</f>
        <v>1009883</v>
      </c>
    </row>
    <row r="235" spans="1:8" s="21" customFormat="1" ht="12.75" x14ac:dyDescent="0.2">
      <c r="A235" s="20" t="str">
        <f>Data!B231</f>
        <v>5157</v>
      </c>
      <c r="B235" s="21" t="str">
        <f>INDEX(Data[],MATCH($A235,Data[Dist],0),MATCH(B$4,Data[#Headers],0))</f>
        <v>South O'Brien</v>
      </c>
      <c r="C235" s="22">
        <f>INDEX(Data[],MATCH($A235,Data[Dist],0),MATCH(C$4,Data[#Headers],0))</f>
        <v>1772032</v>
      </c>
      <c r="D235" s="22">
        <f>INDEX(Data[],MATCH($A235,Data[Dist],0),MATCH(D$4,Data[#Headers],0))</f>
        <v>630</v>
      </c>
      <c r="E235" s="22">
        <f>INDEX(Data[],MATCH($A235,Data[Dist],0),MATCH(E$4,Data[#Headers],0))</f>
        <v>0</v>
      </c>
      <c r="F235" s="22">
        <f>IF(Notes!$B$3="Pay 1 Regular State Payment Budget",0,INDEX(Data[],MATCH($A235,Data[Dist],0),MATCH(F$4,Data[#Headers],0)))</f>
        <v>0</v>
      </c>
      <c r="G235" s="22">
        <f>IF(OR(Notes!$B$3="Pay 1 Regular State Payment Budget",Notes!$B$3="Pay 2 Regular State Payment Budget"),0,INDEX(Data[],MATCH($A235,Data[Dist],0),MATCH(G$4,Data[#Headers],0)))</f>
        <v>0</v>
      </c>
      <c r="H235" s="22">
        <f>INDEX(Data[],MATCH($A235,Data[Dist],0),MATCH(H$4,Data[#Headers],0))</f>
        <v>1771402</v>
      </c>
    </row>
    <row r="236" spans="1:8" s="21" customFormat="1" ht="12.75" x14ac:dyDescent="0.2">
      <c r="A236" s="20" t="str">
        <f>Data!B232</f>
        <v>5163</v>
      </c>
      <c r="B236" s="21" t="str">
        <f>INDEX(Data[],MATCH($A236,Data[Dist],0),MATCH(B$4,Data[#Headers],0))</f>
        <v>Pekin</v>
      </c>
      <c r="C236" s="22">
        <f>INDEX(Data[],MATCH($A236,Data[Dist],0),MATCH(C$4,Data[#Headers],0))</f>
        <v>3282067</v>
      </c>
      <c r="D236" s="22">
        <f>INDEX(Data[],MATCH($A236,Data[Dist],0),MATCH(D$4,Data[#Headers],0))</f>
        <v>647</v>
      </c>
      <c r="E236" s="22">
        <f>INDEX(Data[],MATCH($A236,Data[Dist],0),MATCH(E$4,Data[#Headers],0))</f>
        <v>0</v>
      </c>
      <c r="F236" s="22">
        <f>IF(Notes!$B$3="Pay 1 Regular State Payment Budget",0,INDEX(Data[],MATCH($A236,Data[Dist],0),MATCH(F$4,Data[#Headers],0)))</f>
        <v>0</v>
      </c>
      <c r="G236" s="22">
        <f>IF(OR(Notes!$B$3="Pay 1 Regular State Payment Budget",Notes!$B$3="Pay 2 Regular State Payment Budget"),0,INDEX(Data[],MATCH($A236,Data[Dist],0),MATCH(G$4,Data[#Headers],0)))</f>
        <v>0</v>
      </c>
      <c r="H236" s="22">
        <f>INDEX(Data[],MATCH($A236,Data[Dist],0),MATCH(H$4,Data[#Headers],0))</f>
        <v>3281420</v>
      </c>
    </row>
    <row r="237" spans="1:8" s="21" customFormat="1" ht="12.75" x14ac:dyDescent="0.2">
      <c r="A237" s="20" t="str">
        <f>Data!B233</f>
        <v>5166</v>
      </c>
      <c r="B237" s="21" t="str">
        <f>INDEX(Data[],MATCH($A237,Data[Dist],0),MATCH(B$4,Data[#Headers],0))</f>
        <v>Pella</v>
      </c>
      <c r="C237" s="22">
        <f>INDEX(Data[],MATCH($A237,Data[Dist],0),MATCH(C$4,Data[#Headers],0))</f>
        <v>13724495</v>
      </c>
      <c r="D237" s="22">
        <f>INDEX(Data[],MATCH($A237,Data[Dist],0),MATCH(D$4,Data[#Headers],0))</f>
        <v>1924</v>
      </c>
      <c r="E237" s="22">
        <f>INDEX(Data[],MATCH($A237,Data[Dist],0),MATCH(E$4,Data[#Headers],0))</f>
        <v>0</v>
      </c>
      <c r="F237" s="22">
        <f>IF(Notes!$B$3="Pay 1 Regular State Payment Budget",0,INDEX(Data[],MATCH($A237,Data[Dist],0),MATCH(F$4,Data[#Headers],0)))</f>
        <v>0</v>
      </c>
      <c r="G237" s="22">
        <f>IF(OR(Notes!$B$3="Pay 1 Regular State Payment Budget",Notes!$B$3="Pay 2 Regular State Payment Budget"),0,INDEX(Data[],MATCH($A237,Data[Dist],0),MATCH(G$4,Data[#Headers],0)))</f>
        <v>0</v>
      </c>
      <c r="H237" s="22">
        <f>INDEX(Data[],MATCH($A237,Data[Dist],0),MATCH(H$4,Data[#Headers],0))</f>
        <v>13722571</v>
      </c>
    </row>
    <row r="238" spans="1:8" s="21" customFormat="1" ht="12.75" x14ac:dyDescent="0.2">
      <c r="A238" s="20" t="str">
        <f>Data!B234</f>
        <v>5184</v>
      </c>
      <c r="B238" s="21" t="str">
        <f>INDEX(Data[],MATCH($A238,Data[Dist],0),MATCH(B$4,Data[#Headers],0))</f>
        <v>Perry</v>
      </c>
      <c r="C238" s="22">
        <f>INDEX(Data[],MATCH($A238,Data[Dist],0),MATCH(C$4,Data[#Headers],0))</f>
        <v>15906748</v>
      </c>
      <c r="D238" s="22">
        <f>INDEX(Data[],MATCH($A238,Data[Dist],0),MATCH(D$4,Data[#Headers],0))</f>
        <v>1509</v>
      </c>
      <c r="E238" s="22">
        <f>INDEX(Data[],MATCH($A238,Data[Dist],0),MATCH(E$4,Data[#Headers],0))</f>
        <v>3578</v>
      </c>
      <c r="F238" s="22">
        <f>IF(Notes!$B$3="Pay 1 Regular State Payment Budget",0,INDEX(Data[],MATCH($A238,Data[Dist],0),MATCH(F$4,Data[#Headers],0)))</f>
        <v>0</v>
      </c>
      <c r="G238" s="22">
        <f>IF(OR(Notes!$B$3="Pay 1 Regular State Payment Budget",Notes!$B$3="Pay 2 Regular State Payment Budget"),0,INDEX(Data[],MATCH($A238,Data[Dist],0),MATCH(G$4,Data[#Headers],0)))</f>
        <v>0</v>
      </c>
      <c r="H238" s="22">
        <f>INDEX(Data[],MATCH($A238,Data[Dist],0),MATCH(H$4,Data[#Headers],0))</f>
        <v>15901661</v>
      </c>
    </row>
    <row r="239" spans="1:8" s="21" customFormat="1" ht="12.75" x14ac:dyDescent="0.2">
      <c r="A239" s="20" t="str">
        <f>Data!B235</f>
        <v>5250</v>
      </c>
      <c r="B239" s="21" t="str">
        <f>INDEX(Data[],MATCH($A239,Data[Dist],0),MATCH(B$4,Data[#Headers],0))</f>
        <v>Pleasant Valley</v>
      </c>
      <c r="C239" s="22">
        <f>INDEX(Data[],MATCH($A239,Data[Dist],0),MATCH(C$4,Data[#Headers],0))</f>
        <v>37122638</v>
      </c>
      <c r="D239" s="22">
        <f>INDEX(Data[],MATCH($A239,Data[Dist],0),MATCH(D$4,Data[#Headers],0))</f>
        <v>3665</v>
      </c>
      <c r="E239" s="22">
        <f>INDEX(Data[],MATCH($A239,Data[Dist],0),MATCH(E$4,Data[#Headers],0))</f>
        <v>0</v>
      </c>
      <c r="F239" s="22">
        <f>IF(Notes!$B$3="Pay 1 Regular State Payment Budget",0,INDEX(Data[],MATCH($A239,Data[Dist],0),MATCH(F$4,Data[#Headers],0)))</f>
        <v>0</v>
      </c>
      <c r="G239" s="22">
        <f>IF(OR(Notes!$B$3="Pay 1 Regular State Payment Budget",Notes!$B$3="Pay 2 Regular State Payment Budget"),0,INDEX(Data[],MATCH($A239,Data[Dist],0),MATCH(G$4,Data[#Headers],0)))</f>
        <v>0</v>
      </c>
      <c r="H239" s="22">
        <f>INDEX(Data[],MATCH($A239,Data[Dist],0),MATCH(H$4,Data[#Headers],0))</f>
        <v>37118973</v>
      </c>
    </row>
    <row r="240" spans="1:8" s="21" customFormat="1" ht="12.75" x14ac:dyDescent="0.2">
      <c r="A240" s="20" t="str">
        <f>Data!B236</f>
        <v>5256</v>
      </c>
      <c r="B240" s="21" t="str">
        <f>INDEX(Data[],MATCH($A240,Data[Dist],0),MATCH(B$4,Data[#Headers],0))</f>
        <v>Pleasantville</v>
      </c>
      <c r="C240" s="22">
        <f>INDEX(Data[],MATCH($A240,Data[Dist],0),MATCH(C$4,Data[#Headers],0))</f>
        <v>5615910</v>
      </c>
      <c r="D240" s="22">
        <f>INDEX(Data[],MATCH($A240,Data[Dist],0),MATCH(D$4,Data[#Headers],0))</f>
        <v>481</v>
      </c>
      <c r="E240" s="22">
        <f>INDEX(Data[],MATCH($A240,Data[Dist],0),MATCH(E$4,Data[#Headers],0))</f>
        <v>0</v>
      </c>
      <c r="F240" s="22">
        <f>IF(Notes!$B$3="Pay 1 Regular State Payment Budget",0,INDEX(Data[],MATCH($A240,Data[Dist],0),MATCH(F$4,Data[#Headers],0)))</f>
        <v>0</v>
      </c>
      <c r="G240" s="22">
        <f>IF(OR(Notes!$B$3="Pay 1 Regular State Payment Budget",Notes!$B$3="Pay 2 Regular State Payment Budget"),0,INDEX(Data[],MATCH($A240,Data[Dist],0),MATCH(G$4,Data[#Headers],0)))</f>
        <v>0</v>
      </c>
      <c r="H240" s="22">
        <f>INDEX(Data[],MATCH($A240,Data[Dist],0),MATCH(H$4,Data[#Headers],0))</f>
        <v>5615429</v>
      </c>
    </row>
    <row r="241" spans="1:8" s="21" customFormat="1" ht="12.75" x14ac:dyDescent="0.2">
      <c r="A241" s="20" t="str">
        <f>Data!B237</f>
        <v>5283</v>
      </c>
      <c r="B241" s="21" t="str">
        <f>INDEX(Data[],MATCH($A241,Data[Dist],0),MATCH(B$4,Data[#Headers],0))</f>
        <v>Pocahontas Area</v>
      </c>
      <c r="C241" s="22">
        <f>INDEX(Data[],MATCH($A241,Data[Dist],0),MATCH(C$4,Data[#Headers],0))</f>
        <v>2605702</v>
      </c>
      <c r="D241" s="22">
        <f>INDEX(Data[],MATCH($A241,Data[Dist],0),MATCH(D$4,Data[#Headers],0))</f>
        <v>630</v>
      </c>
      <c r="E241" s="22">
        <f>INDEX(Data[],MATCH($A241,Data[Dist],0),MATCH(E$4,Data[#Headers],0))</f>
        <v>2988</v>
      </c>
      <c r="F241" s="22">
        <f>IF(Notes!$B$3="Pay 1 Regular State Payment Budget",0,INDEX(Data[],MATCH($A241,Data[Dist],0),MATCH(F$4,Data[#Headers],0)))</f>
        <v>0</v>
      </c>
      <c r="G241" s="22">
        <f>IF(OR(Notes!$B$3="Pay 1 Regular State Payment Budget",Notes!$B$3="Pay 2 Regular State Payment Budget"),0,INDEX(Data[],MATCH($A241,Data[Dist],0),MATCH(G$4,Data[#Headers],0)))</f>
        <v>0</v>
      </c>
      <c r="H241" s="22">
        <f>INDEX(Data[],MATCH($A241,Data[Dist],0),MATCH(H$4,Data[#Headers],0))</f>
        <v>2602084</v>
      </c>
    </row>
    <row r="242" spans="1:8" s="21" customFormat="1" ht="12.75" x14ac:dyDescent="0.2">
      <c r="A242" s="20" t="str">
        <f>Data!B238</f>
        <v>5310</v>
      </c>
      <c r="B242" s="21" t="str">
        <f>INDEX(Data[],MATCH($A242,Data[Dist],0),MATCH(B$4,Data[#Headers],0))</f>
        <v>Postville</v>
      </c>
      <c r="C242" s="22">
        <f>INDEX(Data[],MATCH($A242,Data[Dist],0),MATCH(C$4,Data[#Headers],0))</f>
        <v>5779517</v>
      </c>
      <c r="D242" s="22">
        <f>INDEX(Data[],MATCH($A242,Data[Dist],0),MATCH(D$4,Data[#Headers],0))</f>
        <v>448</v>
      </c>
      <c r="E242" s="22">
        <f>INDEX(Data[],MATCH($A242,Data[Dist],0),MATCH(E$4,Data[#Headers],0))</f>
        <v>0</v>
      </c>
      <c r="F242" s="22">
        <f>IF(Notes!$B$3="Pay 1 Regular State Payment Budget",0,INDEX(Data[],MATCH($A242,Data[Dist],0),MATCH(F$4,Data[#Headers],0)))</f>
        <v>0</v>
      </c>
      <c r="G242" s="22">
        <f>IF(OR(Notes!$B$3="Pay 1 Regular State Payment Budget",Notes!$B$3="Pay 2 Regular State Payment Budget"),0,INDEX(Data[],MATCH($A242,Data[Dist],0),MATCH(G$4,Data[#Headers],0)))</f>
        <v>0</v>
      </c>
      <c r="H242" s="22">
        <f>INDEX(Data[],MATCH($A242,Data[Dist],0),MATCH(H$4,Data[#Headers],0))</f>
        <v>5779069</v>
      </c>
    </row>
    <row r="243" spans="1:8" s="21" customFormat="1" ht="12.75" x14ac:dyDescent="0.2">
      <c r="A243" s="20" t="str">
        <f>Data!B239</f>
        <v>5319</v>
      </c>
      <c r="B243" s="21" t="str">
        <f>INDEX(Data[],MATCH($A243,Data[Dist],0),MATCH(B$4,Data[#Headers],0))</f>
        <v>PCM</v>
      </c>
      <c r="C243" s="22">
        <f>INDEX(Data[],MATCH($A243,Data[Dist],0),MATCH(C$4,Data[#Headers],0))</f>
        <v>7278699</v>
      </c>
      <c r="D243" s="22">
        <f>INDEX(Data[],MATCH($A243,Data[Dist],0),MATCH(D$4,Data[#Headers],0))</f>
        <v>929</v>
      </c>
      <c r="E243" s="22">
        <f>INDEX(Data[],MATCH($A243,Data[Dist],0),MATCH(E$4,Data[#Headers],0))</f>
        <v>0</v>
      </c>
      <c r="F243" s="22">
        <f>IF(Notes!$B$3="Pay 1 Regular State Payment Budget",0,INDEX(Data[],MATCH($A243,Data[Dist],0),MATCH(F$4,Data[#Headers],0)))</f>
        <v>0</v>
      </c>
      <c r="G243" s="22">
        <f>IF(OR(Notes!$B$3="Pay 1 Regular State Payment Budget",Notes!$B$3="Pay 2 Regular State Payment Budget"),0,INDEX(Data[],MATCH($A243,Data[Dist],0),MATCH(G$4,Data[#Headers],0)))</f>
        <v>0</v>
      </c>
      <c r="H243" s="22">
        <f>INDEX(Data[],MATCH($A243,Data[Dist],0),MATCH(H$4,Data[#Headers],0))</f>
        <v>7277770</v>
      </c>
    </row>
    <row r="244" spans="1:8" s="21" customFormat="1" ht="12.75" x14ac:dyDescent="0.2">
      <c r="A244" s="20" t="str">
        <f>Data!B240</f>
        <v>5463</v>
      </c>
      <c r="B244" s="21" t="str">
        <f>INDEX(Data[],MATCH($A244,Data[Dist],0),MATCH(B$4,Data[#Headers],0))</f>
        <v>Red Oak</v>
      </c>
      <c r="C244" s="22">
        <f>INDEX(Data[],MATCH($A244,Data[Dist],0),MATCH(C$4,Data[#Headers],0))</f>
        <v>7556116</v>
      </c>
      <c r="D244" s="22">
        <f>INDEX(Data[],MATCH($A244,Data[Dist],0),MATCH(D$4,Data[#Headers],0))</f>
        <v>1144</v>
      </c>
      <c r="E244" s="22">
        <f>INDEX(Data[],MATCH($A244,Data[Dist],0),MATCH(E$4,Data[#Headers],0))</f>
        <v>0</v>
      </c>
      <c r="F244" s="22">
        <f>IF(Notes!$B$3="Pay 1 Regular State Payment Budget",0,INDEX(Data[],MATCH($A244,Data[Dist],0),MATCH(F$4,Data[#Headers],0)))</f>
        <v>0</v>
      </c>
      <c r="G244" s="22">
        <f>IF(OR(Notes!$B$3="Pay 1 Regular State Payment Budget",Notes!$B$3="Pay 2 Regular State Payment Budget"),0,INDEX(Data[],MATCH($A244,Data[Dist],0),MATCH(G$4,Data[#Headers],0)))</f>
        <v>0</v>
      </c>
      <c r="H244" s="22">
        <f>INDEX(Data[],MATCH($A244,Data[Dist],0),MATCH(H$4,Data[#Headers],0))</f>
        <v>7554972</v>
      </c>
    </row>
    <row r="245" spans="1:8" s="21" customFormat="1" ht="12.75" x14ac:dyDescent="0.2">
      <c r="A245" s="20" t="str">
        <f>Data!B241</f>
        <v>5486</v>
      </c>
      <c r="B245" s="21" t="str">
        <f>INDEX(Data[],MATCH($A245,Data[Dist],0),MATCH(B$4,Data[#Headers],0))</f>
        <v>Remsen-Union</v>
      </c>
      <c r="C245" s="22">
        <f>INDEX(Data[],MATCH($A245,Data[Dist],0),MATCH(C$4,Data[#Headers],0))</f>
        <v>1490313</v>
      </c>
      <c r="D245" s="22">
        <f>INDEX(Data[],MATCH($A245,Data[Dist],0),MATCH(D$4,Data[#Headers],0))</f>
        <v>232</v>
      </c>
      <c r="E245" s="22">
        <f>INDEX(Data[],MATCH($A245,Data[Dist],0),MATCH(E$4,Data[#Headers],0))</f>
        <v>0</v>
      </c>
      <c r="F245" s="22">
        <f>IF(Notes!$B$3="Pay 1 Regular State Payment Budget",0,INDEX(Data[],MATCH($A245,Data[Dist],0),MATCH(F$4,Data[#Headers],0)))</f>
        <v>0</v>
      </c>
      <c r="G245" s="22">
        <f>IF(OR(Notes!$B$3="Pay 1 Regular State Payment Budget",Notes!$B$3="Pay 2 Regular State Payment Budget"),0,INDEX(Data[],MATCH($A245,Data[Dist],0),MATCH(G$4,Data[#Headers],0)))</f>
        <v>0</v>
      </c>
      <c r="H245" s="22">
        <f>INDEX(Data[],MATCH($A245,Data[Dist],0),MATCH(H$4,Data[#Headers],0))</f>
        <v>1490081</v>
      </c>
    </row>
    <row r="246" spans="1:8" s="21" customFormat="1" ht="12.75" x14ac:dyDescent="0.2">
      <c r="A246" s="20" t="str">
        <f>Data!B242</f>
        <v>5508</v>
      </c>
      <c r="B246" s="21" t="str">
        <f>INDEX(Data[],MATCH($A246,Data[Dist],0),MATCH(B$4,Data[#Headers],0))</f>
        <v>Riceville</v>
      </c>
      <c r="C246" s="22">
        <f>INDEX(Data[],MATCH($A246,Data[Dist],0),MATCH(C$4,Data[#Headers],0))</f>
        <v>1542412</v>
      </c>
      <c r="D246" s="22">
        <f>INDEX(Data[],MATCH($A246,Data[Dist],0),MATCH(D$4,Data[#Headers],0))</f>
        <v>498</v>
      </c>
      <c r="E246" s="22">
        <f>INDEX(Data[],MATCH($A246,Data[Dist],0),MATCH(E$4,Data[#Headers],0))</f>
        <v>0</v>
      </c>
      <c r="F246" s="22">
        <f>IF(Notes!$B$3="Pay 1 Regular State Payment Budget",0,INDEX(Data[],MATCH($A246,Data[Dist],0),MATCH(F$4,Data[#Headers],0)))</f>
        <v>0</v>
      </c>
      <c r="G246" s="22">
        <f>IF(OR(Notes!$B$3="Pay 1 Regular State Payment Budget",Notes!$B$3="Pay 2 Regular State Payment Budget"),0,INDEX(Data[],MATCH($A246,Data[Dist],0),MATCH(G$4,Data[#Headers],0)))</f>
        <v>0</v>
      </c>
      <c r="H246" s="22">
        <f>INDEX(Data[],MATCH($A246,Data[Dist],0),MATCH(H$4,Data[#Headers],0))</f>
        <v>1541914</v>
      </c>
    </row>
    <row r="247" spans="1:8" s="21" customFormat="1" ht="12.75" x14ac:dyDescent="0.2">
      <c r="A247" s="20" t="str">
        <f>Data!B243</f>
        <v>5607</v>
      </c>
      <c r="B247" s="21" t="str">
        <f>INDEX(Data[],MATCH($A247,Data[Dist],0),MATCH(B$4,Data[#Headers],0))</f>
        <v>Rock Valley</v>
      </c>
      <c r="C247" s="22">
        <f>INDEX(Data[],MATCH($A247,Data[Dist],0),MATCH(C$4,Data[#Headers],0))</f>
        <v>5982084</v>
      </c>
      <c r="D247" s="22">
        <f>INDEX(Data[],MATCH($A247,Data[Dist],0),MATCH(D$4,Data[#Headers],0))</f>
        <v>1161</v>
      </c>
      <c r="E247" s="22">
        <f>INDEX(Data[],MATCH($A247,Data[Dist],0),MATCH(E$4,Data[#Headers],0))</f>
        <v>0</v>
      </c>
      <c r="F247" s="22">
        <f>IF(Notes!$B$3="Pay 1 Regular State Payment Budget",0,INDEX(Data[],MATCH($A247,Data[Dist],0),MATCH(F$4,Data[#Headers],0)))</f>
        <v>0</v>
      </c>
      <c r="G247" s="22">
        <f>IF(OR(Notes!$B$3="Pay 1 Regular State Payment Budget",Notes!$B$3="Pay 2 Regular State Payment Budget"),0,INDEX(Data[],MATCH($A247,Data[Dist],0),MATCH(G$4,Data[#Headers],0)))</f>
        <v>0</v>
      </c>
      <c r="H247" s="22">
        <f>INDEX(Data[],MATCH($A247,Data[Dist],0),MATCH(H$4,Data[#Headers],0))</f>
        <v>5980923</v>
      </c>
    </row>
    <row r="248" spans="1:8" s="21" customFormat="1" ht="12.75" x14ac:dyDescent="0.2">
      <c r="A248" s="20" t="str">
        <f>Data!B244</f>
        <v>5643</v>
      </c>
      <c r="B248" s="21" t="str">
        <f>INDEX(Data[],MATCH($A248,Data[Dist],0),MATCH(B$4,Data[#Headers],0))</f>
        <v>Roland-Story</v>
      </c>
      <c r="C248" s="22">
        <f>INDEX(Data[],MATCH($A248,Data[Dist],0),MATCH(C$4,Data[#Headers],0))</f>
        <v>6816258</v>
      </c>
      <c r="D248" s="22">
        <f>INDEX(Data[],MATCH($A248,Data[Dist],0),MATCH(D$4,Data[#Headers],0))</f>
        <v>862</v>
      </c>
      <c r="E248" s="22">
        <f>INDEX(Data[],MATCH($A248,Data[Dist],0),MATCH(E$4,Data[#Headers],0))</f>
        <v>0</v>
      </c>
      <c r="F248" s="22">
        <f>IF(Notes!$B$3="Pay 1 Regular State Payment Budget",0,INDEX(Data[],MATCH($A248,Data[Dist],0),MATCH(F$4,Data[#Headers],0)))</f>
        <v>0</v>
      </c>
      <c r="G248" s="22">
        <f>IF(OR(Notes!$B$3="Pay 1 Regular State Payment Budget",Notes!$B$3="Pay 2 Regular State Payment Budget"),0,INDEX(Data[],MATCH($A248,Data[Dist],0),MATCH(G$4,Data[#Headers],0)))</f>
        <v>0</v>
      </c>
      <c r="H248" s="22">
        <f>INDEX(Data[],MATCH($A248,Data[Dist],0),MATCH(H$4,Data[#Headers],0))</f>
        <v>6815396</v>
      </c>
    </row>
    <row r="249" spans="1:8" s="21" customFormat="1" ht="12.75" x14ac:dyDescent="0.2">
      <c r="A249" s="20" t="str">
        <f>Data!B245</f>
        <v>5697</v>
      </c>
      <c r="B249" s="21" t="str">
        <f>INDEX(Data[],MATCH($A249,Data[Dist],0),MATCH(B$4,Data[#Headers],0))</f>
        <v>Rudd-Rockford-Marble Rock</v>
      </c>
      <c r="C249" s="22">
        <f>INDEX(Data[],MATCH($A249,Data[Dist],0),MATCH(C$4,Data[#Headers],0))</f>
        <v>2693138</v>
      </c>
      <c r="D249" s="22">
        <f>INDEX(Data[],MATCH($A249,Data[Dist],0),MATCH(D$4,Data[#Headers],0))</f>
        <v>365</v>
      </c>
      <c r="E249" s="22">
        <f>INDEX(Data[],MATCH($A249,Data[Dist],0),MATCH(E$4,Data[#Headers],0))</f>
        <v>0</v>
      </c>
      <c r="F249" s="22">
        <f>IF(Notes!$B$3="Pay 1 Regular State Payment Budget",0,INDEX(Data[],MATCH($A249,Data[Dist],0),MATCH(F$4,Data[#Headers],0)))</f>
        <v>0</v>
      </c>
      <c r="G249" s="22">
        <f>IF(OR(Notes!$B$3="Pay 1 Regular State Payment Budget",Notes!$B$3="Pay 2 Regular State Payment Budget"),0,INDEX(Data[],MATCH($A249,Data[Dist],0),MATCH(G$4,Data[#Headers],0)))</f>
        <v>0</v>
      </c>
      <c r="H249" s="22">
        <f>INDEX(Data[],MATCH($A249,Data[Dist],0),MATCH(H$4,Data[#Headers],0))</f>
        <v>2692773</v>
      </c>
    </row>
    <row r="250" spans="1:8" s="21" customFormat="1" ht="12.75" x14ac:dyDescent="0.2">
      <c r="A250" s="20" t="str">
        <f>Data!B246</f>
        <v>5724</v>
      </c>
      <c r="B250" s="21" t="str">
        <f>INDEX(Data[],MATCH($A250,Data[Dist],0),MATCH(B$4,Data[#Headers],0))</f>
        <v>Ruthven-Ayrshire</v>
      </c>
      <c r="C250" s="22">
        <f>INDEX(Data[],MATCH($A250,Data[Dist],0),MATCH(C$4,Data[#Headers],0))</f>
        <v>1265462</v>
      </c>
      <c r="D250" s="22">
        <f>INDEX(Data[],MATCH($A250,Data[Dist],0),MATCH(D$4,Data[#Headers],0))</f>
        <v>166</v>
      </c>
      <c r="E250" s="22">
        <f>INDEX(Data[],MATCH($A250,Data[Dist],0),MATCH(E$4,Data[#Headers],0))</f>
        <v>0</v>
      </c>
      <c r="F250" s="22">
        <f>IF(Notes!$B$3="Pay 1 Regular State Payment Budget",0,INDEX(Data[],MATCH($A250,Data[Dist],0),MATCH(F$4,Data[#Headers],0)))</f>
        <v>0</v>
      </c>
      <c r="G250" s="22">
        <f>IF(OR(Notes!$B$3="Pay 1 Regular State Payment Budget",Notes!$B$3="Pay 2 Regular State Payment Budget"),0,INDEX(Data[],MATCH($A250,Data[Dist],0),MATCH(G$4,Data[#Headers],0)))</f>
        <v>0</v>
      </c>
      <c r="H250" s="22">
        <f>INDEX(Data[],MATCH($A250,Data[Dist],0),MATCH(H$4,Data[#Headers],0))</f>
        <v>1265296</v>
      </c>
    </row>
    <row r="251" spans="1:8" s="21" customFormat="1" ht="12.75" x14ac:dyDescent="0.2">
      <c r="A251" s="20" t="str">
        <f>Data!B247</f>
        <v>5751</v>
      </c>
      <c r="B251" s="21" t="str">
        <f>INDEX(Data[],MATCH($A251,Data[Dist],0),MATCH(B$4,Data[#Headers],0))</f>
        <v>St Ansgar</v>
      </c>
      <c r="C251" s="22">
        <f>INDEX(Data[],MATCH($A251,Data[Dist],0),MATCH(C$4,Data[#Headers],0))</f>
        <v>3191533</v>
      </c>
      <c r="D251" s="22">
        <f>INDEX(Data[],MATCH($A251,Data[Dist],0),MATCH(D$4,Data[#Headers],0))</f>
        <v>514</v>
      </c>
      <c r="E251" s="22">
        <f>INDEX(Data[],MATCH($A251,Data[Dist],0),MATCH(E$4,Data[#Headers],0))</f>
        <v>0</v>
      </c>
      <c r="F251" s="22">
        <f>IF(Notes!$B$3="Pay 1 Regular State Payment Budget",0,INDEX(Data[],MATCH($A251,Data[Dist],0),MATCH(F$4,Data[#Headers],0)))</f>
        <v>0</v>
      </c>
      <c r="G251" s="22">
        <f>IF(OR(Notes!$B$3="Pay 1 Regular State Payment Budget",Notes!$B$3="Pay 2 Regular State Payment Budget"),0,INDEX(Data[],MATCH($A251,Data[Dist],0),MATCH(G$4,Data[#Headers],0)))</f>
        <v>0</v>
      </c>
      <c r="H251" s="22">
        <f>INDEX(Data[],MATCH($A251,Data[Dist],0),MATCH(H$4,Data[#Headers],0))</f>
        <v>3191019</v>
      </c>
    </row>
    <row r="252" spans="1:8" s="21" customFormat="1" ht="12.75" x14ac:dyDescent="0.2">
      <c r="A252" s="20" t="str">
        <f>Data!B248</f>
        <v>5805</v>
      </c>
      <c r="B252" s="21" t="str">
        <f>INDEX(Data[],MATCH($A252,Data[Dist],0),MATCH(B$4,Data[#Headers],0))</f>
        <v>Saydel</v>
      </c>
      <c r="C252" s="22">
        <f>INDEX(Data[],MATCH($A252,Data[Dist],0),MATCH(C$4,Data[#Headers],0))</f>
        <v>3160225</v>
      </c>
      <c r="D252" s="22">
        <f>INDEX(Data[],MATCH($A252,Data[Dist],0),MATCH(D$4,Data[#Headers],0))</f>
        <v>779</v>
      </c>
      <c r="E252" s="22">
        <f>INDEX(Data[],MATCH($A252,Data[Dist],0),MATCH(E$4,Data[#Headers],0))</f>
        <v>25759</v>
      </c>
      <c r="F252" s="22">
        <f>IF(Notes!$B$3="Pay 1 Regular State Payment Budget",0,INDEX(Data[],MATCH($A252,Data[Dist],0),MATCH(F$4,Data[#Headers],0)))</f>
        <v>0</v>
      </c>
      <c r="G252" s="22">
        <f>IF(OR(Notes!$B$3="Pay 1 Regular State Payment Budget",Notes!$B$3="Pay 2 Regular State Payment Budget"),0,INDEX(Data[],MATCH($A252,Data[Dist],0),MATCH(G$4,Data[#Headers],0)))</f>
        <v>0</v>
      </c>
      <c r="H252" s="22">
        <f>INDEX(Data[],MATCH($A252,Data[Dist],0),MATCH(H$4,Data[#Headers],0))</f>
        <v>3133687</v>
      </c>
    </row>
    <row r="253" spans="1:8" s="21" customFormat="1" ht="12.75" x14ac:dyDescent="0.2">
      <c r="A253" s="20" t="str">
        <f>Data!B249</f>
        <v>5823</v>
      </c>
      <c r="B253" s="21" t="str">
        <f>INDEX(Data[],MATCH($A253,Data[Dist],0),MATCH(B$4,Data[#Headers],0))</f>
        <v>Schaller-Crestland</v>
      </c>
      <c r="C253" s="22">
        <f>INDEX(Data[],MATCH($A253,Data[Dist],0),MATCH(C$4,Data[#Headers],0))</f>
        <v>1946289</v>
      </c>
      <c r="D253" s="22">
        <f>INDEX(Data[],MATCH($A253,Data[Dist],0),MATCH(D$4,Data[#Headers],0))</f>
        <v>282</v>
      </c>
      <c r="E253" s="22">
        <f>INDEX(Data[],MATCH($A253,Data[Dist],0),MATCH(E$4,Data[#Headers],0))</f>
        <v>0</v>
      </c>
      <c r="F253" s="22">
        <f>IF(Notes!$B$3="Pay 1 Regular State Payment Budget",0,INDEX(Data[],MATCH($A253,Data[Dist],0),MATCH(F$4,Data[#Headers],0)))</f>
        <v>0</v>
      </c>
      <c r="G253" s="22">
        <f>IF(OR(Notes!$B$3="Pay 1 Regular State Payment Budget",Notes!$B$3="Pay 2 Regular State Payment Budget"),0,INDEX(Data[],MATCH($A253,Data[Dist],0),MATCH(G$4,Data[#Headers],0)))</f>
        <v>0</v>
      </c>
      <c r="H253" s="22">
        <f>INDEX(Data[],MATCH($A253,Data[Dist],0),MATCH(H$4,Data[#Headers],0))</f>
        <v>1946007</v>
      </c>
    </row>
    <row r="254" spans="1:8" s="21" customFormat="1" ht="12.75" x14ac:dyDescent="0.2">
      <c r="A254" s="20" t="str">
        <f>Data!B250</f>
        <v>5832</v>
      </c>
      <c r="B254" s="21" t="str">
        <f>INDEX(Data[],MATCH($A254,Data[Dist],0),MATCH(B$4,Data[#Headers],0))</f>
        <v>Schleswig</v>
      </c>
      <c r="C254" s="22">
        <f>INDEX(Data[],MATCH($A254,Data[Dist],0),MATCH(C$4,Data[#Headers],0))</f>
        <v>964736</v>
      </c>
      <c r="D254" s="22">
        <f>INDEX(Data[],MATCH($A254,Data[Dist],0),MATCH(D$4,Data[#Headers],0))</f>
        <v>216</v>
      </c>
      <c r="E254" s="22">
        <f>INDEX(Data[],MATCH($A254,Data[Dist],0),MATCH(E$4,Data[#Headers],0))</f>
        <v>0</v>
      </c>
      <c r="F254" s="22">
        <f>IF(Notes!$B$3="Pay 1 Regular State Payment Budget",0,INDEX(Data[],MATCH($A254,Data[Dist],0),MATCH(F$4,Data[#Headers],0)))</f>
        <v>0</v>
      </c>
      <c r="G254" s="22">
        <f>IF(OR(Notes!$B$3="Pay 1 Regular State Payment Budget",Notes!$B$3="Pay 2 Regular State Payment Budget"),0,INDEX(Data[],MATCH($A254,Data[Dist],0),MATCH(G$4,Data[#Headers],0)))</f>
        <v>0</v>
      </c>
      <c r="H254" s="22">
        <f>INDEX(Data[],MATCH($A254,Data[Dist],0),MATCH(H$4,Data[#Headers],0))</f>
        <v>964520</v>
      </c>
    </row>
    <row r="255" spans="1:8" s="21" customFormat="1" ht="12.75" x14ac:dyDescent="0.2">
      <c r="A255" s="20" t="str">
        <f>Data!B251</f>
        <v>5877</v>
      </c>
      <c r="B255" s="21" t="str">
        <f>INDEX(Data[],MATCH($A255,Data[Dist],0),MATCH(B$4,Data[#Headers],0))</f>
        <v>Sergeant Bluff-Luton</v>
      </c>
      <c r="C255" s="22">
        <f>INDEX(Data[],MATCH($A255,Data[Dist],0),MATCH(C$4,Data[#Headers],0))</f>
        <v>8482761</v>
      </c>
      <c r="D255" s="22">
        <f>INDEX(Data[],MATCH($A255,Data[Dist],0),MATCH(D$4,Data[#Headers],0))</f>
        <v>1078</v>
      </c>
      <c r="E255" s="22">
        <f>INDEX(Data[],MATCH($A255,Data[Dist],0),MATCH(E$4,Data[#Headers],0))</f>
        <v>0</v>
      </c>
      <c r="F255" s="22">
        <f>IF(Notes!$B$3="Pay 1 Regular State Payment Budget",0,INDEX(Data[],MATCH($A255,Data[Dist],0),MATCH(F$4,Data[#Headers],0)))</f>
        <v>0</v>
      </c>
      <c r="G255" s="22">
        <f>IF(OR(Notes!$B$3="Pay 1 Regular State Payment Budget",Notes!$B$3="Pay 2 Regular State Payment Budget"),0,INDEX(Data[],MATCH($A255,Data[Dist],0),MATCH(G$4,Data[#Headers],0)))</f>
        <v>0</v>
      </c>
      <c r="H255" s="22">
        <f>INDEX(Data[],MATCH($A255,Data[Dist],0),MATCH(H$4,Data[#Headers],0))</f>
        <v>8481683</v>
      </c>
    </row>
    <row r="256" spans="1:8" s="21" customFormat="1" ht="12.75" x14ac:dyDescent="0.2">
      <c r="A256" s="20" t="str">
        <f>Data!B252</f>
        <v>5895</v>
      </c>
      <c r="B256" s="21" t="str">
        <f>INDEX(Data[],MATCH($A256,Data[Dist],0),MATCH(B$4,Data[#Headers],0))</f>
        <v>Seymour</v>
      </c>
      <c r="C256" s="22">
        <f>INDEX(Data[],MATCH($A256,Data[Dist],0),MATCH(C$4,Data[#Headers],0))</f>
        <v>1501254</v>
      </c>
      <c r="D256" s="22">
        <f>INDEX(Data[],MATCH($A256,Data[Dist],0),MATCH(D$4,Data[#Headers],0))</f>
        <v>216</v>
      </c>
      <c r="E256" s="22">
        <f>INDEX(Data[],MATCH($A256,Data[Dist],0),MATCH(E$4,Data[#Headers],0))</f>
        <v>0</v>
      </c>
      <c r="F256" s="22">
        <f>IF(Notes!$B$3="Pay 1 Regular State Payment Budget",0,INDEX(Data[],MATCH($A256,Data[Dist],0),MATCH(F$4,Data[#Headers],0)))</f>
        <v>0</v>
      </c>
      <c r="G256" s="22">
        <f>IF(OR(Notes!$B$3="Pay 1 Regular State Payment Budget",Notes!$B$3="Pay 2 Regular State Payment Budget"),0,INDEX(Data[],MATCH($A256,Data[Dist],0),MATCH(G$4,Data[#Headers],0)))</f>
        <v>0</v>
      </c>
      <c r="H256" s="22">
        <f>INDEX(Data[],MATCH($A256,Data[Dist],0),MATCH(H$4,Data[#Headers],0))</f>
        <v>1501038</v>
      </c>
    </row>
    <row r="257" spans="1:8" s="21" customFormat="1" ht="12.75" x14ac:dyDescent="0.2">
      <c r="A257" s="20" t="str">
        <f>Data!B253</f>
        <v>5922</v>
      </c>
      <c r="B257" s="21" t="str">
        <f>INDEX(Data[],MATCH($A257,Data[Dist],0),MATCH(B$4,Data[#Headers],0))</f>
        <v>West Fork</v>
      </c>
      <c r="C257" s="22">
        <f>INDEX(Data[],MATCH($A257,Data[Dist],0),MATCH(C$4,Data[#Headers],0))</f>
        <v>4661821</v>
      </c>
      <c r="D257" s="22">
        <f>INDEX(Data[],MATCH($A257,Data[Dist],0),MATCH(D$4,Data[#Headers],0))</f>
        <v>680</v>
      </c>
      <c r="E257" s="22">
        <f>INDEX(Data[],MATCH($A257,Data[Dist],0),MATCH(E$4,Data[#Headers],0))</f>
        <v>5430</v>
      </c>
      <c r="F257" s="22">
        <f>IF(Notes!$B$3="Pay 1 Regular State Payment Budget",0,INDEX(Data[],MATCH($A257,Data[Dist],0),MATCH(F$4,Data[#Headers],0)))</f>
        <v>0</v>
      </c>
      <c r="G257" s="22">
        <f>IF(OR(Notes!$B$3="Pay 1 Regular State Payment Budget",Notes!$B$3="Pay 2 Regular State Payment Budget"),0,INDEX(Data[],MATCH($A257,Data[Dist],0),MATCH(G$4,Data[#Headers],0)))</f>
        <v>0</v>
      </c>
      <c r="H257" s="22">
        <f>INDEX(Data[],MATCH($A257,Data[Dist],0),MATCH(H$4,Data[#Headers],0))</f>
        <v>4655711</v>
      </c>
    </row>
    <row r="258" spans="1:8" s="21" customFormat="1" ht="12.75" x14ac:dyDescent="0.2">
      <c r="A258" s="20" t="str">
        <f>Data!B254</f>
        <v>5949</v>
      </c>
      <c r="B258" s="21" t="str">
        <f>INDEX(Data[],MATCH($A258,Data[Dist],0),MATCH(B$4,Data[#Headers],0))</f>
        <v>Sheldon</v>
      </c>
      <c r="C258" s="22">
        <f>INDEX(Data[],MATCH($A258,Data[Dist],0),MATCH(C$4,Data[#Headers],0))</f>
        <v>7919041</v>
      </c>
      <c r="D258" s="22">
        <f>INDEX(Data[],MATCH($A258,Data[Dist],0),MATCH(D$4,Data[#Headers],0))</f>
        <v>1377</v>
      </c>
      <c r="E258" s="22">
        <f>INDEX(Data[],MATCH($A258,Data[Dist],0),MATCH(E$4,Data[#Headers],0))</f>
        <v>0</v>
      </c>
      <c r="F258" s="22">
        <f>IF(Notes!$B$3="Pay 1 Regular State Payment Budget",0,INDEX(Data[],MATCH($A258,Data[Dist],0),MATCH(F$4,Data[#Headers],0)))</f>
        <v>0</v>
      </c>
      <c r="G258" s="22">
        <f>IF(OR(Notes!$B$3="Pay 1 Regular State Payment Budget",Notes!$B$3="Pay 2 Regular State Payment Budget"),0,INDEX(Data[],MATCH($A258,Data[Dist],0),MATCH(G$4,Data[#Headers],0)))</f>
        <v>0</v>
      </c>
      <c r="H258" s="22">
        <f>INDEX(Data[],MATCH($A258,Data[Dist],0),MATCH(H$4,Data[#Headers],0))</f>
        <v>7917664</v>
      </c>
    </row>
    <row r="259" spans="1:8" s="21" customFormat="1" ht="12.75" x14ac:dyDescent="0.2">
      <c r="A259" s="20" t="str">
        <f>Data!B255</f>
        <v>5976</v>
      </c>
      <c r="B259" s="21" t="str">
        <f>INDEX(Data[],MATCH($A259,Data[Dist],0),MATCH(B$4,Data[#Headers],0))</f>
        <v>Shenandoah</v>
      </c>
      <c r="C259" s="22">
        <f>INDEX(Data[],MATCH($A259,Data[Dist],0),MATCH(C$4,Data[#Headers],0))</f>
        <v>7128580</v>
      </c>
      <c r="D259" s="22">
        <f>INDEX(Data[],MATCH($A259,Data[Dist],0),MATCH(D$4,Data[#Headers],0))</f>
        <v>580</v>
      </c>
      <c r="E259" s="22">
        <f>INDEX(Data[],MATCH($A259,Data[Dist],0),MATCH(E$4,Data[#Headers],0))</f>
        <v>31946</v>
      </c>
      <c r="F259" s="22">
        <f>IF(Notes!$B$3="Pay 1 Regular State Payment Budget",0,INDEX(Data[],MATCH($A259,Data[Dist],0),MATCH(F$4,Data[#Headers],0)))</f>
        <v>0</v>
      </c>
      <c r="G259" s="22">
        <f>IF(OR(Notes!$B$3="Pay 1 Regular State Payment Budget",Notes!$B$3="Pay 2 Regular State Payment Budget"),0,INDEX(Data[],MATCH($A259,Data[Dist],0),MATCH(G$4,Data[#Headers],0)))</f>
        <v>0</v>
      </c>
      <c r="H259" s="22">
        <f>INDEX(Data[],MATCH($A259,Data[Dist],0),MATCH(H$4,Data[#Headers],0))</f>
        <v>7096054</v>
      </c>
    </row>
    <row r="260" spans="1:8" s="21" customFormat="1" ht="12.75" x14ac:dyDescent="0.2">
      <c r="A260" s="20" t="str">
        <f>Data!B256</f>
        <v>5994</v>
      </c>
      <c r="B260" s="21" t="str">
        <f>INDEX(Data[],MATCH($A260,Data[Dist],0),MATCH(B$4,Data[#Headers],0))</f>
        <v>Sibley-Ocheyedan</v>
      </c>
      <c r="C260" s="22">
        <f>INDEX(Data[],MATCH($A260,Data[Dist],0),MATCH(C$4,Data[#Headers],0))</f>
        <v>4451607</v>
      </c>
      <c r="D260" s="22">
        <f>INDEX(Data[],MATCH($A260,Data[Dist],0),MATCH(D$4,Data[#Headers],0))</f>
        <v>680</v>
      </c>
      <c r="E260" s="22">
        <f>INDEX(Data[],MATCH($A260,Data[Dist],0),MATCH(E$4,Data[#Headers],0))</f>
        <v>0</v>
      </c>
      <c r="F260" s="22">
        <f>IF(Notes!$B$3="Pay 1 Regular State Payment Budget",0,INDEX(Data[],MATCH($A260,Data[Dist],0),MATCH(F$4,Data[#Headers],0)))</f>
        <v>0</v>
      </c>
      <c r="G260" s="22">
        <f>IF(OR(Notes!$B$3="Pay 1 Regular State Payment Budget",Notes!$B$3="Pay 2 Regular State Payment Budget"),0,INDEX(Data[],MATCH($A260,Data[Dist],0),MATCH(G$4,Data[#Headers],0)))</f>
        <v>0</v>
      </c>
      <c r="H260" s="22">
        <f>INDEX(Data[],MATCH($A260,Data[Dist],0),MATCH(H$4,Data[#Headers],0))</f>
        <v>4450927</v>
      </c>
    </row>
    <row r="261" spans="1:8" s="21" customFormat="1" ht="12.75" x14ac:dyDescent="0.2">
      <c r="A261" s="20" t="str">
        <f>Data!B257</f>
        <v>6003</v>
      </c>
      <c r="B261" s="21" t="str">
        <f>INDEX(Data[],MATCH($A261,Data[Dist],0),MATCH(B$4,Data[#Headers],0))</f>
        <v>Sidney</v>
      </c>
      <c r="C261" s="22">
        <f>INDEX(Data[],MATCH($A261,Data[Dist],0),MATCH(C$4,Data[#Headers],0))</f>
        <v>2746106</v>
      </c>
      <c r="D261" s="22">
        <f>INDEX(Data[],MATCH($A261,Data[Dist],0),MATCH(D$4,Data[#Headers],0))</f>
        <v>398</v>
      </c>
      <c r="E261" s="22">
        <f>INDEX(Data[],MATCH($A261,Data[Dist],0),MATCH(E$4,Data[#Headers],0))</f>
        <v>13216</v>
      </c>
      <c r="F261" s="22">
        <f>IF(Notes!$B$3="Pay 1 Regular State Payment Budget",0,INDEX(Data[],MATCH($A261,Data[Dist],0),MATCH(F$4,Data[#Headers],0)))</f>
        <v>0</v>
      </c>
      <c r="G261" s="22">
        <f>IF(OR(Notes!$B$3="Pay 1 Regular State Payment Budget",Notes!$B$3="Pay 2 Regular State Payment Budget"),0,INDEX(Data[],MATCH($A261,Data[Dist],0),MATCH(G$4,Data[#Headers],0)))</f>
        <v>0</v>
      </c>
      <c r="H261" s="22">
        <f>INDEX(Data[],MATCH($A261,Data[Dist],0),MATCH(H$4,Data[#Headers],0))</f>
        <v>2732492</v>
      </c>
    </row>
    <row r="262" spans="1:8" s="21" customFormat="1" ht="12.75" x14ac:dyDescent="0.2">
      <c r="A262" s="20" t="str">
        <f>Data!B258</f>
        <v>6012</v>
      </c>
      <c r="B262" s="21" t="str">
        <f>INDEX(Data[],MATCH($A262,Data[Dist],0),MATCH(B$4,Data[#Headers],0))</f>
        <v>Sigourney</v>
      </c>
      <c r="C262" s="22">
        <f>INDEX(Data[],MATCH($A262,Data[Dist],0),MATCH(C$4,Data[#Headers],0))</f>
        <v>4004185</v>
      </c>
      <c r="D262" s="22">
        <f>INDEX(Data[],MATCH($A262,Data[Dist],0),MATCH(D$4,Data[#Headers],0))</f>
        <v>514</v>
      </c>
      <c r="E262" s="22">
        <f>INDEX(Data[],MATCH($A262,Data[Dist],0),MATCH(E$4,Data[#Headers],0))</f>
        <v>0</v>
      </c>
      <c r="F262" s="22">
        <f>IF(Notes!$B$3="Pay 1 Regular State Payment Budget",0,INDEX(Data[],MATCH($A262,Data[Dist],0),MATCH(F$4,Data[#Headers],0)))</f>
        <v>0</v>
      </c>
      <c r="G262" s="22">
        <f>IF(OR(Notes!$B$3="Pay 1 Regular State Payment Budget",Notes!$B$3="Pay 2 Regular State Payment Budget"),0,INDEX(Data[],MATCH($A262,Data[Dist],0),MATCH(G$4,Data[#Headers],0)))</f>
        <v>0</v>
      </c>
      <c r="H262" s="22">
        <f>INDEX(Data[],MATCH($A262,Data[Dist],0),MATCH(H$4,Data[#Headers],0))</f>
        <v>4003671</v>
      </c>
    </row>
    <row r="263" spans="1:8" s="21" customFormat="1" ht="12.75" x14ac:dyDescent="0.2">
      <c r="A263" s="20" t="str">
        <f>Data!B259</f>
        <v>6030</v>
      </c>
      <c r="B263" s="21" t="str">
        <f>INDEX(Data[],MATCH($A263,Data[Dist],0),MATCH(B$4,Data[#Headers],0))</f>
        <v>Sioux Center</v>
      </c>
      <c r="C263" s="22">
        <f>INDEX(Data[],MATCH($A263,Data[Dist],0),MATCH(C$4,Data[#Headers],0))</f>
        <v>11083010</v>
      </c>
      <c r="D263" s="22">
        <f>INDEX(Data[],MATCH($A263,Data[Dist],0),MATCH(D$4,Data[#Headers],0))</f>
        <v>2239</v>
      </c>
      <c r="E263" s="22">
        <f>INDEX(Data[],MATCH($A263,Data[Dist],0),MATCH(E$4,Data[#Headers],0))</f>
        <v>0</v>
      </c>
      <c r="F263" s="22">
        <f>IF(Notes!$B$3="Pay 1 Regular State Payment Budget",0,INDEX(Data[],MATCH($A263,Data[Dist],0),MATCH(F$4,Data[#Headers],0)))</f>
        <v>0</v>
      </c>
      <c r="G263" s="22">
        <f>IF(OR(Notes!$B$3="Pay 1 Regular State Payment Budget",Notes!$B$3="Pay 2 Regular State Payment Budget"),0,INDEX(Data[],MATCH($A263,Data[Dist],0),MATCH(G$4,Data[#Headers],0)))</f>
        <v>0</v>
      </c>
      <c r="H263" s="22">
        <f>INDEX(Data[],MATCH($A263,Data[Dist],0),MATCH(H$4,Data[#Headers],0))</f>
        <v>11080771</v>
      </c>
    </row>
    <row r="264" spans="1:8" s="21" customFormat="1" ht="12.75" x14ac:dyDescent="0.2">
      <c r="A264" s="20" t="str">
        <f>Data!B260</f>
        <v>6039</v>
      </c>
      <c r="B264" s="21" t="str">
        <f>INDEX(Data[],MATCH($A264,Data[Dist],0),MATCH(B$4,Data[#Headers],0))</f>
        <v>Sioux City</v>
      </c>
      <c r="C264" s="22">
        <f>INDEX(Data[],MATCH($A264,Data[Dist],0),MATCH(C$4,Data[#Headers],0))</f>
        <v>129858257</v>
      </c>
      <c r="D264" s="22">
        <f>INDEX(Data[],MATCH($A264,Data[Dist],0),MATCH(D$4,Data[#Headers],0))</f>
        <v>10084</v>
      </c>
      <c r="E264" s="22">
        <f>INDEX(Data[],MATCH($A264,Data[Dist],0),MATCH(E$4,Data[#Headers],0))</f>
        <v>0</v>
      </c>
      <c r="F264" s="22">
        <f>IF(Notes!$B$3="Pay 1 Regular State Payment Budget",0,INDEX(Data[],MATCH($A264,Data[Dist],0),MATCH(F$4,Data[#Headers],0)))</f>
        <v>0</v>
      </c>
      <c r="G264" s="22">
        <f>IF(OR(Notes!$B$3="Pay 1 Regular State Payment Budget",Notes!$B$3="Pay 2 Regular State Payment Budget"),0,INDEX(Data[],MATCH($A264,Data[Dist],0),MATCH(G$4,Data[#Headers],0)))</f>
        <v>0</v>
      </c>
      <c r="H264" s="22">
        <f>INDEX(Data[],MATCH($A264,Data[Dist],0),MATCH(H$4,Data[#Headers],0))</f>
        <v>129848173</v>
      </c>
    </row>
    <row r="265" spans="1:8" s="21" customFormat="1" ht="12.75" x14ac:dyDescent="0.2">
      <c r="A265" s="20" t="str">
        <f>Data!B261</f>
        <v>6048</v>
      </c>
      <c r="B265" s="21" t="str">
        <f>INDEX(Data[],MATCH($A265,Data[Dist],0),MATCH(B$4,Data[#Headers],0))</f>
        <v>Sioux Central</v>
      </c>
      <c r="C265" s="22">
        <f>INDEX(Data[],MATCH($A265,Data[Dist],0),MATCH(C$4,Data[#Headers],0))</f>
        <v>2730281</v>
      </c>
      <c r="D265" s="22">
        <f>INDEX(Data[],MATCH($A265,Data[Dist],0),MATCH(D$4,Data[#Headers],0))</f>
        <v>564</v>
      </c>
      <c r="E265" s="22">
        <f>INDEX(Data[],MATCH($A265,Data[Dist],0),MATCH(E$4,Data[#Headers],0))</f>
        <v>21423</v>
      </c>
      <c r="F265" s="22">
        <f>IF(Notes!$B$3="Pay 1 Regular State Payment Budget",0,INDEX(Data[],MATCH($A265,Data[Dist],0),MATCH(F$4,Data[#Headers],0)))</f>
        <v>0</v>
      </c>
      <c r="G265" s="22">
        <f>IF(OR(Notes!$B$3="Pay 1 Regular State Payment Budget",Notes!$B$3="Pay 2 Regular State Payment Budget"),0,INDEX(Data[],MATCH($A265,Data[Dist],0),MATCH(G$4,Data[#Headers],0)))</f>
        <v>0</v>
      </c>
      <c r="H265" s="22">
        <f>INDEX(Data[],MATCH($A265,Data[Dist],0),MATCH(H$4,Data[#Headers],0))</f>
        <v>2708294</v>
      </c>
    </row>
    <row r="266" spans="1:8" s="21" customFormat="1" ht="12.75" x14ac:dyDescent="0.2">
      <c r="A266" s="20" t="str">
        <f>Data!B262</f>
        <v>6091</v>
      </c>
      <c r="B266" s="21" t="str">
        <f>INDEX(Data[],MATCH($A266,Data[Dist],0),MATCH(B$4,Data[#Headers],0))</f>
        <v>South Central Calhoun</v>
      </c>
      <c r="C266" s="22">
        <f>INDEX(Data[],MATCH($A266,Data[Dist],0),MATCH(C$4,Data[#Headers],0))</f>
        <v>5256336</v>
      </c>
      <c r="D266" s="22">
        <f>INDEX(Data[],MATCH($A266,Data[Dist],0),MATCH(D$4,Data[#Headers],0))</f>
        <v>846</v>
      </c>
      <c r="E266" s="22">
        <f>INDEX(Data[],MATCH($A266,Data[Dist],0),MATCH(E$4,Data[#Headers],0))</f>
        <v>0</v>
      </c>
      <c r="F266" s="22">
        <f>IF(Notes!$B$3="Pay 1 Regular State Payment Budget",0,INDEX(Data[],MATCH($A266,Data[Dist],0),MATCH(F$4,Data[#Headers],0)))</f>
        <v>0</v>
      </c>
      <c r="G266" s="22">
        <f>IF(OR(Notes!$B$3="Pay 1 Regular State Payment Budget",Notes!$B$3="Pay 2 Regular State Payment Budget"),0,INDEX(Data[],MATCH($A266,Data[Dist],0),MATCH(G$4,Data[#Headers],0)))</f>
        <v>0</v>
      </c>
      <c r="H266" s="22">
        <f>INDEX(Data[],MATCH($A266,Data[Dist],0),MATCH(H$4,Data[#Headers],0))</f>
        <v>5255490</v>
      </c>
    </row>
    <row r="267" spans="1:8" s="21" customFormat="1" ht="12.75" x14ac:dyDescent="0.2">
      <c r="A267" s="20" t="str">
        <f>Data!B263</f>
        <v>6093</v>
      </c>
      <c r="B267" s="21" t="str">
        <f>INDEX(Data[],MATCH($A267,Data[Dist],0),MATCH(B$4,Data[#Headers],0))</f>
        <v>Solon</v>
      </c>
      <c r="C267" s="22">
        <f>INDEX(Data[],MATCH($A267,Data[Dist],0),MATCH(C$4,Data[#Headers],0))</f>
        <v>9423516</v>
      </c>
      <c r="D267" s="22">
        <f>INDEX(Data[],MATCH($A267,Data[Dist],0),MATCH(D$4,Data[#Headers],0))</f>
        <v>1028</v>
      </c>
      <c r="E267" s="22">
        <f>INDEX(Data[],MATCH($A267,Data[Dist],0),MATCH(E$4,Data[#Headers],0))</f>
        <v>0</v>
      </c>
      <c r="F267" s="22">
        <f>IF(Notes!$B$3="Pay 1 Regular State Payment Budget",0,INDEX(Data[],MATCH($A267,Data[Dist],0),MATCH(F$4,Data[#Headers],0)))</f>
        <v>0</v>
      </c>
      <c r="G267" s="22">
        <f>IF(OR(Notes!$B$3="Pay 1 Regular State Payment Budget",Notes!$B$3="Pay 2 Regular State Payment Budget"),0,INDEX(Data[],MATCH($A267,Data[Dist],0),MATCH(G$4,Data[#Headers],0)))</f>
        <v>0</v>
      </c>
      <c r="H267" s="22">
        <f>INDEX(Data[],MATCH($A267,Data[Dist],0),MATCH(H$4,Data[#Headers],0))</f>
        <v>9422488</v>
      </c>
    </row>
    <row r="268" spans="1:8" s="21" customFormat="1" ht="12.75" x14ac:dyDescent="0.2">
      <c r="A268" s="20" t="str">
        <f>Data!B264</f>
        <v>6094</v>
      </c>
      <c r="B268" s="21" t="str">
        <f>INDEX(Data[],MATCH($A268,Data[Dist],0),MATCH(B$4,Data[#Headers],0))</f>
        <v>Southeast Warren</v>
      </c>
      <c r="C268" s="22">
        <f>INDEX(Data[],MATCH($A268,Data[Dist],0),MATCH(C$4,Data[#Headers],0))</f>
        <v>3769064</v>
      </c>
      <c r="D268" s="22">
        <f>INDEX(Data[],MATCH($A268,Data[Dist],0),MATCH(D$4,Data[#Headers],0))</f>
        <v>348</v>
      </c>
      <c r="E268" s="22">
        <f>INDEX(Data[],MATCH($A268,Data[Dist],0),MATCH(E$4,Data[#Headers],0))</f>
        <v>0</v>
      </c>
      <c r="F268" s="22">
        <f>IF(Notes!$B$3="Pay 1 Regular State Payment Budget",0,INDEX(Data[],MATCH($A268,Data[Dist],0),MATCH(F$4,Data[#Headers],0)))</f>
        <v>0</v>
      </c>
      <c r="G268" s="22">
        <f>IF(OR(Notes!$B$3="Pay 1 Regular State Payment Budget",Notes!$B$3="Pay 2 Regular State Payment Budget"),0,INDEX(Data[],MATCH($A268,Data[Dist],0),MATCH(G$4,Data[#Headers],0)))</f>
        <v>0</v>
      </c>
      <c r="H268" s="22">
        <f>INDEX(Data[],MATCH($A268,Data[Dist],0),MATCH(H$4,Data[#Headers],0))</f>
        <v>3768716</v>
      </c>
    </row>
    <row r="269" spans="1:8" s="21" customFormat="1" ht="12.75" x14ac:dyDescent="0.2">
      <c r="A269" s="20" t="str">
        <f>Data!B265</f>
        <v>6095</v>
      </c>
      <c r="B269" s="21" t="str">
        <f>INDEX(Data[],MATCH($A269,Data[Dist],0),MATCH(B$4,Data[#Headers],0))</f>
        <v>South Hamilton</v>
      </c>
      <c r="C269" s="22">
        <f>INDEX(Data[],MATCH($A269,Data[Dist],0),MATCH(C$4,Data[#Headers],0))</f>
        <v>3657057</v>
      </c>
      <c r="D269" s="22">
        <f>INDEX(Data[],MATCH($A269,Data[Dist],0),MATCH(D$4,Data[#Headers],0))</f>
        <v>580</v>
      </c>
      <c r="E269" s="22">
        <f>INDEX(Data[],MATCH($A269,Data[Dist],0),MATCH(E$4,Data[#Headers],0))</f>
        <v>0</v>
      </c>
      <c r="F269" s="22">
        <f>IF(Notes!$B$3="Pay 1 Regular State Payment Budget",0,INDEX(Data[],MATCH($A269,Data[Dist],0),MATCH(F$4,Data[#Headers],0)))</f>
        <v>0</v>
      </c>
      <c r="G269" s="22">
        <f>IF(OR(Notes!$B$3="Pay 1 Regular State Payment Budget",Notes!$B$3="Pay 2 Regular State Payment Budget"),0,INDEX(Data[],MATCH($A269,Data[Dist],0),MATCH(G$4,Data[#Headers],0)))</f>
        <v>0</v>
      </c>
      <c r="H269" s="22">
        <f>INDEX(Data[],MATCH($A269,Data[Dist],0),MATCH(H$4,Data[#Headers],0))</f>
        <v>3656477</v>
      </c>
    </row>
    <row r="270" spans="1:8" s="21" customFormat="1" ht="12.75" x14ac:dyDescent="0.2">
      <c r="A270" s="20" t="str">
        <f>Data!B266</f>
        <v>6096</v>
      </c>
      <c r="B270" s="21" t="str">
        <f>INDEX(Data[],MATCH($A270,Data[Dist],0),MATCH(B$4,Data[#Headers],0))</f>
        <v>Southeast Valley</v>
      </c>
      <c r="C270" s="22">
        <f>INDEX(Data[],MATCH($A270,Data[Dist],0),MATCH(C$4,Data[#Headers],0))</f>
        <v>7011396</v>
      </c>
      <c r="D270" s="22">
        <f>INDEX(Data[],MATCH($A270,Data[Dist],0),MATCH(D$4,Data[#Headers],0))</f>
        <v>796</v>
      </c>
      <c r="E270" s="22">
        <f>INDEX(Data[],MATCH($A270,Data[Dist],0),MATCH(E$4,Data[#Headers],0))</f>
        <v>0</v>
      </c>
      <c r="F270" s="22">
        <f>IF(Notes!$B$3="Pay 1 Regular State Payment Budget",0,INDEX(Data[],MATCH($A270,Data[Dist],0),MATCH(F$4,Data[#Headers],0)))</f>
        <v>0</v>
      </c>
      <c r="G270" s="22">
        <f>IF(OR(Notes!$B$3="Pay 1 Regular State Payment Budget",Notes!$B$3="Pay 2 Regular State Payment Budget"),0,INDEX(Data[],MATCH($A270,Data[Dist],0),MATCH(G$4,Data[#Headers],0)))</f>
        <v>0</v>
      </c>
      <c r="H270" s="22">
        <f>INDEX(Data[],MATCH($A270,Data[Dist],0),MATCH(H$4,Data[#Headers],0))</f>
        <v>7010600</v>
      </c>
    </row>
    <row r="271" spans="1:8" s="21" customFormat="1" ht="12.75" x14ac:dyDescent="0.2">
      <c r="A271" s="20" t="str">
        <f>Data!B267</f>
        <v>6097</v>
      </c>
      <c r="B271" s="21" t="str">
        <f>INDEX(Data[],MATCH($A271,Data[Dist],0),MATCH(B$4,Data[#Headers],0))</f>
        <v>South Page</v>
      </c>
      <c r="C271" s="22">
        <f>INDEX(Data[],MATCH($A271,Data[Dist],0),MATCH(C$4,Data[#Headers],0))</f>
        <v>1230433</v>
      </c>
      <c r="D271" s="22">
        <f>INDEX(Data[],MATCH($A271,Data[Dist],0),MATCH(D$4,Data[#Headers],0))</f>
        <v>33</v>
      </c>
      <c r="E271" s="22">
        <f>INDEX(Data[],MATCH($A271,Data[Dist],0),MATCH(E$4,Data[#Headers],0))</f>
        <v>0</v>
      </c>
      <c r="F271" s="22">
        <f>IF(Notes!$B$3="Pay 1 Regular State Payment Budget",0,INDEX(Data[],MATCH($A271,Data[Dist],0),MATCH(F$4,Data[#Headers],0)))</f>
        <v>0</v>
      </c>
      <c r="G271" s="22">
        <f>IF(OR(Notes!$B$3="Pay 1 Regular State Payment Budget",Notes!$B$3="Pay 2 Regular State Payment Budget"),0,INDEX(Data[],MATCH($A271,Data[Dist],0),MATCH(G$4,Data[#Headers],0)))</f>
        <v>0</v>
      </c>
      <c r="H271" s="22">
        <f>INDEX(Data[],MATCH($A271,Data[Dist],0),MATCH(H$4,Data[#Headers],0))</f>
        <v>1230400</v>
      </c>
    </row>
    <row r="272" spans="1:8" s="21" customFormat="1" ht="12.75" x14ac:dyDescent="0.2">
      <c r="A272" s="20" t="str">
        <f>Data!B268</f>
        <v>6098</v>
      </c>
      <c r="B272" s="21" t="str">
        <f>INDEX(Data[],MATCH($A272,Data[Dist],0),MATCH(B$4,Data[#Headers],0))</f>
        <v>South Tama</v>
      </c>
      <c r="C272" s="22">
        <f>INDEX(Data[],MATCH($A272,Data[Dist],0),MATCH(C$4,Data[#Headers],0))</f>
        <v>11701699</v>
      </c>
      <c r="D272" s="22">
        <f>INDEX(Data[],MATCH($A272,Data[Dist],0),MATCH(D$4,Data[#Headers],0))</f>
        <v>1144</v>
      </c>
      <c r="E272" s="22">
        <f>INDEX(Data[],MATCH($A272,Data[Dist],0),MATCH(E$4,Data[#Headers],0))</f>
        <v>0</v>
      </c>
      <c r="F272" s="22">
        <f>IF(Notes!$B$3="Pay 1 Regular State Payment Budget",0,INDEX(Data[],MATCH($A272,Data[Dist],0),MATCH(F$4,Data[#Headers],0)))</f>
        <v>0</v>
      </c>
      <c r="G272" s="22">
        <f>IF(OR(Notes!$B$3="Pay 1 Regular State Payment Budget",Notes!$B$3="Pay 2 Regular State Payment Budget"),0,INDEX(Data[],MATCH($A272,Data[Dist],0),MATCH(G$4,Data[#Headers],0)))</f>
        <v>0</v>
      </c>
      <c r="H272" s="22">
        <f>INDEX(Data[],MATCH($A272,Data[Dist],0),MATCH(H$4,Data[#Headers],0))</f>
        <v>11700555</v>
      </c>
    </row>
    <row r="273" spans="1:8" s="21" customFormat="1" ht="12.75" x14ac:dyDescent="0.2">
      <c r="A273" s="20" t="str">
        <f>Data!B269</f>
        <v>6100</v>
      </c>
      <c r="B273" s="21" t="str">
        <f>INDEX(Data[],MATCH($A273,Data[Dist],0),MATCH(B$4,Data[#Headers],0))</f>
        <v>South Winneshiek</v>
      </c>
      <c r="C273" s="22">
        <f>INDEX(Data[],MATCH($A273,Data[Dist],0),MATCH(C$4,Data[#Headers],0))</f>
        <v>3530821</v>
      </c>
      <c r="D273" s="22">
        <f>INDEX(Data[],MATCH($A273,Data[Dist],0),MATCH(D$4,Data[#Headers],0))</f>
        <v>862</v>
      </c>
      <c r="E273" s="22">
        <f>INDEX(Data[],MATCH($A273,Data[Dist],0),MATCH(E$4,Data[#Headers],0))</f>
        <v>0</v>
      </c>
      <c r="F273" s="22">
        <f>IF(Notes!$B$3="Pay 1 Regular State Payment Budget",0,INDEX(Data[],MATCH($A273,Data[Dist],0),MATCH(F$4,Data[#Headers],0)))</f>
        <v>0</v>
      </c>
      <c r="G273" s="22">
        <f>IF(OR(Notes!$B$3="Pay 1 Regular State Payment Budget",Notes!$B$3="Pay 2 Regular State Payment Budget"),0,INDEX(Data[],MATCH($A273,Data[Dist],0),MATCH(G$4,Data[#Headers],0)))</f>
        <v>0</v>
      </c>
      <c r="H273" s="22">
        <f>INDEX(Data[],MATCH($A273,Data[Dist],0),MATCH(H$4,Data[#Headers],0))</f>
        <v>3529959</v>
      </c>
    </row>
    <row r="274" spans="1:8" s="21" customFormat="1" ht="12.75" x14ac:dyDescent="0.2">
      <c r="A274" s="20" t="str">
        <f>Data!B270</f>
        <v>6101</v>
      </c>
      <c r="B274" s="21" t="str">
        <f>INDEX(Data[],MATCH($A274,Data[Dist],0),MATCH(B$4,Data[#Headers],0))</f>
        <v>Southeast Polk</v>
      </c>
      <c r="C274" s="22">
        <f>INDEX(Data[],MATCH($A274,Data[Dist],0),MATCH(C$4,Data[#Headers],0))</f>
        <v>53863347</v>
      </c>
      <c r="D274" s="22">
        <f>INDEX(Data[],MATCH($A274,Data[Dist],0),MATCH(D$4,Data[#Headers],0))</f>
        <v>4594</v>
      </c>
      <c r="E274" s="22">
        <f>INDEX(Data[],MATCH($A274,Data[Dist],0),MATCH(E$4,Data[#Headers],0))</f>
        <v>11364</v>
      </c>
      <c r="F274" s="22">
        <f>IF(Notes!$B$3="Pay 1 Regular State Payment Budget",0,INDEX(Data[],MATCH($A274,Data[Dist],0),MATCH(F$4,Data[#Headers],0)))</f>
        <v>0</v>
      </c>
      <c r="G274" s="22">
        <f>IF(OR(Notes!$B$3="Pay 1 Regular State Payment Budget",Notes!$B$3="Pay 2 Regular State Payment Budget"),0,INDEX(Data[],MATCH($A274,Data[Dist],0),MATCH(G$4,Data[#Headers],0)))</f>
        <v>0</v>
      </c>
      <c r="H274" s="22">
        <f>INDEX(Data[],MATCH($A274,Data[Dist],0),MATCH(H$4,Data[#Headers],0))</f>
        <v>53847389</v>
      </c>
    </row>
    <row r="275" spans="1:8" s="21" customFormat="1" ht="12.75" x14ac:dyDescent="0.2">
      <c r="A275" s="20" t="str">
        <f>Data!B271</f>
        <v>6102</v>
      </c>
      <c r="B275" s="21" t="str">
        <f>INDEX(Data[],MATCH($A275,Data[Dist],0),MATCH(B$4,Data[#Headers],0))</f>
        <v>Spencer</v>
      </c>
      <c r="C275" s="22">
        <f>INDEX(Data[],MATCH($A275,Data[Dist],0),MATCH(C$4,Data[#Headers],0))</f>
        <v>15668814</v>
      </c>
      <c r="D275" s="22">
        <f>INDEX(Data[],MATCH($A275,Data[Dist],0),MATCH(D$4,Data[#Headers],0))</f>
        <v>2687</v>
      </c>
      <c r="E275" s="22">
        <f>INDEX(Data[],MATCH($A275,Data[Dist],0),MATCH(E$4,Data[#Headers],0))</f>
        <v>6355</v>
      </c>
      <c r="F275" s="22">
        <f>IF(Notes!$B$3="Pay 1 Regular State Payment Budget",0,INDEX(Data[],MATCH($A275,Data[Dist],0),MATCH(F$4,Data[#Headers],0)))</f>
        <v>0</v>
      </c>
      <c r="G275" s="22">
        <f>IF(OR(Notes!$B$3="Pay 1 Regular State Payment Budget",Notes!$B$3="Pay 2 Regular State Payment Budget"),0,INDEX(Data[],MATCH($A275,Data[Dist],0),MATCH(G$4,Data[#Headers],0)))</f>
        <v>0</v>
      </c>
      <c r="H275" s="22">
        <f>INDEX(Data[],MATCH($A275,Data[Dist],0),MATCH(H$4,Data[#Headers],0))</f>
        <v>15659772</v>
      </c>
    </row>
    <row r="276" spans="1:8" s="21" customFormat="1" ht="12.75" x14ac:dyDescent="0.2">
      <c r="A276" s="20" t="str">
        <f>Data!B272</f>
        <v>6120</v>
      </c>
      <c r="B276" s="21" t="str">
        <f>INDEX(Data[],MATCH($A276,Data[Dist],0),MATCH(B$4,Data[#Headers],0))</f>
        <v>Spirit Lake</v>
      </c>
      <c r="C276" s="22">
        <f>INDEX(Data[],MATCH($A276,Data[Dist],0),MATCH(C$4,Data[#Headers],0))</f>
        <v>3096770</v>
      </c>
      <c r="D276" s="22">
        <f>INDEX(Data[],MATCH($A276,Data[Dist],0),MATCH(D$4,Data[#Headers],0))</f>
        <v>1244</v>
      </c>
      <c r="E276" s="22">
        <f>INDEX(Data[],MATCH($A276,Data[Dist],0),MATCH(E$4,Data[#Headers],0))</f>
        <v>0</v>
      </c>
      <c r="F276" s="22">
        <f>IF(Notes!$B$3="Pay 1 Regular State Payment Budget",0,INDEX(Data[],MATCH($A276,Data[Dist],0),MATCH(F$4,Data[#Headers],0)))</f>
        <v>0</v>
      </c>
      <c r="G276" s="22">
        <f>IF(OR(Notes!$B$3="Pay 1 Regular State Payment Budget",Notes!$B$3="Pay 2 Regular State Payment Budget"),0,INDEX(Data[],MATCH($A276,Data[Dist],0),MATCH(G$4,Data[#Headers],0)))</f>
        <v>0</v>
      </c>
      <c r="H276" s="22">
        <f>INDEX(Data[],MATCH($A276,Data[Dist],0),MATCH(H$4,Data[#Headers],0))</f>
        <v>3095526</v>
      </c>
    </row>
    <row r="277" spans="1:8" s="21" customFormat="1" ht="12.75" x14ac:dyDescent="0.2">
      <c r="A277" s="20" t="str">
        <f>Data!B273</f>
        <v>6138</v>
      </c>
      <c r="B277" s="21" t="str">
        <f>INDEX(Data[],MATCH($A277,Data[Dist],0),MATCH(B$4,Data[#Headers],0))</f>
        <v>Springville</v>
      </c>
      <c r="C277" s="22">
        <f>INDEX(Data[],MATCH($A277,Data[Dist],0),MATCH(C$4,Data[#Headers],0))</f>
        <v>2855450</v>
      </c>
      <c r="D277" s="22">
        <f>INDEX(Data[],MATCH($A277,Data[Dist],0),MATCH(D$4,Data[#Headers],0))</f>
        <v>431</v>
      </c>
      <c r="E277" s="22">
        <f>INDEX(Data[],MATCH($A277,Data[Dist],0),MATCH(E$4,Data[#Headers],0))</f>
        <v>0</v>
      </c>
      <c r="F277" s="22">
        <f>IF(Notes!$B$3="Pay 1 Regular State Payment Budget",0,INDEX(Data[],MATCH($A277,Data[Dist],0),MATCH(F$4,Data[#Headers],0)))</f>
        <v>0</v>
      </c>
      <c r="G277" s="22">
        <f>IF(OR(Notes!$B$3="Pay 1 Regular State Payment Budget",Notes!$B$3="Pay 2 Regular State Payment Budget"),0,INDEX(Data[],MATCH($A277,Data[Dist],0),MATCH(G$4,Data[#Headers],0)))</f>
        <v>0</v>
      </c>
      <c r="H277" s="22">
        <f>INDEX(Data[],MATCH($A277,Data[Dist],0),MATCH(H$4,Data[#Headers],0))</f>
        <v>2855019</v>
      </c>
    </row>
    <row r="278" spans="1:8" s="21" customFormat="1" ht="12.75" x14ac:dyDescent="0.2">
      <c r="A278" s="20" t="str">
        <f>Data!B274</f>
        <v>6165</v>
      </c>
      <c r="B278" s="21" t="str">
        <f>INDEX(Data[],MATCH($A278,Data[Dist],0),MATCH(B$4,Data[#Headers],0))</f>
        <v>Stanton</v>
      </c>
      <c r="C278" s="22">
        <f>INDEX(Data[],MATCH($A278,Data[Dist],0),MATCH(C$4,Data[#Headers],0))</f>
        <v>1511906</v>
      </c>
      <c r="D278" s="22">
        <f>INDEX(Data[],MATCH($A278,Data[Dist],0),MATCH(D$4,Data[#Headers],0))</f>
        <v>381</v>
      </c>
      <c r="E278" s="22">
        <f>INDEX(Data[],MATCH($A278,Data[Dist],0),MATCH(E$4,Data[#Headers],0))</f>
        <v>0</v>
      </c>
      <c r="F278" s="22">
        <f>IF(Notes!$B$3="Pay 1 Regular State Payment Budget",0,INDEX(Data[],MATCH($A278,Data[Dist],0),MATCH(F$4,Data[#Headers],0)))</f>
        <v>0</v>
      </c>
      <c r="G278" s="22">
        <f>IF(OR(Notes!$B$3="Pay 1 Regular State Payment Budget",Notes!$B$3="Pay 2 Regular State Payment Budget"),0,INDEX(Data[],MATCH($A278,Data[Dist],0),MATCH(G$4,Data[#Headers],0)))</f>
        <v>0</v>
      </c>
      <c r="H278" s="22">
        <f>INDEX(Data[],MATCH($A278,Data[Dist],0),MATCH(H$4,Data[#Headers],0))</f>
        <v>1511525</v>
      </c>
    </row>
    <row r="279" spans="1:8" s="21" customFormat="1" ht="12.75" x14ac:dyDescent="0.2">
      <c r="A279" s="20" t="str">
        <f>Data!B275</f>
        <v>6175</v>
      </c>
      <c r="B279" s="21" t="str">
        <f>INDEX(Data[],MATCH($A279,Data[Dist],0),MATCH(B$4,Data[#Headers],0))</f>
        <v>Starmont</v>
      </c>
      <c r="C279" s="22">
        <f>INDEX(Data[],MATCH($A279,Data[Dist],0),MATCH(C$4,Data[#Headers],0))</f>
        <v>4081401</v>
      </c>
      <c r="D279" s="22">
        <f>INDEX(Data[],MATCH($A279,Data[Dist],0),MATCH(D$4,Data[#Headers],0))</f>
        <v>498</v>
      </c>
      <c r="E279" s="22">
        <f>INDEX(Data[],MATCH($A279,Data[Dist],0),MATCH(E$4,Data[#Headers],0))</f>
        <v>0</v>
      </c>
      <c r="F279" s="22">
        <f>IF(Notes!$B$3="Pay 1 Regular State Payment Budget",0,INDEX(Data[],MATCH($A279,Data[Dist],0),MATCH(F$4,Data[#Headers],0)))</f>
        <v>0</v>
      </c>
      <c r="G279" s="22">
        <f>IF(OR(Notes!$B$3="Pay 1 Regular State Payment Budget",Notes!$B$3="Pay 2 Regular State Payment Budget"),0,INDEX(Data[],MATCH($A279,Data[Dist],0),MATCH(G$4,Data[#Headers],0)))</f>
        <v>0</v>
      </c>
      <c r="H279" s="22">
        <f>INDEX(Data[],MATCH($A279,Data[Dist],0),MATCH(H$4,Data[#Headers],0))</f>
        <v>4080903</v>
      </c>
    </row>
    <row r="280" spans="1:8" s="21" customFormat="1" ht="12.75" x14ac:dyDescent="0.2">
      <c r="A280" s="20" t="str">
        <f>Data!B276</f>
        <v>6219</v>
      </c>
      <c r="B280" s="21" t="str">
        <f>INDEX(Data[],MATCH($A280,Data[Dist],0),MATCH(B$4,Data[#Headers],0))</f>
        <v>Storm Lake</v>
      </c>
      <c r="C280" s="22">
        <f>INDEX(Data[],MATCH($A280,Data[Dist],0),MATCH(C$4,Data[#Headers],0))</f>
        <v>22777776</v>
      </c>
      <c r="D280" s="22">
        <f>INDEX(Data[],MATCH($A280,Data[Dist],0),MATCH(D$4,Data[#Headers],0))</f>
        <v>2770</v>
      </c>
      <c r="E280" s="22">
        <f>INDEX(Data[],MATCH($A280,Data[Dist],0),MATCH(E$4,Data[#Headers],0))</f>
        <v>2441</v>
      </c>
      <c r="F280" s="22">
        <f>IF(Notes!$B$3="Pay 1 Regular State Payment Budget",0,INDEX(Data[],MATCH($A280,Data[Dist],0),MATCH(F$4,Data[#Headers],0)))</f>
        <v>0</v>
      </c>
      <c r="G280" s="22">
        <f>IF(OR(Notes!$B$3="Pay 1 Regular State Payment Budget",Notes!$B$3="Pay 2 Regular State Payment Budget"),0,INDEX(Data[],MATCH($A280,Data[Dist],0),MATCH(G$4,Data[#Headers],0)))</f>
        <v>0</v>
      </c>
      <c r="H280" s="22">
        <f>INDEX(Data[],MATCH($A280,Data[Dist],0),MATCH(H$4,Data[#Headers],0))</f>
        <v>22772565</v>
      </c>
    </row>
    <row r="281" spans="1:8" s="21" customFormat="1" ht="12.75" x14ac:dyDescent="0.2">
      <c r="A281" s="20" t="str">
        <f>Data!B277</f>
        <v>6246</v>
      </c>
      <c r="B281" s="21" t="str">
        <f>INDEX(Data[],MATCH($A281,Data[Dist],0),MATCH(B$4,Data[#Headers],0))</f>
        <v>Stratford</v>
      </c>
      <c r="C281" s="22">
        <f>INDEX(Data[],MATCH($A281,Data[Dist],0),MATCH(C$4,Data[#Headers],0))</f>
        <v>916889</v>
      </c>
      <c r="D281" s="22">
        <f>INDEX(Data[],MATCH($A281,Data[Dist],0),MATCH(D$4,Data[#Headers],0))</f>
        <v>282</v>
      </c>
      <c r="E281" s="22">
        <f>INDEX(Data[],MATCH($A281,Data[Dist],0),MATCH(E$4,Data[#Headers],0))</f>
        <v>0</v>
      </c>
      <c r="F281" s="22">
        <f>IF(Notes!$B$3="Pay 1 Regular State Payment Budget",0,INDEX(Data[],MATCH($A281,Data[Dist],0),MATCH(F$4,Data[#Headers],0)))</f>
        <v>0</v>
      </c>
      <c r="G281" s="22">
        <f>IF(OR(Notes!$B$3="Pay 1 Regular State Payment Budget",Notes!$B$3="Pay 2 Regular State Payment Budget"),0,INDEX(Data[],MATCH($A281,Data[Dist],0),MATCH(G$4,Data[#Headers],0)))</f>
        <v>0</v>
      </c>
      <c r="H281" s="22">
        <f>INDEX(Data[],MATCH($A281,Data[Dist],0),MATCH(H$4,Data[#Headers],0))</f>
        <v>916607</v>
      </c>
    </row>
    <row r="282" spans="1:8" s="21" customFormat="1" ht="12.75" x14ac:dyDescent="0.2">
      <c r="A282" s="20" t="str">
        <f>Data!B278</f>
        <v>6264</v>
      </c>
      <c r="B282" s="21" t="str">
        <f>INDEX(Data[],MATCH($A282,Data[Dist],0),MATCH(B$4,Data[#Headers],0))</f>
        <v>West Central Valley</v>
      </c>
      <c r="C282" s="22">
        <f>INDEX(Data[],MATCH($A282,Data[Dist],0),MATCH(C$4,Data[#Headers],0))</f>
        <v>5519248</v>
      </c>
      <c r="D282" s="22">
        <f>INDEX(Data[],MATCH($A282,Data[Dist],0),MATCH(D$4,Data[#Headers],0))</f>
        <v>813</v>
      </c>
      <c r="E282" s="22">
        <f>INDEX(Data[],MATCH($A282,Data[Dist],0),MATCH(E$4,Data[#Headers],0))</f>
        <v>7576</v>
      </c>
      <c r="F282" s="22">
        <f>IF(Notes!$B$3="Pay 1 Regular State Payment Budget",0,INDEX(Data[],MATCH($A282,Data[Dist],0),MATCH(F$4,Data[#Headers],0)))</f>
        <v>0</v>
      </c>
      <c r="G282" s="22">
        <f>IF(OR(Notes!$B$3="Pay 1 Regular State Payment Budget",Notes!$B$3="Pay 2 Regular State Payment Budget"),0,INDEX(Data[],MATCH($A282,Data[Dist],0),MATCH(G$4,Data[#Headers],0)))</f>
        <v>0</v>
      </c>
      <c r="H282" s="22">
        <f>INDEX(Data[],MATCH($A282,Data[Dist],0),MATCH(H$4,Data[#Headers],0))</f>
        <v>5510859</v>
      </c>
    </row>
    <row r="283" spans="1:8" s="21" customFormat="1" ht="12.75" x14ac:dyDescent="0.2">
      <c r="A283" s="20" t="str">
        <f>Data!B279</f>
        <v>6273</v>
      </c>
      <c r="B283" s="21" t="str">
        <f>INDEX(Data[],MATCH($A283,Data[Dist],0),MATCH(B$4,Data[#Headers],0))</f>
        <v>Sumner-Fredericksburg</v>
      </c>
      <c r="C283" s="22">
        <f>INDEX(Data[],MATCH($A283,Data[Dist],0),MATCH(C$4,Data[#Headers],0))</f>
        <v>5155548</v>
      </c>
      <c r="D283" s="22">
        <f>INDEX(Data[],MATCH($A283,Data[Dist],0),MATCH(D$4,Data[#Headers],0))</f>
        <v>746</v>
      </c>
      <c r="E283" s="22">
        <f>INDEX(Data[],MATCH($A283,Data[Dist],0),MATCH(E$4,Data[#Headers],0))</f>
        <v>0</v>
      </c>
      <c r="F283" s="22">
        <f>IF(Notes!$B$3="Pay 1 Regular State Payment Budget",0,INDEX(Data[],MATCH($A283,Data[Dist],0),MATCH(F$4,Data[#Headers],0)))</f>
        <v>0</v>
      </c>
      <c r="G283" s="22">
        <f>IF(OR(Notes!$B$3="Pay 1 Regular State Payment Budget",Notes!$B$3="Pay 2 Regular State Payment Budget"),0,INDEX(Data[],MATCH($A283,Data[Dist],0),MATCH(G$4,Data[#Headers],0)))</f>
        <v>0</v>
      </c>
      <c r="H283" s="22">
        <f>INDEX(Data[],MATCH($A283,Data[Dist],0),MATCH(H$4,Data[#Headers],0))</f>
        <v>5154802</v>
      </c>
    </row>
    <row r="284" spans="1:8" s="21" customFormat="1" ht="12.75" x14ac:dyDescent="0.2">
      <c r="A284" s="20" t="str">
        <f>Data!B280</f>
        <v>6408</v>
      </c>
      <c r="B284" s="21" t="str">
        <f>INDEX(Data[],MATCH($A284,Data[Dist],0),MATCH(B$4,Data[#Headers],0))</f>
        <v>Tipton</v>
      </c>
      <c r="C284" s="22">
        <f>INDEX(Data[],MATCH($A284,Data[Dist],0),MATCH(C$4,Data[#Headers],0))</f>
        <v>5862492</v>
      </c>
      <c r="D284" s="22">
        <f>INDEX(Data[],MATCH($A284,Data[Dist],0),MATCH(D$4,Data[#Headers],0))</f>
        <v>531</v>
      </c>
      <c r="E284" s="22">
        <f>INDEX(Data[],MATCH($A284,Data[Dist],0),MATCH(E$4,Data[#Headers],0))</f>
        <v>0</v>
      </c>
      <c r="F284" s="22">
        <f>IF(Notes!$B$3="Pay 1 Regular State Payment Budget",0,INDEX(Data[],MATCH($A284,Data[Dist],0),MATCH(F$4,Data[#Headers],0)))</f>
        <v>0</v>
      </c>
      <c r="G284" s="22">
        <f>IF(OR(Notes!$B$3="Pay 1 Regular State Payment Budget",Notes!$B$3="Pay 2 Regular State Payment Budget"),0,INDEX(Data[],MATCH($A284,Data[Dist],0),MATCH(G$4,Data[#Headers],0)))</f>
        <v>0</v>
      </c>
      <c r="H284" s="22">
        <f>INDEX(Data[],MATCH($A284,Data[Dist],0),MATCH(H$4,Data[#Headers],0))</f>
        <v>5861961</v>
      </c>
    </row>
    <row r="285" spans="1:8" s="21" customFormat="1" ht="12.75" x14ac:dyDescent="0.2">
      <c r="A285" s="20" t="str">
        <f>Data!B281</f>
        <v>6453</v>
      </c>
      <c r="B285" s="21" t="str">
        <f>INDEX(Data[],MATCH($A285,Data[Dist],0),MATCH(B$4,Data[#Headers],0))</f>
        <v>Treynor</v>
      </c>
      <c r="C285" s="22">
        <f>INDEX(Data[],MATCH($A285,Data[Dist],0),MATCH(C$4,Data[#Headers],0))</f>
        <v>3413548</v>
      </c>
      <c r="D285" s="22">
        <f>INDEX(Data[],MATCH($A285,Data[Dist],0),MATCH(D$4,Data[#Headers],0))</f>
        <v>0</v>
      </c>
      <c r="E285" s="22">
        <f>INDEX(Data[],MATCH($A285,Data[Dist],0),MATCH(E$4,Data[#Headers],0))</f>
        <v>0</v>
      </c>
      <c r="F285" s="22">
        <f>IF(Notes!$B$3="Pay 1 Regular State Payment Budget",0,INDEX(Data[],MATCH($A285,Data[Dist],0),MATCH(F$4,Data[#Headers],0)))</f>
        <v>0</v>
      </c>
      <c r="G285" s="22">
        <f>IF(OR(Notes!$B$3="Pay 1 Regular State Payment Budget",Notes!$B$3="Pay 2 Regular State Payment Budget"),0,INDEX(Data[],MATCH($A285,Data[Dist],0),MATCH(G$4,Data[#Headers],0)))</f>
        <v>0</v>
      </c>
      <c r="H285" s="22">
        <f>INDEX(Data[],MATCH($A285,Data[Dist],0),MATCH(H$4,Data[#Headers],0))</f>
        <v>3413548</v>
      </c>
    </row>
    <row r="286" spans="1:8" s="21" customFormat="1" ht="12.75" x14ac:dyDescent="0.2">
      <c r="A286" s="20" t="str">
        <f>Data!B282</f>
        <v>6460</v>
      </c>
      <c r="B286" s="21" t="str">
        <f>INDEX(Data[],MATCH($A286,Data[Dist],0),MATCH(B$4,Data[#Headers],0))</f>
        <v>Tri-Center</v>
      </c>
      <c r="C286" s="22">
        <f>INDEX(Data[],MATCH($A286,Data[Dist],0),MATCH(C$4,Data[#Headers],0))</f>
        <v>4561277</v>
      </c>
      <c r="D286" s="22">
        <f>INDEX(Data[],MATCH($A286,Data[Dist],0),MATCH(D$4,Data[#Headers],0))</f>
        <v>697</v>
      </c>
      <c r="E286" s="22">
        <f>INDEX(Data[],MATCH($A286,Data[Dist],0),MATCH(E$4,Data[#Headers],0))</f>
        <v>0</v>
      </c>
      <c r="F286" s="22">
        <f>IF(Notes!$B$3="Pay 1 Regular State Payment Budget",0,INDEX(Data[],MATCH($A286,Data[Dist],0),MATCH(F$4,Data[#Headers],0)))</f>
        <v>0</v>
      </c>
      <c r="G286" s="22">
        <f>IF(OR(Notes!$B$3="Pay 1 Regular State Payment Budget",Notes!$B$3="Pay 2 Regular State Payment Budget"),0,INDEX(Data[],MATCH($A286,Data[Dist],0),MATCH(G$4,Data[#Headers],0)))</f>
        <v>0</v>
      </c>
      <c r="H286" s="22">
        <f>INDEX(Data[],MATCH($A286,Data[Dist],0),MATCH(H$4,Data[#Headers],0))</f>
        <v>4560580</v>
      </c>
    </row>
    <row r="287" spans="1:8" s="21" customFormat="1" ht="12.75" x14ac:dyDescent="0.2">
      <c r="A287" s="20" t="str">
        <f>Data!B283</f>
        <v>6462</v>
      </c>
      <c r="B287" s="21" t="str">
        <f>INDEX(Data[],MATCH($A287,Data[Dist],0),MATCH(B$4,Data[#Headers],0))</f>
        <v>Tri-County</v>
      </c>
      <c r="C287" s="22">
        <f>INDEX(Data[],MATCH($A287,Data[Dist],0),MATCH(C$4,Data[#Headers],0))</f>
        <v>1784212</v>
      </c>
      <c r="D287" s="22">
        <f>INDEX(Data[],MATCH($A287,Data[Dist],0),MATCH(D$4,Data[#Headers],0))</f>
        <v>216</v>
      </c>
      <c r="E287" s="22">
        <f>INDEX(Data[],MATCH($A287,Data[Dist],0),MATCH(E$4,Data[#Headers],0))</f>
        <v>0</v>
      </c>
      <c r="F287" s="22">
        <f>IF(Notes!$B$3="Pay 1 Regular State Payment Budget",0,INDEX(Data[],MATCH($A287,Data[Dist],0),MATCH(F$4,Data[#Headers],0)))</f>
        <v>0</v>
      </c>
      <c r="G287" s="22">
        <f>IF(OR(Notes!$B$3="Pay 1 Regular State Payment Budget",Notes!$B$3="Pay 2 Regular State Payment Budget"),0,INDEX(Data[],MATCH($A287,Data[Dist],0),MATCH(G$4,Data[#Headers],0)))</f>
        <v>0</v>
      </c>
      <c r="H287" s="22">
        <f>INDEX(Data[],MATCH($A287,Data[Dist],0),MATCH(H$4,Data[#Headers],0))</f>
        <v>1783996</v>
      </c>
    </row>
    <row r="288" spans="1:8" s="21" customFormat="1" ht="12.75" x14ac:dyDescent="0.2">
      <c r="A288" s="20" t="str">
        <f>Data!B284</f>
        <v>6471</v>
      </c>
      <c r="B288" s="21" t="str">
        <f>INDEX(Data[],MATCH($A288,Data[Dist],0),MATCH(B$4,Data[#Headers],0))</f>
        <v>Tripoli</v>
      </c>
      <c r="C288" s="22">
        <f>INDEX(Data[],MATCH($A288,Data[Dist],0),MATCH(C$4,Data[#Headers],0))</f>
        <v>2781528</v>
      </c>
      <c r="D288" s="22">
        <f>INDEX(Data[],MATCH($A288,Data[Dist],0),MATCH(D$4,Data[#Headers],0))</f>
        <v>0</v>
      </c>
      <c r="E288" s="22">
        <f>INDEX(Data[],MATCH($A288,Data[Dist],0),MATCH(E$4,Data[#Headers],0))</f>
        <v>0</v>
      </c>
      <c r="F288" s="22">
        <f>IF(Notes!$B$3="Pay 1 Regular State Payment Budget",0,INDEX(Data[],MATCH($A288,Data[Dist],0),MATCH(F$4,Data[#Headers],0)))</f>
        <v>0</v>
      </c>
      <c r="G288" s="22">
        <f>IF(OR(Notes!$B$3="Pay 1 Regular State Payment Budget",Notes!$B$3="Pay 2 Regular State Payment Budget"),0,INDEX(Data[],MATCH($A288,Data[Dist],0),MATCH(G$4,Data[#Headers],0)))</f>
        <v>0</v>
      </c>
      <c r="H288" s="22">
        <f>INDEX(Data[],MATCH($A288,Data[Dist],0),MATCH(H$4,Data[#Headers],0))</f>
        <v>2781528</v>
      </c>
    </row>
    <row r="289" spans="1:8" s="21" customFormat="1" ht="12.75" x14ac:dyDescent="0.2">
      <c r="A289" s="20" t="str">
        <f>Data!B285</f>
        <v>6509</v>
      </c>
      <c r="B289" s="21" t="str">
        <f>INDEX(Data[],MATCH($A289,Data[Dist],0),MATCH(B$4,Data[#Headers],0))</f>
        <v>Turkey Valley</v>
      </c>
      <c r="C289" s="22">
        <f>INDEX(Data[],MATCH($A289,Data[Dist],0),MATCH(C$4,Data[#Headers],0))</f>
        <v>2222419</v>
      </c>
      <c r="D289" s="22">
        <f>INDEX(Data[],MATCH($A289,Data[Dist],0),MATCH(D$4,Data[#Headers],0))</f>
        <v>547</v>
      </c>
      <c r="E289" s="22">
        <f>INDEX(Data[],MATCH($A289,Data[Dist],0),MATCH(E$4,Data[#Headers],0))</f>
        <v>0</v>
      </c>
      <c r="F289" s="22">
        <f>IF(Notes!$B$3="Pay 1 Regular State Payment Budget",0,INDEX(Data[],MATCH($A289,Data[Dist],0),MATCH(F$4,Data[#Headers],0)))</f>
        <v>0</v>
      </c>
      <c r="G289" s="22">
        <f>IF(OR(Notes!$B$3="Pay 1 Regular State Payment Budget",Notes!$B$3="Pay 2 Regular State Payment Budget"),0,INDEX(Data[],MATCH($A289,Data[Dist],0),MATCH(G$4,Data[#Headers],0)))</f>
        <v>0</v>
      </c>
      <c r="H289" s="22">
        <f>INDEX(Data[],MATCH($A289,Data[Dist],0),MATCH(H$4,Data[#Headers],0))</f>
        <v>2221872</v>
      </c>
    </row>
    <row r="290" spans="1:8" s="21" customFormat="1" ht="12.75" x14ac:dyDescent="0.2">
      <c r="A290" s="20" t="str">
        <f>Data!B286</f>
        <v>6512</v>
      </c>
      <c r="B290" s="21" t="str">
        <f>INDEX(Data[],MATCH($A290,Data[Dist],0),MATCH(B$4,Data[#Headers],0))</f>
        <v>Twin Cedars</v>
      </c>
      <c r="C290" s="22">
        <f>INDEX(Data[],MATCH($A290,Data[Dist],0),MATCH(C$4,Data[#Headers],0))</f>
        <v>2559024</v>
      </c>
      <c r="D290" s="22">
        <f>INDEX(Data[],MATCH($A290,Data[Dist],0),MATCH(D$4,Data[#Headers],0))</f>
        <v>232</v>
      </c>
      <c r="E290" s="22">
        <f>INDEX(Data[],MATCH($A290,Data[Dist],0),MATCH(E$4,Data[#Headers],0))</f>
        <v>0</v>
      </c>
      <c r="F290" s="22">
        <f>IF(Notes!$B$3="Pay 1 Regular State Payment Budget",0,INDEX(Data[],MATCH($A290,Data[Dist],0),MATCH(F$4,Data[#Headers],0)))</f>
        <v>0</v>
      </c>
      <c r="G290" s="22">
        <f>IF(OR(Notes!$B$3="Pay 1 Regular State Payment Budget",Notes!$B$3="Pay 2 Regular State Payment Budget"),0,INDEX(Data[],MATCH($A290,Data[Dist],0),MATCH(G$4,Data[#Headers],0)))</f>
        <v>0</v>
      </c>
      <c r="H290" s="22">
        <f>INDEX(Data[],MATCH($A290,Data[Dist],0),MATCH(H$4,Data[#Headers],0))</f>
        <v>2558792</v>
      </c>
    </row>
    <row r="291" spans="1:8" s="21" customFormat="1" ht="12.75" x14ac:dyDescent="0.2">
      <c r="A291" s="20" t="str">
        <f>Data!B287</f>
        <v>6516</v>
      </c>
      <c r="B291" s="21" t="str">
        <f>INDEX(Data[],MATCH($A291,Data[Dist],0),MATCH(B$4,Data[#Headers],0))</f>
        <v>Twin Rivers</v>
      </c>
      <c r="C291" s="22">
        <f>INDEX(Data[],MATCH($A291,Data[Dist],0),MATCH(C$4,Data[#Headers],0))</f>
        <v>809823</v>
      </c>
      <c r="D291" s="22">
        <f>INDEX(Data[],MATCH($A291,Data[Dist],0),MATCH(D$4,Data[#Headers],0))</f>
        <v>33</v>
      </c>
      <c r="E291" s="22">
        <f>INDEX(Data[],MATCH($A291,Data[Dist],0),MATCH(E$4,Data[#Headers],0))</f>
        <v>0</v>
      </c>
      <c r="F291" s="22">
        <f>IF(Notes!$B$3="Pay 1 Regular State Payment Budget",0,INDEX(Data[],MATCH($A291,Data[Dist],0),MATCH(F$4,Data[#Headers],0)))</f>
        <v>0</v>
      </c>
      <c r="G291" s="22">
        <f>IF(OR(Notes!$B$3="Pay 1 Regular State Payment Budget",Notes!$B$3="Pay 2 Regular State Payment Budget"),0,INDEX(Data[],MATCH($A291,Data[Dist],0),MATCH(G$4,Data[#Headers],0)))</f>
        <v>0</v>
      </c>
      <c r="H291" s="22">
        <f>INDEX(Data[],MATCH($A291,Data[Dist],0),MATCH(H$4,Data[#Headers],0))</f>
        <v>809790</v>
      </c>
    </row>
    <row r="292" spans="1:8" s="21" customFormat="1" ht="12.75" x14ac:dyDescent="0.2">
      <c r="A292" s="20" t="str">
        <f>Data!B288</f>
        <v>6534</v>
      </c>
      <c r="B292" s="21" t="str">
        <f>INDEX(Data[],MATCH($A292,Data[Dist],0),MATCH(B$4,Data[#Headers],0))</f>
        <v>Underwood</v>
      </c>
      <c r="C292" s="22">
        <f>INDEX(Data[],MATCH($A292,Data[Dist],0),MATCH(C$4,Data[#Headers],0))</f>
        <v>5146379</v>
      </c>
      <c r="D292" s="22">
        <f>INDEX(Data[],MATCH($A292,Data[Dist],0),MATCH(D$4,Data[#Headers],0))</f>
        <v>580</v>
      </c>
      <c r="E292" s="22">
        <f>INDEX(Data[],MATCH($A292,Data[Dist],0),MATCH(E$4,Data[#Headers],0))</f>
        <v>0</v>
      </c>
      <c r="F292" s="22">
        <f>IF(Notes!$B$3="Pay 1 Regular State Payment Budget",0,INDEX(Data[],MATCH($A292,Data[Dist],0),MATCH(F$4,Data[#Headers],0)))</f>
        <v>0</v>
      </c>
      <c r="G292" s="22">
        <f>IF(OR(Notes!$B$3="Pay 1 Regular State Payment Budget",Notes!$B$3="Pay 2 Regular State Payment Budget"),0,INDEX(Data[],MATCH($A292,Data[Dist],0),MATCH(G$4,Data[#Headers],0)))</f>
        <v>0</v>
      </c>
      <c r="H292" s="22">
        <f>INDEX(Data[],MATCH($A292,Data[Dist],0),MATCH(H$4,Data[#Headers],0))</f>
        <v>5145799</v>
      </c>
    </row>
    <row r="293" spans="1:8" s="21" customFormat="1" ht="12.75" x14ac:dyDescent="0.2">
      <c r="A293" s="20" t="str">
        <f>Data!B289</f>
        <v>6561</v>
      </c>
      <c r="B293" s="21" t="str">
        <f>INDEX(Data[],MATCH($A293,Data[Dist],0),MATCH(B$4,Data[#Headers],0))</f>
        <v>United</v>
      </c>
      <c r="C293" s="22">
        <f>INDEX(Data[],MATCH($A293,Data[Dist],0),MATCH(C$4,Data[#Headers],0))</f>
        <v>1633564</v>
      </c>
      <c r="D293" s="22">
        <f>INDEX(Data[],MATCH($A293,Data[Dist],0),MATCH(D$4,Data[#Headers],0))</f>
        <v>879</v>
      </c>
      <c r="E293" s="22">
        <f>INDEX(Data[],MATCH($A293,Data[Dist],0),MATCH(E$4,Data[#Headers],0))</f>
        <v>0</v>
      </c>
      <c r="F293" s="22">
        <f>IF(Notes!$B$3="Pay 1 Regular State Payment Budget",0,INDEX(Data[],MATCH($A293,Data[Dist],0),MATCH(F$4,Data[#Headers],0)))</f>
        <v>0</v>
      </c>
      <c r="G293" s="22">
        <f>IF(OR(Notes!$B$3="Pay 1 Regular State Payment Budget",Notes!$B$3="Pay 2 Regular State Payment Budget"),0,INDEX(Data[],MATCH($A293,Data[Dist],0),MATCH(G$4,Data[#Headers],0)))</f>
        <v>0</v>
      </c>
      <c r="H293" s="22">
        <f>INDEX(Data[],MATCH($A293,Data[Dist],0),MATCH(H$4,Data[#Headers],0))</f>
        <v>1632685</v>
      </c>
    </row>
    <row r="294" spans="1:8" s="21" customFormat="1" ht="12.75" x14ac:dyDescent="0.2">
      <c r="A294" s="20" t="str">
        <f>Data!B290</f>
        <v>6579</v>
      </c>
      <c r="B294" s="21" t="str">
        <f>INDEX(Data[],MATCH($A294,Data[Dist],0),MATCH(B$4,Data[#Headers],0))</f>
        <v>Urbandale</v>
      </c>
      <c r="C294" s="22">
        <f>INDEX(Data[],MATCH($A294,Data[Dist],0),MATCH(C$4,Data[#Headers],0))</f>
        <v>23744162</v>
      </c>
      <c r="D294" s="22">
        <f>INDEX(Data[],MATCH($A294,Data[Dist],0),MATCH(D$4,Data[#Headers],0))</f>
        <v>3251</v>
      </c>
      <c r="E294" s="22">
        <f>INDEX(Data[],MATCH($A294,Data[Dist],0),MATCH(E$4,Data[#Headers],0))</f>
        <v>41710</v>
      </c>
      <c r="F294" s="22">
        <f>IF(Notes!$B$3="Pay 1 Regular State Payment Budget",0,INDEX(Data[],MATCH($A294,Data[Dist],0),MATCH(F$4,Data[#Headers],0)))</f>
        <v>0</v>
      </c>
      <c r="G294" s="22">
        <f>IF(OR(Notes!$B$3="Pay 1 Regular State Payment Budget",Notes!$B$3="Pay 2 Regular State Payment Budget"),0,INDEX(Data[],MATCH($A294,Data[Dist],0),MATCH(G$4,Data[#Headers],0)))</f>
        <v>0</v>
      </c>
      <c r="H294" s="22">
        <f>INDEX(Data[],MATCH($A294,Data[Dist],0),MATCH(H$4,Data[#Headers],0))</f>
        <v>23699201</v>
      </c>
    </row>
    <row r="295" spans="1:8" s="21" customFormat="1" ht="12.75" x14ac:dyDescent="0.2">
      <c r="A295" s="20" t="str">
        <f>Data!B291</f>
        <v>6592</v>
      </c>
      <c r="B295" s="21" t="str">
        <f>INDEX(Data[],MATCH($A295,Data[Dist],0),MATCH(B$4,Data[#Headers],0))</f>
        <v>Van Buren County</v>
      </c>
      <c r="C295" s="22">
        <f>INDEX(Data[],MATCH($A295,Data[Dist],0),MATCH(C$4,Data[#Headers],0))</f>
        <v>6287372</v>
      </c>
      <c r="D295" s="22">
        <f>INDEX(Data[],MATCH($A295,Data[Dist],0),MATCH(D$4,Data[#Headers],0))</f>
        <v>929</v>
      </c>
      <c r="E295" s="22">
        <f>INDEX(Data[],MATCH($A295,Data[Dist],0),MATCH(E$4,Data[#Headers],0))</f>
        <v>37880</v>
      </c>
      <c r="F295" s="22">
        <f>IF(Notes!$B$3="Pay 1 Regular State Payment Budget",0,INDEX(Data[],MATCH($A295,Data[Dist],0),MATCH(F$4,Data[#Headers],0)))</f>
        <v>0</v>
      </c>
      <c r="G295" s="22">
        <f>IF(OR(Notes!$B$3="Pay 1 Regular State Payment Budget",Notes!$B$3="Pay 2 Regular State Payment Budget"),0,INDEX(Data[],MATCH($A295,Data[Dist],0),MATCH(G$4,Data[#Headers],0)))</f>
        <v>0</v>
      </c>
      <c r="H295" s="22">
        <f>INDEX(Data[],MATCH($A295,Data[Dist],0),MATCH(H$4,Data[#Headers],0))</f>
        <v>6248563</v>
      </c>
    </row>
    <row r="296" spans="1:8" s="21" customFormat="1" ht="12.75" x14ac:dyDescent="0.2">
      <c r="A296" s="20" t="str">
        <f>Data!B292</f>
        <v>6615</v>
      </c>
      <c r="B296" s="21" t="str">
        <f>INDEX(Data[],MATCH($A296,Data[Dist],0),MATCH(B$4,Data[#Headers],0))</f>
        <v>Van Meter</v>
      </c>
      <c r="C296" s="22">
        <f>INDEX(Data[],MATCH($A296,Data[Dist],0),MATCH(C$4,Data[#Headers],0))</f>
        <v>5989515</v>
      </c>
      <c r="D296" s="22">
        <f>INDEX(Data[],MATCH($A296,Data[Dist],0),MATCH(D$4,Data[#Headers],0))</f>
        <v>829</v>
      </c>
      <c r="E296" s="22">
        <f>INDEX(Data[],MATCH($A296,Data[Dist],0),MATCH(E$4,Data[#Headers],0))</f>
        <v>1894</v>
      </c>
      <c r="F296" s="22">
        <f>IF(Notes!$B$3="Pay 1 Regular State Payment Budget",0,INDEX(Data[],MATCH($A296,Data[Dist],0),MATCH(F$4,Data[#Headers],0)))</f>
        <v>0</v>
      </c>
      <c r="G296" s="22">
        <f>IF(OR(Notes!$B$3="Pay 1 Regular State Payment Budget",Notes!$B$3="Pay 2 Regular State Payment Budget"),0,INDEX(Data[],MATCH($A296,Data[Dist],0),MATCH(G$4,Data[#Headers],0)))</f>
        <v>0</v>
      </c>
      <c r="H296" s="22">
        <f>INDEX(Data[],MATCH($A296,Data[Dist],0),MATCH(H$4,Data[#Headers],0))</f>
        <v>5986792</v>
      </c>
    </row>
    <row r="297" spans="1:8" s="21" customFormat="1" ht="12.75" x14ac:dyDescent="0.2">
      <c r="A297" s="20" t="str">
        <f>Data!B293</f>
        <v>6651</v>
      </c>
      <c r="B297" s="21" t="str">
        <f>INDEX(Data[],MATCH($A297,Data[Dist],0),MATCH(B$4,Data[#Headers],0))</f>
        <v>Villisca</v>
      </c>
      <c r="C297" s="22">
        <f>INDEX(Data[],MATCH($A297,Data[Dist],0),MATCH(C$4,Data[#Headers],0))</f>
        <v>2088381</v>
      </c>
      <c r="D297" s="22">
        <f>INDEX(Data[],MATCH($A297,Data[Dist],0),MATCH(D$4,Data[#Headers],0))</f>
        <v>265</v>
      </c>
      <c r="E297" s="22">
        <f>INDEX(Data[],MATCH($A297,Data[Dist],0),MATCH(E$4,Data[#Headers],0))</f>
        <v>0</v>
      </c>
      <c r="F297" s="22">
        <f>IF(Notes!$B$3="Pay 1 Regular State Payment Budget",0,INDEX(Data[],MATCH($A297,Data[Dist],0),MATCH(F$4,Data[#Headers],0)))</f>
        <v>0</v>
      </c>
      <c r="G297" s="22">
        <f>IF(OR(Notes!$B$3="Pay 1 Regular State Payment Budget",Notes!$B$3="Pay 2 Regular State Payment Budget"),0,INDEX(Data[],MATCH($A297,Data[Dist],0),MATCH(G$4,Data[#Headers],0)))</f>
        <v>0</v>
      </c>
      <c r="H297" s="22">
        <f>INDEX(Data[],MATCH($A297,Data[Dist],0),MATCH(H$4,Data[#Headers],0))</f>
        <v>2088116</v>
      </c>
    </row>
    <row r="298" spans="1:8" s="21" customFormat="1" ht="12.75" x14ac:dyDescent="0.2">
      <c r="A298" s="20" t="str">
        <f>Data!B294</f>
        <v>6660</v>
      </c>
      <c r="B298" s="21" t="str">
        <f>INDEX(Data[],MATCH($A298,Data[Dist],0),MATCH(B$4,Data[#Headers],0))</f>
        <v>Vinton-Shellsburg</v>
      </c>
      <c r="C298" s="22">
        <f>INDEX(Data[],MATCH($A298,Data[Dist],0),MATCH(C$4,Data[#Headers],0))</f>
        <v>11755048</v>
      </c>
      <c r="D298" s="22">
        <f>INDEX(Data[],MATCH($A298,Data[Dist],0),MATCH(D$4,Data[#Headers],0))</f>
        <v>1426</v>
      </c>
      <c r="E298" s="22">
        <f>INDEX(Data[],MATCH($A298,Data[Dist],0),MATCH(E$4,Data[#Headers],0))</f>
        <v>1641</v>
      </c>
      <c r="F298" s="22">
        <f>IF(Notes!$B$3="Pay 1 Regular State Payment Budget",0,INDEX(Data[],MATCH($A298,Data[Dist],0),MATCH(F$4,Data[#Headers],0)))</f>
        <v>0</v>
      </c>
      <c r="G298" s="22">
        <f>IF(OR(Notes!$B$3="Pay 1 Regular State Payment Budget",Notes!$B$3="Pay 2 Regular State Payment Budget"),0,INDEX(Data[],MATCH($A298,Data[Dist],0),MATCH(G$4,Data[#Headers],0)))</f>
        <v>0</v>
      </c>
      <c r="H298" s="22">
        <f>INDEX(Data[],MATCH($A298,Data[Dist],0),MATCH(H$4,Data[#Headers],0))</f>
        <v>11751981</v>
      </c>
    </row>
    <row r="299" spans="1:8" s="21" customFormat="1" ht="12.75" x14ac:dyDescent="0.2">
      <c r="A299" s="20" t="str">
        <f>Data!B295</f>
        <v>6700</v>
      </c>
      <c r="B299" s="21" t="str">
        <f>INDEX(Data[],MATCH($A299,Data[Dist],0),MATCH(B$4,Data[#Headers],0))</f>
        <v>Waco</v>
      </c>
      <c r="C299" s="22">
        <f>INDEX(Data[],MATCH($A299,Data[Dist],0),MATCH(C$4,Data[#Headers],0))</f>
        <v>3781183</v>
      </c>
      <c r="D299" s="22">
        <f>INDEX(Data[],MATCH($A299,Data[Dist],0),MATCH(D$4,Data[#Headers],0))</f>
        <v>514</v>
      </c>
      <c r="E299" s="22">
        <f>INDEX(Data[],MATCH($A299,Data[Dist],0),MATCH(E$4,Data[#Headers],0))</f>
        <v>0</v>
      </c>
      <c r="F299" s="22">
        <f>IF(Notes!$B$3="Pay 1 Regular State Payment Budget",0,INDEX(Data[],MATCH($A299,Data[Dist],0),MATCH(F$4,Data[#Headers],0)))</f>
        <v>0</v>
      </c>
      <c r="G299" s="22">
        <f>IF(OR(Notes!$B$3="Pay 1 Regular State Payment Budget",Notes!$B$3="Pay 2 Regular State Payment Budget"),0,INDEX(Data[],MATCH($A299,Data[Dist],0),MATCH(G$4,Data[#Headers],0)))</f>
        <v>0</v>
      </c>
      <c r="H299" s="22">
        <f>INDEX(Data[],MATCH($A299,Data[Dist],0),MATCH(H$4,Data[#Headers],0))</f>
        <v>3780669</v>
      </c>
    </row>
    <row r="300" spans="1:8" s="21" customFormat="1" ht="12.75" x14ac:dyDescent="0.2">
      <c r="A300" s="20" t="str">
        <f>Data!B296</f>
        <v>6741</v>
      </c>
      <c r="B300" s="21" t="str">
        <f>INDEX(Data[],MATCH($A300,Data[Dist],0),MATCH(B$4,Data[#Headers],0))</f>
        <v>East Sac County</v>
      </c>
      <c r="C300" s="22">
        <f>INDEX(Data[],MATCH($A300,Data[Dist],0),MATCH(C$4,Data[#Headers],0))</f>
        <v>5137221</v>
      </c>
      <c r="D300" s="22">
        <f>INDEX(Data[],MATCH($A300,Data[Dist],0),MATCH(D$4,Data[#Headers],0))</f>
        <v>580</v>
      </c>
      <c r="E300" s="22">
        <f>INDEX(Data[],MATCH($A300,Data[Dist],0),MATCH(E$4,Data[#Headers],0))</f>
        <v>0</v>
      </c>
      <c r="F300" s="22">
        <f>IF(Notes!$B$3="Pay 1 Regular State Payment Budget",0,INDEX(Data[],MATCH($A300,Data[Dist],0),MATCH(F$4,Data[#Headers],0)))</f>
        <v>0</v>
      </c>
      <c r="G300" s="22">
        <f>IF(OR(Notes!$B$3="Pay 1 Regular State Payment Budget",Notes!$B$3="Pay 2 Regular State Payment Budget"),0,INDEX(Data[],MATCH($A300,Data[Dist],0),MATCH(G$4,Data[#Headers],0)))</f>
        <v>0</v>
      </c>
      <c r="H300" s="22">
        <f>INDEX(Data[],MATCH($A300,Data[Dist],0),MATCH(H$4,Data[#Headers],0))</f>
        <v>5136641</v>
      </c>
    </row>
    <row r="301" spans="1:8" s="21" customFormat="1" ht="12.75" x14ac:dyDescent="0.2">
      <c r="A301" s="20" t="str">
        <f>Data!B297</f>
        <v>6759</v>
      </c>
      <c r="B301" s="21" t="str">
        <f>INDEX(Data[],MATCH($A301,Data[Dist],0),MATCH(B$4,Data[#Headers],0))</f>
        <v>Wapello</v>
      </c>
      <c r="C301" s="22">
        <f>INDEX(Data[],MATCH($A301,Data[Dist],0),MATCH(C$4,Data[#Headers],0))</f>
        <v>3743617</v>
      </c>
      <c r="D301" s="22">
        <f>INDEX(Data[],MATCH($A301,Data[Dist],0),MATCH(D$4,Data[#Headers],0))</f>
        <v>431</v>
      </c>
      <c r="E301" s="22">
        <f>INDEX(Data[],MATCH($A301,Data[Dist],0),MATCH(E$4,Data[#Headers],0))</f>
        <v>0</v>
      </c>
      <c r="F301" s="22">
        <f>IF(Notes!$B$3="Pay 1 Regular State Payment Budget",0,INDEX(Data[],MATCH($A301,Data[Dist],0),MATCH(F$4,Data[#Headers],0)))</f>
        <v>0</v>
      </c>
      <c r="G301" s="22">
        <f>IF(OR(Notes!$B$3="Pay 1 Regular State Payment Budget",Notes!$B$3="Pay 2 Regular State Payment Budget"),0,INDEX(Data[],MATCH($A301,Data[Dist],0),MATCH(G$4,Data[#Headers],0)))</f>
        <v>0</v>
      </c>
      <c r="H301" s="22">
        <f>INDEX(Data[],MATCH($A301,Data[Dist],0),MATCH(H$4,Data[#Headers],0))</f>
        <v>3743186</v>
      </c>
    </row>
    <row r="302" spans="1:8" s="21" customFormat="1" ht="12.75" x14ac:dyDescent="0.2">
      <c r="A302" s="20" t="str">
        <f>Data!B298</f>
        <v>6762</v>
      </c>
      <c r="B302" s="21" t="str">
        <f>INDEX(Data[],MATCH($A302,Data[Dist],0),MATCH(B$4,Data[#Headers],0))</f>
        <v>Wapsie Valley</v>
      </c>
      <c r="C302" s="22">
        <f>INDEX(Data[],MATCH($A302,Data[Dist],0),MATCH(C$4,Data[#Headers],0))</f>
        <v>4802033</v>
      </c>
      <c r="D302" s="22">
        <f>INDEX(Data[],MATCH($A302,Data[Dist],0),MATCH(D$4,Data[#Headers],0))</f>
        <v>763</v>
      </c>
      <c r="E302" s="22">
        <f>INDEX(Data[],MATCH($A302,Data[Dist],0),MATCH(E$4,Data[#Headers],0))</f>
        <v>0</v>
      </c>
      <c r="F302" s="22">
        <f>IF(Notes!$B$3="Pay 1 Regular State Payment Budget",0,INDEX(Data[],MATCH($A302,Data[Dist],0),MATCH(F$4,Data[#Headers],0)))</f>
        <v>0</v>
      </c>
      <c r="G302" s="22">
        <f>IF(OR(Notes!$B$3="Pay 1 Regular State Payment Budget",Notes!$B$3="Pay 2 Regular State Payment Budget"),0,INDEX(Data[],MATCH($A302,Data[Dist],0),MATCH(G$4,Data[#Headers],0)))</f>
        <v>0</v>
      </c>
      <c r="H302" s="22">
        <f>INDEX(Data[],MATCH($A302,Data[Dist],0),MATCH(H$4,Data[#Headers],0))</f>
        <v>4801270</v>
      </c>
    </row>
    <row r="303" spans="1:8" s="21" customFormat="1" ht="12.75" x14ac:dyDescent="0.2">
      <c r="A303" s="20" t="str">
        <f>Data!B299</f>
        <v>6768</v>
      </c>
      <c r="B303" s="21" t="str">
        <f>INDEX(Data[],MATCH($A303,Data[Dist],0),MATCH(B$4,Data[#Headers],0))</f>
        <v>Washington</v>
      </c>
      <c r="C303" s="22">
        <f>INDEX(Data[],MATCH($A303,Data[Dist],0),MATCH(C$4,Data[#Headers],0))</f>
        <v>12475282</v>
      </c>
      <c r="D303" s="22">
        <f>INDEX(Data[],MATCH($A303,Data[Dist],0),MATCH(D$4,Data[#Headers],0))</f>
        <v>1443</v>
      </c>
      <c r="E303" s="22">
        <f>INDEX(Data[],MATCH($A303,Data[Dist],0),MATCH(E$4,Data[#Headers],0))</f>
        <v>9638</v>
      </c>
      <c r="F303" s="22">
        <f>IF(Notes!$B$3="Pay 1 Regular State Payment Budget",0,INDEX(Data[],MATCH($A303,Data[Dist],0),MATCH(F$4,Data[#Headers],0)))</f>
        <v>0</v>
      </c>
      <c r="G303" s="22">
        <f>IF(OR(Notes!$B$3="Pay 1 Regular State Payment Budget",Notes!$B$3="Pay 2 Regular State Payment Budget"),0,INDEX(Data[],MATCH($A303,Data[Dist],0),MATCH(G$4,Data[#Headers],0)))</f>
        <v>0</v>
      </c>
      <c r="H303" s="22">
        <f>INDEX(Data[],MATCH($A303,Data[Dist],0),MATCH(H$4,Data[#Headers],0))</f>
        <v>12464201</v>
      </c>
    </row>
    <row r="304" spans="1:8" s="21" customFormat="1" ht="12.75" x14ac:dyDescent="0.2">
      <c r="A304" s="20" t="str">
        <f>Data!B300</f>
        <v>6795</v>
      </c>
      <c r="B304" s="21" t="str">
        <f>INDEX(Data[],MATCH($A304,Data[Dist],0),MATCH(B$4,Data[#Headers],0))</f>
        <v>Waterloo</v>
      </c>
      <c r="C304" s="22">
        <f>INDEX(Data[],MATCH($A304,Data[Dist],0),MATCH(C$4,Data[#Headers],0))</f>
        <v>92884716</v>
      </c>
      <c r="D304" s="22">
        <f>INDEX(Data[],MATCH($A304,Data[Dist],0),MATCH(D$4,Data[#Headers],0))</f>
        <v>8359</v>
      </c>
      <c r="E304" s="22">
        <f>INDEX(Data[],MATCH($A304,Data[Dist],0),MATCH(E$4,Data[#Headers],0))</f>
        <v>13763</v>
      </c>
      <c r="F304" s="22">
        <f>IF(Notes!$B$3="Pay 1 Regular State Payment Budget",0,INDEX(Data[],MATCH($A304,Data[Dist],0),MATCH(F$4,Data[#Headers],0)))</f>
        <v>0</v>
      </c>
      <c r="G304" s="22">
        <f>IF(OR(Notes!$B$3="Pay 1 Regular State Payment Budget",Notes!$B$3="Pay 2 Regular State Payment Budget"),0,INDEX(Data[],MATCH($A304,Data[Dist],0),MATCH(G$4,Data[#Headers],0)))</f>
        <v>0</v>
      </c>
      <c r="H304" s="22">
        <f>INDEX(Data[],MATCH($A304,Data[Dist],0),MATCH(H$4,Data[#Headers],0))</f>
        <v>92862594</v>
      </c>
    </row>
    <row r="305" spans="1:8" s="21" customFormat="1" ht="12.75" x14ac:dyDescent="0.2">
      <c r="A305" s="20" t="str">
        <f>Data!B301</f>
        <v>6822</v>
      </c>
      <c r="B305" s="21" t="str">
        <f>INDEX(Data[],MATCH($A305,Data[Dist],0),MATCH(B$4,Data[#Headers],0))</f>
        <v>Waukee</v>
      </c>
      <c r="C305" s="22">
        <f>INDEX(Data[],MATCH($A305,Data[Dist],0),MATCH(C$4,Data[#Headers],0))</f>
        <v>83027163</v>
      </c>
      <c r="D305" s="22">
        <f>INDEX(Data[],MATCH($A305,Data[Dist],0),MATCH(D$4,Data[#Headers],0))</f>
        <v>3649</v>
      </c>
      <c r="E305" s="22">
        <f>INDEX(Data[],MATCH($A305,Data[Dist],0),MATCH(E$4,Data[#Headers],0))</f>
        <v>4967</v>
      </c>
      <c r="F305" s="22">
        <f>IF(Notes!$B$3="Pay 1 Regular State Payment Budget",0,INDEX(Data[],MATCH($A305,Data[Dist],0),MATCH(F$4,Data[#Headers],0)))</f>
        <v>0</v>
      </c>
      <c r="G305" s="22">
        <f>IF(OR(Notes!$B$3="Pay 1 Regular State Payment Budget",Notes!$B$3="Pay 2 Regular State Payment Budget"),0,INDEX(Data[],MATCH($A305,Data[Dist],0),MATCH(G$4,Data[#Headers],0)))</f>
        <v>0</v>
      </c>
      <c r="H305" s="22">
        <f>INDEX(Data[],MATCH($A305,Data[Dist],0),MATCH(H$4,Data[#Headers],0))</f>
        <v>83018547</v>
      </c>
    </row>
    <row r="306" spans="1:8" s="21" customFormat="1" ht="12.75" x14ac:dyDescent="0.2">
      <c r="A306" s="20" t="str">
        <f>Data!B302</f>
        <v>6840</v>
      </c>
      <c r="B306" s="21" t="str">
        <f>INDEX(Data[],MATCH($A306,Data[Dist],0),MATCH(B$4,Data[#Headers],0))</f>
        <v>Waverly-Shell Rock</v>
      </c>
      <c r="C306" s="22">
        <f>INDEX(Data[],MATCH($A306,Data[Dist],0),MATCH(C$4,Data[#Headers],0))</f>
        <v>15706358</v>
      </c>
      <c r="D306" s="22">
        <f>INDEX(Data[],MATCH($A306,Data[Dist],0),MATCH(D$4,Data[#Headers],0))</f>
        <v>1675</v>
      </c>
      <c r="E306" s="22">
        <f>INDEX(Data[],MATCH($A306,Data[Dist],0),MATCH(E$4,Data[#Headers],0))</f>
        <v>0</v>
      </c>
      <c r="F306" s="22">
        <f>IF(Notes!$B$3="Pay 1 Regular State Payment Budget",0,INDEX(Data[],MATCH($A306,Data[Dist],0),MATCH(F$4,Data[#Headers],0)))</f>
        <v>0</v>
      </c>
      <c r="G306" s="22">
        <f>IF(OR(Notes!$B$3="Pay 1 Regular State Payment Budget",Notes!$B$3="Pay 2 Regular State Payment Budget"),0,INDEX(Data[],MATCH($A306,Data[Dist],0),MATCH(G$4,Data[#Headers],0)))</f>
        <v>0</v>
      </c>
      <c r="H306" s="22">
        <f>INDEX(Data[],MATCH($A306,Data[Dist],0),MATCH(H$4,Data[#Headers],0))</f>
        <v>15704683</v>
      </c>
    </row>
    <row r="307" spans="1:8" s="21" customFormat="1" ht="12.75" x14ac:dyDescent="0.2">
      <c r="A307" s="20" t="str">
        <f>Data!B303</f>
        <v>6854</v>
      </c>
      <c r="B307" s="21" t="str">
        <f>INDEX(Data[],MATCH($A307,Data[Dist],0),MATCH(B$4,Data[#Headers],0))</f>
        <v>Wayne</v>
      </c>
      <c r="C307" s="22">
        <f>INDEX(Data[],MATCH($A307,Data[Dist],0),MATCH(C$4,Data[#Headers],0))</f>
        <v>3662796</v>
      </c>
      <c r="D307" s="22">
        <f>INDEX(Data[],MATCH($A307,Data[Dist],0),MATCH(D$4,Data[#Headers],0))</f>
        <v>365</v>
      </c>
      <c r="E307" s="22">
        <f>INDEX(Data[],MATCH($A307,Data[Dist],0),MATCH(E$4,Data[#Headers],0))</f>
        <v>0</v>
      </c>
      <c r="F307" s="22">
        <f>IF(Notes!$B$3="Pay 1 Regular State Payment Budget",0,INDEX(Data[],MATCH($A307,Data[Dist],0),MATCH(F$4,Data[#Headers],0)))</f>
        <v>0</v>
      </c>
      <c r="G307" s="22">
        <f>IF(OR(Notes!$B$3="Pay 1 Regular State Payment Budget",Notes!$B$3="Pay 2 Regular State Payment Budget"),0,INDEX(Data[],MATCH($A307,Data[Dist],0),MATCH(G$4,Data[#Headers],0)))</f>
        <v>0</v>
      </c>
      <c r="H307" s="22">
        <f>INDEX(Data[],MATCH($A307,Data[Dist],0),MATCH(H$4,Data[#Headers],0))</f>
        <v>3662431</v>
      </c>
    </row>
    <row r="308" spans="1:8" s="21" customFormat="1" ht="12.75" x14ac:dyDescent="0.2">
      <c r="A308" s="20" t="str">
        <f>Data!B304</f>
        <v>6867</v>
      </c>
      <c r="B308" s="21" t="str">
        <f>INDEX(Data[],MATCH($A308,Data[Dist],0),MATCH(B$4,Data[#Headers],0))</f>
        <v>Webster City</v>
      </c>
      <c r="C308" s="22">
        <f>INDEX(Data[],MATCH($A308,Data[Dist],0),MATCH(C$4,Data[#Headers],0))</f>
        <v>11798627</v>
      </c>
      <c r="D308" s="22">
        <f>INDEX(Data[],MATCH($A308,Data[Dist],0),MATCH(D$4,Data[#Headers],0))</f>
        <v>1791</v>
      </c>
      <c r="E308" s="22">
        <f>INDEX(Data[],MATCH($A308,Data[Dist],0),MATCH(E$4,Data[#Headers],0))</f>
        <v>0</v>
      </c>
      <c r="F308" s="22">
        <f>IF(Notes!$B$3="Pay 1 Regular State Payment Budget",0,INDEX(Data[],MATCH($A308,Data[Dist],0),MATCH(F$4,Data[#Headers],0)))</f>
        <v>0</v>
      </c>
      <c r="G308" s="22">
        <f>IF(OR(Notes!$B$3="Pay 1 Regular State Payment Budget",Notes!$B$3="Pay 2 Regular State Payment Budget"),0,INDEX(Data[],MATCH($A308,Data[Dist],0),MATCH(G$4,Data[#Headers],0)))</f>
        <v>0</v>
      </c>
      <c r="H308" s="22">
        <f>INDEX(Data[],MATCH($A308,Data[Dist],0),MATCH(H$4,Data[#Headers],0))</f>
        <v>11796836</v>
      </c>
    </row>
    <row r="309" spans="1:8" s="21" customFormat="1" ht="12.75" x14ac:dyDescent="0.2">
      <c r="A309" s="20" t="str">
        <f>Data!B305</f>
        <v>6921</v>
      </c>
      <c r="B309" s="21" t="str">
        <f>INDEX(Data[],MATCH($A309,Data[Dist],0),MATCH(B$4,Data[#Headers],0))</f>
        <v>West Bend-Mallard</v>
      </c>
      <c r="C309" s="22">
        <f>INDEX(Data[],MATCH($A309,Data[Dist],0),MATCH(C$4,Data[#Headers],0))</f>
        <v>1722435</v>
      </c>
      <c r="D309" s="22">
        <f>INDEX(Data[],MATCH($A309,Data[Dist],0),MATCH(D$4,Data[#Headers],0))</f>
        <v>265</v>
      </c>
      <c r="E309" s="22">
        <f>INDEX(Data[],MATCH($A309,Data[Dist],0),MATCH(E$4,Data[#Headers],0))</f>
        <v>0</v>
      </c>
      <c r="F309" s="22">
        <f>IF(Notes!$B$3="Pay 1 Regular State Payment Budget",0,INDEX(Data[],MATCH($A309,Data[Dist],0),MATCH(F$4,Data[#Headers],0)))</f>
        <v>0</v>
      </c>
      <c r="G309" s="22">
        <f>IF(OR(Notes!$B$3="Pay 1 Regular State Payment Budget",Notes!$B$3="Pay 2 Regular State Payment Budget"),0,INDEX(Data[],MATCH($A309,Data[Dist],0),MATCH(G$4,Data[#Headers],0)))</f>
        <v>0</v>
      </c>
      <c r="H309" s="22">
        <f>INDEX(Data[],MATCH($A309,Data[Dist],0),MATCH(H$4,Data[#Headers],0))</f>
        <v>1722170</v>
      </c>
    </row>
    <row r="310" spans="1:8" s="21" customFormat="1" ht="12.75" x14ac:dyDescent="0.2">
      <c r="A310" s="20" t="str">
        <f>Data!B306</f>
        <v>6930</v>
      </c>
      <c r="B310" s="21" t="str">
        <f>INDEX(Data[],MATCH($A310,Data[Dist],0),MATCH(B$4,Data[#Headers],0))</f>
        <v>West Branch</v>
      </c>
      <c r="C310" s="22">
        <f>INDEX(Data[],MATCH($A310,Data[Dist],0),MATCH(C$4,Data[#Headers],0))</f>
        <v>4977140</v>
      </c>
      <c r="D310" s="22">
        <f>INDEX(Data[],MATCH($A310,Data[Dist],0),MATCH(D$4,Data[#Headers],0))</f>
        <v>862</v>
      </c>
      <c r="E310" s="22">
        <f>INDEX(Data[],MATCH($A310,Data[Dist],0),MATCH(E$4,Data[#Headers],0))</f>
        <v>0</v>
      </c>
      <c r="F310" s="22">
        <f>IF(Notes!$B$3="Pay 1 Regular State Payment Budget",0,INDEX(Data[],MATCH($A310,Data[Dist],0),MATCH(F$4,Data[#Headers],0)))</f>
        <v>0</v>
      </c>
      <c r="G310" s="22">
        <f>IF(OR(Notes!$B$3="Pay 1 Regular State Payment Budget",Notes!$B$3="Pay 2 Regular State Payment Budget"),0,INDEX(Data[],MATCH($A310,Data[Dist],0),MATCH(G$4,Data[#Headers],0)))</f>
        <v>0</v>
      </c>
      <c r="H310" s="22">
        <f>INDEX(Data[],MATCH($A310,Data[Dist],0),MATCH(H$4,Data[#Headers],0))</f>
        <v>4976278</v>
      </c>
    </row>
    <row r="311" spans="1:8" s="21" customFormat="1" ht="12.75" x14ac:dyDescent="0.2">
      <c r="A311" s="20" t="str">
        <f>Data!B307</f>
        <v>6937</v>
      </c>
      <c r="B311" s="21" t="str">
        <f>INDEX(Data[],MATCH($A311,Data[Dist],0),MATCH(B$4,Data[#Headers],0))</f>
        <v>West Burlington</v>
      </c>
      <c r="C311" s="22">
        <f>INDEX(Data[],MATCH($A311,Data[Dist],0),MATCH(C$4,Data[#Headers],0))</f>
        <v>2805265</v>
      </c>
      <c r="D311" s="22">
        <f>INDEX(Data[],MATCH($A311,Data[Dist],0),MATCH(D$4,Data[#Headers],0))</f>
        <v>481</v>
      </c>
      <c r="E311" s="22">
        <f>INDEX(Data[],MATCH($A311,Data[Dist],0),MATCH(E$4,Data[#Headers],0))</f>
        <v>0</v>
      </c>
      <c r="F311" s="22">
        <f>IF(Notes!$B$3="Pay 1 Regular State Payment Budget",0,INDEX(Data[],MATCH($A311,Data[Dist],0),MATCH(F$4,Data[#Headers],0)))</f>
        <v>0</v>
      </c>
      <c r="G311" s="22">
        <f>IF(OR(Notes!$B$3="Pay 1 Regular State Payment Budget",Notes!$B$3="Pay 2 Regular State Payment Budget"),0,INDEX(Data[],MATCH($A311,Data[Dist],0),MATCH(G$4,Data[#Headers],0)))</f>
        <v>0</v>
      </c>
      <c r="H311" s="22">
        <f>INDEX(Data[],MATCH($A311,Data[Dist],0),MATCH(H$4,Data[#Headers],0))</f>
        <v>2804784</v>
      </c>
    </row>
    <row r="312" spans="1:8" s="21" customFormat="1" ht="12.75" x14ac:dyDescent="0.2">
      <c r="A312" s="20" t="str">
        <f>Data!B308</f>
        <v>6943</v>
      </c>
      <c r="B312" s="21" t="str">
        <f>INDEX(Data[],MATCH($A312,Data[Dist],0),MATCH(B$4,Data[#Headers],0))</f>
        <v>West Central</v>
      </c>
      <c r="C312" s="22">
        <f>INDEX(Data[],MATCH($A312,Data[Dist],0),MATCH(C$4,Data[#Headers],0))</f>
        <v>1627428</v>
      </c>
      <c r="D312" s="22">
        <f>INDEX(Data[],MATCH($A312,Data[Dist],0),MATCH(D$4,Data[#Headers],0))</f>
        <v>332</v>
      </c>
      <c r="E312" s="22">
        <f>INDEX(Data[],MATCH($A312,Data[Dist],0),MATCH(E$4,Data[#Headers],0))</f>
        <v>0</v>
      </c>
      <c r="F312" s="22">
        <f>IF(Notes!$B$3="Pay 1 Regular State Payment Budget",0,INDEX(Data[],MATCH($A312,Data[Dist],0),MATCH(F$4,Data[#Headers],0)))</f>
        <v>0</v>
      </c>
      <c r="G312" s="22">
        <f>IF(OR(Notes!$B$3="Pay 1 Regular State Payment Budget",Notes!$B$3="Pay 2 Regular State Payment Budget"),0,INDEX(Data[],MATCH($A312,Data[Dist],0),MATCH(G$4,Data[#Headers],0)))</f>
        <v>0</v>
      </c>
      <c r="H312" s="22">
        <f>INDEX(Data[],MATCH($A312,Data[Dist],0),MATCH(H$4,Data[#Headers],0))</f>
        <v>1627096</v>
      </c>
    </row>
    <row r="313" spans="1:8" s="21" customFormat="1" ht="12.75" x14ac:dyDescent="0.2">
      <c r="A313" s="20" t="str">
        <f>Data!B309</f>
        <v>6950</v>
      </c>
      <c r="B313" s="21" t="str">
        <f>INDEX(Data[],MATCH($A313,Data[Dist],0),MATCH(B$4,Data[#Headers],0))</f>
        <v>West Delaware Co</v>
      </c>
      <c r="C313" s="22">
        <f>INDEX(Data[],MATCH($A313,Data[Dist],0),MATCH(C$4,Data[#Headers],0))</f>
        <v>8936865</v>
      </c>
      <c r="D313" s="22">
        <f>INDEX(Data[],MATCH($A313,Data[Dist],0),MATCH(D$4,Data[#Headers],0))</f>
        <v>1327</v>
      </c>
      <c r="E313" s="22">
        <f>INDEX(Data[],MATCH($A313,Data[Dist],0),MATCH(E$4,Data[#Headers],0))</f>
        <v>0</v>
      </c>
      <c r="F313" s="22">
        <f>IF(Notes!$B$3="Pay 1 Regular State Payment Budget",0,INDEX(Data[],MATCH($A313,Data[Dist],0),MATCH(F$4,Data[#Headers],0)))</f>
        <v>0</v>
      </c>
      <c r="G313" s="22">
        <f>IF(OR(Notes!$B$3="Pay 1 Regular State Payment Budget",Notes!$B$3="Pay 2 Regular State Payment Budget"),0,INDEX(Data[],MATCH($A313,Data[Dist],0),MATCH(G$4,Data[#Headers],0)))</f>
        <v>0</v>
      </c>
      <c r="H313" s="22">
        <f>INDEX(Data[],MATCH($A313,Data[Dist],0),MATCH(H$4,Data[#Headers],0))</f>
        <v>8935538</v>
      </c>
    </row>
    <row r="314" spans="1:8" s="21" customFormat="1" ht="12.75" x14ac:dyDescent="0.2">
      <c r="A314" s="20" t="str">
        <f>Data!B310</f>
        <v>6957</v>
      </c>
      <c r="B314" s="21" t="str">
        <f>INDEX(Data[],MATCH($A314,Data[Dist],0),MATCH(B$4,Data[#Headers],0))</f>
        <v>West Des Moines</v>
      </c>
      <c r="C314" s="22">
        <f>INDEX(Data[],MATCH($A314,Data[Dist],0),MATCH(C$4,Data[#Headers],0))</f>
        <v>51079366</v>
      </c>
      <c r="D314" s="22">
        <f>INDEX(Data[],MATCH($A314,Data[Dist],0),MATCH(D$4,Data[#Headers],0))</f>
        <v>5921</v>
      </c>
      <c r="E314" s="22">
        <f>INDEX(Data[],MATCH($A314,Data[Dist],0),MATCH(E$4,Data[#Headers],0))</f>
        <v>15152</v>
      </c>
      <c r="F314" s="22">
        <f>IF(Notes!$B$3="Pay 1 Regular State Payment Budget",0,INDEX(Data[],MATCH($A314,Data[Dist],0),MATCH(F$4,Data[#Headers],0)))</f>
        <v>0</v>
      </c>
      <c r="G314" s="22">
        <f>IF(OR(Notes!$B$3="Pay 1 Regular State Payment Budget",Notes!$B$3="Pay 2 Regular State Payment Budget"),0,INDEX(Data[],MATCH($A314,Data[Dist],0),MATCH(G$4,Data[#Headers],0)))</f>
        <v>0</v>
      </c>
      <c r="H314" s="22">
        <f>INDEX(Data[],MATCH($A314,Data[Dist],0),MATCH(H$4,Data[#Headers],0))</f>
        <v>51058293</v>
      </c>
    </row>
    <row r="315" spans="1:8" s="21" customFormat="1" ht="12.75" x14ac:dyDescent="0.2">
      <c r="A315" s="20" t="str">
        <f>Data!B311</f>
        <v>6961</v>
      </c>
      <c r="B315" s="21" t="str">
        <f>INDEX(Data[],MATCH($A315,Data[Dist],0),MATCH(B$4,Data[#Headers],0))</f>
        <v>Western Dubuque Co</v>
      </c>
      <c r="C315" s="22">
        <f>INDEX(Data[],MATCH($A315,Data[Dist],0),MATCH(C$4,Data[#Headers],0))</f>
        <v>20482747</v>
      </c>
      <c r="D315" s="22">
        <f>INDEX(Data[],MATCH($A315,Data[Dist],0),MATCH(D$4,Data[#Headers],0))</f>
        <v>4727</v>
      </c>
      <c r="E315" s="22">
        <f>INDEX(Data[],MATCH($A315,Data[Dist],0),MATCH(E$4,Data[#Headers],0))</f>
        <v>0</v>
      </c>
      <c r="F315" s="22">
        <f>IF(Notes!$B$3="Pay 1 Regular State Payment Budget",0,INDEX(Data[],MATCH($A315,Data[Dist],0),MATCH(F$4,Data[#Headers],0)))</f>
        <v>0</v>
      </c>
      <c r="G315" s="22">
        <f>IF(OR(Notes!$B$3="Pay 1 Regular State Payment Budget",Notes!$B$3="Pay 2 Regular State Payment Budget"),0,INDEX(Data[],MATCH($A315,Data[Dist],0),MATCH(G$4,Data[#Headers],0)))</f>
        <v>0</v>
      </c>
      <c r="H315" s="22">
        <f>INDEX(Data[],MATCH($A315,Data[Dist],0),MATCH(H$4,Data[#Headers],0))</f>
        <v>20478020</v>
      </c>
    </row>
    <row r="316" spans="1:8" s="21" customFormat="1" ht="12.75" x14ac:dyDescent="0.2">
      <c r="A316" s="20" t="str">
        <f>Data!B312</f>
        <v>6969</v>
      </c>
      <c r="B316" s="21" t="str">
        <f>INDEX(Data[],MATCH($A316,Data[Dist],0),MATCH(B$4,Data[#Headers],0))</f>
        <v>West Harrison</v>
      </c>
      <c r="C316" s="22">
        <f>INDEX(Data[],MATCH($A316,Data[Dist],0),MATCH(C$4,Data[#Headers],0))</f>
        <v>1995999</v>
      </c>
      <c r="D316" s="22">
        <f>INDEX(Data[],MATCH($A316,Data[Dist],0),MATCH(D$4,Data[#Headers],0))</f>
        <v>199</v>
      </c>
      <c r="E316" s="22">
        <f>INDEX(Data[],MATCH($A316,Data[Dist],0),MATCH(E$4,Data[#Headers],0))</f>
        <v>0</v>
      </c>
      <c r="F316" s="22">
        <f>IF(Notes!$B$3="Pay 1 Regular State Payment Budget",0,INDEX(Data[],MATCH($A316,Data[Dist],0),MATCH(F$4,Data[#Headers],0)))</f>
        <v>0</v>
      </c>
      <c r="G316" s="22">
        <f>IF(OR(Notes!$B$3="Pay 1 Regular State Payment Budget",Notes!$B$3="Pay 2 Regular State Payment Budget"),0,INDEX(Data[],MATCH($A316,Data[Dist],0),MATCH(G$4,Data[#Headers],0)))</f>
        <v>0</v>
      </c>
      <c r="H316" s="22">
        <f>INDEX(Data[],MATCH($A316,Data[Dist],0),MATCH(H$4,Data[#Headers],0))</f>
        <v>1995800</v>
      </c>
    </row>
    <row r="317" spans="1:8" s="21" customFormat="1" ht="12.75" x14ac:dyDescent="0.2">
      <c r="A317" s="20" t="str">
        <f>Data!B313</f>
        <v>6975</v>
      </c>
      <c r="B317" s="21" t="str">
        <f>INDEX(Data[],MATCH($A317,Data[Dist],0),MATCH(B$4,Data[#Headers],0))</f>
        <v>West Liberty</v>
      </c>
      <c r="C317" s="22">
        <f>INDEX(Data[],MATCH($A317,Data[Dist],0),MATCH(C$4,Data[#Headers],0))</f>
        <v>9817693</v>
      </c>
      <c r="D317" s="22">
        <f>INDEX(Data[],MATCH($A317,Data[Dist],0),MATCH(D$4,Data[#Headers],0))</f>
        <v>1045</v>
      </c>
      <c r="E317" s="22">
        <f>INDEX(Data[],MATCH($A317,Data[Dist],0),MATCH(E$4,Data[#Headers],0))</f>
        <v>0</v>
      </c>
      <c r="F317" s="22">
        <f>IF(Notes!$B$3="Pay 1 Regular State Payment Budget",0,INDEX(Data[],MATCH($A317,Data[Dist],0),MATCH(F$4,Data[#Headers],0)))</f>
        <v>0</v>
      </c>
      <c r="G317" s="22">
        <f>IF(OR(Notes!$B$3="Pay 1 Regular State Payment Budget",Notes!$B$3="Pay 2 Regular State Payment Budget"),0,INDEX(Data[],MATCH($A317,Data[Dist],0),MATCH(G$4,Data[#Headers],0)))</f>
        <v>0</v>
      </c>
      <c r="H317" s="22">
        <f>INDEX(Data[],MATCH($A317,Data[Dist],0),MATCH(H$4,Data[#Headers],0))</f>
        <v>9816648</v>
      </c>
    </row>
    <row r="318" spans="1:8" s="21" customFormat="1" ht="12.75" x14ac:dyDescent="0.2">
      <c r="A318" s="20" t="str">
        <f>Data!B314</f>
        <v>6983</v>
      </c>
      <c r="B318" s="21" t="str">
        <f>INDEX(Data[],MATCH($A318,Data[Dist],0),MATCH(B$4,Data[#Headers],0))</f>
        <v>West Lyon</v>
      </c>
      <c r="C318" s="22">
        <f>INDEX(Data[],MATCH($A318,Data[Dist],0),MATCH(C$4,Data[#Headers],0))</f>
        <v>5637044</v>
      </c>
      <c r="D318" s="22">
        <f>INDEX(Data[],MATCH($A318,Data[Dist],0),MATCH(D$4,Data[#Headers],0))</f>
        <v>1310</v>
      </c>
      <c r="E318" s="22">
        <f>INDEX(Data[],MATCH($A318,Data[Dist],0),MATCH(E$4,Data[#Headers],0))</f>
        <v>0</v>
      </c>
      <c r="F318" s="22">
        <f>IF(Notes!$B$3="Pay 1 Regular State Payment Budget",0,INDEX(Data[],MATCH($A318,Data[Dist],0),MATCH(F$4,Data[#Headers],0)))</f>
        <v>0</v>
      </c>
      <c r="G318" s="22">
        <f>IF(OR(Notes!$B$3="Pay 1 Regular State Payment Budget",Notes!$B$3="Pay 2 Regular State Payment Budget"),0,INDEX(Data[],MATCH($A318,Data[Dist],0),MATCH(G$4,Data[#Headers],0)))</f>
        <v>0</v>
      </c>
      <c r="H318" s="22">
        <f>INDEX(Data[],MATCH($A318,Data[Dist],0),MATCH(H$4,Data[#Headers],0))</f>
        <v>5635734</v>
      </c>
    </row>
    <row r="319" spans="1:8" s="21" customFormat="1" ht="12.75" x14ac:dyDescent="0.2">
      <c r="A319" s="20" t="str">
        <f>Data!B315</f>
        <v>6985</v>
      </c>
      <c r="B319" s="21" t="str">
        <f>INDEX(Data[],MATCH($A319,Data[Dist],0),MATCH(B$4,Data[#Headers],0))</f>
        <v>West Marshall</v>
      </c>
      <c r="C319" s="22">
        <f>INDEX(Data[],MATCH($A319,Data[Dist],0),MATCH(C$4,Data[#Headers],0))</f>
        <v>5209417</v>
      </c>
      <c r="D319" s="22">
        <f>INDEX(Data[],MATCH($A319,Data[Dist],0),MATCH(D$4,Data[#Headers],0))</f>
        <v>779</v>
      </c>
      <c r="E319" s="22">
        <f>INDEX(Data[],MATCH($A319,Data[Dist],0),MATCH(E$4,Data[#Headers],0))</f>
        <v>0</v>
      </c>
      <c r="F319" s="22">
        <f>IF(Notes!$B$3="Pay 1 Regular State Payment Budget",0,INDEX(Data[],MATCH($A319,Data[Dist],0),MATCH(F$4,Data[#Headers],0)))</f>
        <v>0</v>
      </c>
      <c r="G319" s="22">
        <f>IF(OR(Notes!$B$3="Pay 1 Regular State Payment Budget",Notes!$B$3="Pay 2 Regular State Payment Budget"),0,INDEX(Data[],MATCH($A319,Data[Dist],0),MATCH(G$4,Data[#Headers],0)))</f>
        <v>0</v>
      </c>
      <c r="H319" s="22">
        <f>INDEX(Data[],MATCH($A319,Data[Dist],0),MATCH(H$4,Data[#Headers],0))</f>
        <v>5208638</v>
      </c>
    </row>
    <row r="320" spans="1:8" s="21" customFormat="1" ht="12.75" x14ac:dyDescent="0.2">
      <c r="A320" s="20" t="str">
        <f>Data!B316</f>
        <v>6987</v>
      </c>
      <c r="B320" s="21" t="str">
        <f>INDEX(Data[],MATCH($A320,Data[Dist],0),MATCH(B$4,Data[#Headers],0))</f>
        <v>West Monona</v>
      </c>
      <c r="C320" s="22">
        <f>INDEX(Data[],MATCH($A320,Data[Dist],0),MATCH(C$4,Data[#Headers],0))</f>
        <v>4022714</v>
      </c>
      <c r="D320" s="22">
        <f>INDEX(Data[],MATCH($A320,Data[Dist],0),MATCH(D$4,Data[#Headers],0))</f>
        <v>531</v>
      </c>
      <c r="E320" s="22">
        <f>INDEX(Data[],MATCH($A320,Data[Dist],0),MATCH(E$4,Data[#Headers],0))</f>
        <v>0</v>
      </c>
      <c r="F320" s="22">
        <f>IF(Notes!$B$3="Pay 1 Regular State Payment Budget",0,INDEX(Data[],MATCH($A320,Data[Dist],0),MATCH(F$4,Data[#Headers],0)))</f>
        <v>0</v>
      </c>
      <c r="G320" s="22">
        <f>IF(OR(Notes!$B$3="Pay 1 Regular State Payment Budget",Notes!$B$3="Pay 2 Regular State Payment Budget"),0,INDEX(Data[],MATCH($A320,Data[Dist],0),MATCH(G$4,Data[#Headers],0)))</f>
        <v>0</v>
      </c>
      <c r="H320" s="22">
        <f>INDEX(Data[],MATCH($A320,Data[Dist],0),MATCH(H$4,Data[#Headers],0))</f>
        <v>4022183</v>
      </c>
    </row>
    <row r="321" spans="1:10" s="21" customFormat="1" ht="12.75" x14ac:dyDescent="0.2">
      <c r="A321" s="20" t="str">
        <f>Data!B317</f>
        <v>6990</v>
      </c>
      <c r="B321" s="21" t="str">
        <f>INDEX(Data[],MATCH($A321,Data[Dist],0),MATCH(B$4,Data[#Headers],0))</f>
        <v>West Sioux</v>
      </c>
      <c r="C321" s="22">
        <f>INDEX(Data[],MATCH($A321,Data[Dist],0),MATCH(C$4,Data[#Headers],0))</f>
        <v>6437827</v>
      </c>
      <c r="D321" s="22">
        <f>INDEX(Data[],MATCH($A321,Data[Dist],0),MATCH(D$4,Data[#Headers],0))</f>
        <v>614</v>
      </c>
      <c r="E321" s="22">
        <f>INDEX(Data[],MATCH($A321,Data[Dist],0),MATCH(E$4,Data[#Headers],0))</f>
        <v>0</v>
      </c>
      <c r="F321" s="22">
        <f>IF(Notes!$B$3="Pay 1 Regular State Payment Budget",0,INDEX(Data[],MATCH($A321,Data[Dist],0),MATCH(F$4,Data[#Headers],0)))</f>
        <v>0</v>
      </c>
      <c r="G321" s="22">
        <f>IF(OR(Notes!$B$3="Pay 1 Regular State Payment Budget",Notes!$B$3="Pay 2 Regular State Payment Budget"),0,INDEX(Data[],MATCH($A321,Data[Dist],0),MATCH(G$4,Data[#Headers],0)))</f>
        <v>0</v>
      </c>
      <c r="H321" s="22">
        <f>INDEX(Data[],MATCH($A321,Data[Dist],0),MATCH(H$4,Data[#Headers],0))</f>
        <v>6437213</v>
      </c>
    </row>
    <row r="322" spans="1:10" s="21" customFormat="1" ht="12.75" x14ac:dyDescent="0.2">
      <c r="A322" s="20" t="str">
        <f>Data!B318</f>
        <v>6992</v>
      </c>
      <c r="B322" s="21" t="str">
        <f>INDEX(Data[],MATCH($A322,Data[Dist],0),MATCH(B$4,Data[#Headers],0))</f>
        <v>Westwood</v>
      </c>
      <c r="C322" s="22">
        <f>INDEX(Data[],MATCH($A322,Data[Dist],0),MATCH(C$4,Data[#Headers],0))</f>
        <v>2764238</v>
      </c>
      <c r="D322" s="22">
        <f>INDEX(Data[],MATCH($A322,Data[Dist],0),MATCH(D$4,Data[#Headers],0))</f>
        <v>547</v>
      </c>
      <c r="E322" s="22">
        <f>INDEX(Data[],MATCH($A322,Data[Dist],0),MATCH(E$4,Data[#Headers],0))</f>
        <v>0</v>
      </c>
      <c r="F322" s="22">
        <f>IF(Notes!$B$3="Pay 1 Regular State Payment Budget",0,INDEX(Data[],MATCH($A322,Data[Dist],0),MATCH(F$4,Data[#Headers],0)))</f>
        <v>0</v>
      </c>
      <c r="G322" s="22">
        <f>IF(OR(Notes!$B$3="Pay 1 Regular State Payment Budget",Notes!$B$3="Pay 2 Regular State Payment Budget"),0,INDEX(Data[],MATCH($A322,Data[Dist],0),MATCH(G$4,Data[#Headers],0)))</f>
        <v>0</v>
      </c>
      <c r="H322" s="22">
        <f>INDEX(Data[],MATCH($A322,Data[Dist],0),MATCH(H$4,Data[#Headers],0))</f>
        <v>2763691</v>
      </c>
    </row>
    <row r="323" spans="1:10" s="21" customFormat="1" ht="12.75" x14ac:dyDescent="0.2">
      <c r="A323" s="20" t="str">
        <f>Data!B319</f>
        <v>7002</v>
      </c>
      <c r="B323" s="21" t="str">
        <f>INDEX(Data[],MATCH($A323,Data[Dist],0),MATCH(B$4,Data[#Headers],0))</f>
        <v>Whiting</v>
      </c>
      <c r="C323" s="22">
        <f>INDEX(Data[],MATCH($A323,Data[Dist],0),MATCH(C$4,Data[#Headers],0))</f>
        <v>1052381</v>
      </c>
      <c r="D323" s="22">
        <f>INDEX(Data[],MATCH($A323,Data[Dist],0),MATCH(D$4,Data[#Headers],0))</f>
        <v>182</v>
      </c>
      <c r="E323" s="22">
        <f>INDEX(Data[],MATCH($A323,Data[Dist],0),MATCH(E$4,Data[#Headers],0))</f>
        <v>0</v>
      </c>
      <c r="F323" s="22">
        <f>IF(Notes!$B$3="Pay 1 Regular State Payment Budget",0,INDEX(Data[],MATCH($A323,Data[Dist],0),MATCH(F$4,Data[#Headers],0)))</f>
        <v>0</v>
      </c>
      <c r="G323" s="22">
        <f>IF(OR(Notes!$B$3="Pay 1 Regular State Payment Budget",Notes!$B$3="Pay 2 Regular State Payment Budget"),0,INDEX(Data[],MATCH($A323,Data[Dist],0),MATCH(G$4,Data[#Headers],0)))</f>
        <v>0</v>
      </c>
      <c r="H323" s="22">
        <f>INDEX(Data[],MATCH($A323,Data[Dist],0),MATCH(H$4,Data[#Headers],0))</f>
        <v>1052199</v>
      </c>
    </row>
    <row r="324" spans="1:10" s="21" customFormat="1" ht="12.75" x14ac:dyDescent="0.2">
      <c r="A324" s="20" t="str">
        <f>Data!B320</f>
        <v>7029</v>
      </c>
      <c r="B324" s="21" t="str">
        <f>INDEX(Data[],MATCH($A324,Data[Dist],0),MATCH(B$4,Data[#Headers],0))</f>
        <v>Williamsburg</v>
      </c>
      <c r="C324" s="22">
        <f>INDEX(Data[],MATCH($A324,Data[Dist],0),MATCH(C$4,Data[#Headers],0))</f>
        <v>7812352</v>
      </c>
      <c r="D324" s="22">
        <f>INDEX(Data[],MATCH($A324,Data[Dist],0),MATCH(D$4,Data[#Headers],0))</f>
        <v>1045</v>
      </c>
      <c r="E324" s="22">
        <f>INDEX(Data[],MATCH($A324,Data[Dist],0),MATCH(E$4,Data[#Headers],0))</f>
        <v>0</v>
      </c>
      <c r="F324" s="22">
        <f>IF(Notes!$B$3="Pay 1 Regular State Payment Budget",0,INDEX(Data[],MATCH($A324,Data[Dist],0),MATCH(F$4,Data[#Headers],0)))</f>
        <v>0</v>
      </c>
      <c r="G324" s="22">
        <f>IF(OR(Notes!$B$3="Pay 1 Regular State Payment Budget",Notes!$B$3="Pay 2 Regular State Payment Budget"),0,INDEX(Data[],MATCH($A324,Data[Dist],0),MATCH(G$4,Data[#Headers],0)))</f>
        <v>0</v>
      </c>
      <c r="H324" s="22">
        <f>INDEX(Data[],MATCH($A324,Data[Dist],0),MATCH(H$4,Data[#Headers],0))</f>
        <v>7811307</v>
      </c>
    </row>
    <row r="325" spans="1:10" s="21" customFormat="1" ht="12.75" x14ac:dyDescent="0.2">
      <c r="A325" s="20" t="str">
        <f>Data!B321</f>
        <v>7038</v>
      </c>
      <c r="B325" s="21" t="str">
        <f>INDEX(Data[],MATCH($A325,Data[Dist],0),MATCH(B$4,Data[#Headers],0))</f>
        <v>Wilton</v>
      </c>
      <c r="C325" s="22">
        <f>INDEX(Data[],MATCH($A325,Data[Dist],0),MATCH(C$4,Data[#Headers],0))</f>
        <v>6286735</v>
      </c>
      <c r="D325" s="22">
        <f>INDEX(Data[],MATCH($A325,Data[Dist],0),MATCH(D$4,Data[#Headers],0))</f>
        <v>929</v>
      </c>
      <c r="E325" s="22">
        <f>INDEX(Data[],MATCH($A325,Data[Dist],0),MATCH(E$4,Data[#Headers],0))</f>
        <v>0</v>
      </c>
      <c r="F325" s="22">
        <f>IF(Notes!$B$3="Pay 1 Regular State Payment Budget",0,INDEX(Data[],MATCH($A325,Data[Dist],0),MATCH(F$4,Data[#Headers],0)))</f>
        <v>0</v>
      </c>
      <c r="G325" s="22">
        <f>IF(OR(Notes!$B$3="Pay 1 Regular State Payment Budget",Notes!$B$3="Pay 2 Regular State Payment Budget"),0,INDEX(Data[],MATCH($A325,Data[Dist],0),MATCH(G$4,Data[#Headers],0)))</f>
        <v>0</v>
      </c>
      <c r="H325" s="22">
        <f>INDEX(Data[],MATCH($A325,Data[Dist],0),MATCH(H$4,Data[#Headers],0))</f>
        <v>6285806</v>
      </c>
    </row>
    <row r="326" spans="1:10" s="21" customFormat="1" ht="12.75" x14ac:dyDescent="0.2">
      <c r="A326" s="20" t="str">
        <f>Data!B322</f>
        <v>7047</v>
      </c>
      <c r="B326" s="21" t="str">
        <f>INDEX(Data[],MATCH($A326,Data[Dist],0),MATCH(B$4,Data[#Headers],0))</f>
        <v>Winfield-Mt Union</v>
      </c>
      <c r="C326" s="22">
        <f>INDEX(Data[],MATCH($A326,Data[Dist],0),MATCH(C$4,Data[#Headers],0))</f>
        <v>2182790</v>
      </c>
      <c r="D326" s="22">
        <f>INDEX(Data[],MATCH($A326,Data[Dist],0),MATCH(D$4,Data[#Headers],0))</f>
        <v>315</v>
      </c>
      <c r="E326" s="22">
        <f>INDEX(Data[],MATCH($A326,Data[Dist],0),MATCH(E$4,Data[#Headers],0))</f>
        <v>0</v>
      </c>
      <c r="F326" s="22">
        <f>IF(Notes!$B$3="Pay 1 Regular State Payment Budget",0,INDEX(Data[],MATCH($A326,Data[Dist],0),MATCH(F$4,Data[#Headers],0)))</f>
        <v>0</v>
      </c>
      <c r="G326" s="22">
        <f>IF(OR(Notes!$B$3="Pay 1 Regular State Payment Budget",Notes!$B$3="Pay 2 Regular State Payment Budget"),0,INDEX(Data[],MATCH($A326,Data[Dist],0),MATCH(G$4,Data[#Headers],0)))</f>
        <v>0</v>
      </c>
      <c r="H326" s="22">
        <f>INDEX(Data[],MATCH($A326,Data[Dist],0),MATCH(H$4,Data[#Headers],0))</f>
        <v>2182475</v>
      </c>
    </row>
    <row r="327" spans="1:10" s="21" customFormat="1" ht="12.75" x14ac:dyDescent="0.2">
      <c r="A327" s="20" t="str">
        <f>Data!B323</f>
        <v>7056</v>
      </c>
      <c r="B327" s="21" t="str">
        <f>INDEX(Data[],MATCH($A327,Data[Dist],0),MATCH(B$4,Data[#Headers],0))</f>
        <v>Winterset</v>
      </c>
      <c r="C327" s="22">
        <f>INDEX(Data[],MATCH($A327,Data[Dist],0),MATCH(C$4,Data[#Headers],0))</f>
        <v>11817655</v>
      </c>
      <c r="D327" s="22">
        <f>INDEX(Data[],MATCH($A327,Data[Dist],0),MATCH(D$4,Data[#Headers],0))</f>
        <v>1111</v>
      </c>
      <c r="E327" s="22">
        <f>INDEX(Data[],MATCH($A327,Data[Dist],0),MATCH(E$4,Data[#Headers],0))</f>
        <v>0</v>
      </c>
      <c r="F327" s="22">
        <f>IF(Notes!$B$3="Pay 1 Regular State Payment Budget",0,INDEX(Data[],MATCH($A327,Data[Dist],0),MATCH(F$4,Data[#Headers],0)))</f>
        <v>0</v>
      </c>
      <c r="G327" s="22">
        <f>IF(OR(Notes!$B$3="Pay 1 Regular State Payment Budget",Notes!$B$3="Pay 2 Regular State Payment Budget"),0,INDEX(Data[],MATCH($A327,Data[Dist],0),MATCH(G$4,Data[#Headers],0)))</f>
        <v>0</v>
      </c>
      <c r="H327" s="22">
        <f>INDEX(Data[],MATCH($A327,Data[Dist],0),MATCH(H$4,Data[#Headers],0))</f>
        <v>11816544</v>
      </c>
    </row>
    <row r="328" spans="1:10" s="21" customFormat="1" ht="12.75" x14ac:dyDescent="0.2">
      <c r="A328" s="20" t="str">
        <f>Data!B324</f>
        <v>7092</v>
      </c>
      <c r="B328" s="21" t="str">
        <f>INDEX(Data[],MATCH($A328,Data[Dist],0),MATCH(B$4,Data[#Headers],0))</f>
        <v>Woodbine</v>
      </c>
      <c r="C328" s="22">
        <f>INDEX(Data[],MATCH($A328,Data[Dist],0),MATCH(C$4,Data[#Headers],0))</f>
        <v>3253647</v>
      </c>
      <c r="D328" s="22">
        <f>INDEX(Data[],MATCH($A328,Data[Dist],0),MATCH(D$4,Data[#Headers],0))</f>
        <v>663</v>
      </c>
      <c r="E328" s="22">
        <f>INDEX(Data[],MATCH($A328,Data[Dist],0),MATCH(E$4,Data[#Headers],0))</f>
        <v>0</v>
      </c>
      <c r="F328" s="22">
        <f>IF(Notes!$B$3="Pay 1 Regular State Payment Budget",0,INDEX(Data[],MATCH($A328,Data[Dist],0),MATCH(F$4,Data[#Headers],0)))</f>
        <v>0</v>
      </c>
      <c r="G328" s="22">
        <f>IF(OR(Notes!$B$3="Pay 1 Regular State Payment Budget",Notes!$B$3="Pay 2 Regular State Payment Budget"),0,INDEX(Data[],MATCH($A328,Data[Dist],0),MATCH(G$4,Data[#Headers],0)))</f>
        <v>0</v>
      </c>
      <c r="H328" s="22">
        <f>INDEX(Data[],MATCH($A328,Data[Dist],0),MATCH(H$4,Data[#Headers],0))</f>
        <v>3252984</v>
      </c>
    </row>
    <row r="329" spans="1:10" s="21" customFormat="1" ht="12.75" x14ac:dyDescent="0.2">
      <c r="A329" s="20" t="str">
        <f>Data!B325</f>
        <v>7098</v>
      </c>
      <c r="B329" s="21" t="str">
        <f>INDEX(Data[],MATCH($A329,Data[Dist],0),MATCH(B$4,Data[#Headers],0))</f>
        <v>Woodbury Central</v>
      </c>
      <c r="C329" s="22">
        <f>INDEX(Data[],MATCH($A329,Data[Dist],0),MATCH(C$4,Data[#Headers],0))</f>
        <v>3652493</v>
      </c>
      <c r="D329" s="22">
        <f>INDEX(Data[],MATCH($A329,Data[Dist],0),MATCH(D$4,Data[#Headers],0))</f>
        <v>448</v>
      </c>
      <c r="E329" s="22">
        <f>INDEX(Data[],MATCH($A329,Data[Dist],0),MATCH(E$4,Data[#Headers],0))</f>
        <v>0</v>
      </c>
      <c r="F329" s="22">
        <f>IF(Notes!$B$3="Pay 1 Regular State Payment Budget",0,INDEX(Data[],MATCH($A329,Data[Dist],0),MATCH(F$4,Data[#Headers],0)))</f>
        <v>0</v>
      </c>
      <c r="G329" s="22">
        <f>IF(OR(Notes!$B$3="Pay 1 Regular State Payment Budget",Notes!$B$3="Pay 2 Regular State Payment Budget"),0,INDEX(Data[],MATCH($A329,Data[Dist],0),MATCH(G$4,Data[#Headers],0)))</f>
        <v>0</v>
      </c>
      <c r="H329" s="22">
        <f>INDEX(Data[],MATCH($A329,Data[Dist],0),MATCH(H$4,Data[#Headers],0))</f>
        <v>3652045</v>
      </c>
    </row>
    <row r="330" spans="1:10" s="21" customFormat="1" ht="12.75" x14ac:dyDescent="0.2">
      <c r="A330" s="20" t="str">
        <f>Data!B326</f>
        <v>7110</v>
      </c>
      <c r="B330" s="21" t="str">
        <f>INDEX(Data[],MATCH($A330,Data[Dist],0),MATCH(B$4,Data[#Headers],0))</f>
        <v>Woodward-Granger</v>
      </c>
      <c r="C330" s="22">
        <f>INDEX(Data[],MATCH($A330,Data[Dist],0),MATCH(C$4,Data[#Headers],0))</f>
        <v>7417051</v>
      </c>
      <c r="D330" s="22">
        <f>INDEX(Data[],MATCH($A330,Data[Dist],0),MATCH(D$4,Data[#Headers],0))</f>
        <v>1061</v>
      </c>
      <c r="E330" s="22">
        <f>INDEX(Data[],MATCH($A330,Data[Dist],0),MATCH(E$4,Data[#Headers],0))</f>
        <v>6355</v>
      </c>
      <c r="F330" s="22">
        <f>IF(Notes!$B$3="Pay 1 Regular State Payment Budget",0,INDEX(Data[],MATCH($A330,Data[Dist],0),MATCH(F$4,Data[#Headers],0)))</f>
        <v>0</v>
      </c>
      <c r="G330" s="22">
        <f>IF(OR(Notes!$B$3="Pay 1 Regular State Payment Budget",Notes!$B$3="Pay 2 Regular State Payment Budget"),0,INDEX(Data[],MATCH($A330,Data[Dist],0),MATCH(G$4,Data[#Headers],0)))</f>
        <v>0</v>
      </c>
      <c r="H330" s="22">
        <f>INDEX(Data[],MATCH($A330,Data[Dist],0),MATCH(H$4,Data[#Headers],0))</f>
        <v>7409635</v>
      </c>
    </row>
    <row r="331" spans="1:10" s="21" customFormat="1" ht="13.5" thickBot="1" x14ac:dyDescent="0.25">
      <c r="A331" s="122" t="s">
        <v>788</v>
      </c>
      <c r="B331" s="21" t="s">
        <v>787</v>
      </c>
      <c r="C331" s="24">
        <f t="shared" ref="C331:H331" si="0">SUM(C6:C330)</f>
        <v>3475195885</v>
      </c>
      <c r="D331" s="24">
        <f t="shared" si="0"/>
        <v>391902</v>
      </c>
      <c r="E331" s="24">
        <f t="shared" si="0"/>
        <v>1019485</v>
      </c>
      <c r="F331" s="24">
        <f t="shared" si="0"/>
        <v>0</v>
      </c>
      <c r="G331" s="24">
        <f t="shared" si="0"/>
        <v>0</v>
      </c>
      <c r="H331" s="24">
        <f t="shared" si="0"/>
        <v>3473784498</v>
      </c>
      <c r="J331" s="22"/>
    </row>
    <row r="332" spans="1:10" s="21" customFormat="1" ht="13.5" thickTop="1" x14ac:dyDescent="0.2">
      <c r="A332" s="23"/>
      <c r="C332" s="22"/>
      <c r="D332" s="22"/>
      <c r="E332" s="22"/>
      <c r="F332" s="22"/>
      <c r="G332" s="22"/>
      <c r="H332" s="22"/>
    </row>
    <row r="333" spans="1:10" s="21" customFormat="1" ht="12.75" x14ac:dyDescent="0.2">
      <c r="A333" s="23"/>
      <c r="C333" s="22"/>
      <c r="D333" s="22"/>
      <c r="E333" s="22"/>
      <c r="F333" s="22"/>
      <c r="G333" s="22"/>
      <c r="H333" s="22"/>
    </row>
    <row r="334" spans="1:10" s="21" customFormat="1" ht="12.75" x14ac:dyDescent="0.2">
      <c r="A334" s="23"/>
      <c r="C334" s="22"/>
      <c r="D334" s="22"/>
      <c r="E334" s="22"/>
      <c r="F334" s="22"/>
      <c r="G334" s="22"/>
      <c r="H334" s="22"/>
    </row>
    <row r="335" spans="1:10" s="21" customFormat="1" ht="12.75" x14ac:dyDescent="0.2">
      <c r="A335" s="23"/>
      <c r="C335" s="22"/>
      <c r="D335" s="22"/>
      <c r="E335" s="22"/>
      <c r="F335" s="22"/>
      <c r="G335" s="22"/>
      <c r="H335" s="22"/>
    </row>
    <row r="336" spans="1:10" s="21" customFormat="1" ht="12.75" x14ac:dyDescent="0.2">
      <c r="A336" s="23"/>
      <c r="C336" s="22"/>
      <c r="D336" s="22"/>
      <c r="E336" s="22"/>
      <c r="F336" s="22"/>
      <c r="G336" s="22"/>
      <c r="H336" s="22"/>
    </row>
    <row r="337" spans="1:8" s="21" customFormat="1" ht="12.75" x14ac:dyDescent="0.2">
      <c r="A337" s="23"/>
      <c r="C337" s="22"/>
      <c r="D337" s="22"/>
      <c r="E337" s="22"/>
      <c r="F337" s="22"/>
      <c r="G337" s="22"/>
      <c r="H337" s="22"/>
    </row>
    <row r="338" spans="1:8" s="21" customFormat="1" ht="12.75" x14ac:dyDescent="0.2">
      <c r="A338" s="23"/>
      <c r="C338" s="22"/>
      <c r="D338" s="22"/>
      <c r="E338" s="22"/>
      <c r="F338" s="22"/>
      <c r="G338" s="22"/>
      <c r="H338" s="22"/>
    </row>
    <row r="339" spans="1:8" s="21" customFormat="1" ht="12.75" x14ac:dyDescent="0.2">
      <c r="A339" s="23"/>
      <c r="C339" s="22"/>
      <c r="D339" s="22"/>
      <c r="E339" s="22"/>
      <c r="F339" s="22"/>
      <c r="G339" s="22"/>
      <c r="H339" s="22"/>
    </row>
    <row r="340" spans="1:8" s="21" customFormat="1" ht="12.75" x14ac:dyDescent="0.2">
      <c r="A340" s="23"/>
      <c r="C340" s="22"/>
      <c r="D340" s="22"/>
      <c r="E340" s="22"/>
      <c r="F340" s="22"/>
      <c r="G340" s="22"/>
      <c r="H340" s="22"/>
    </row>
    <row r="341" spans="1:8" s="21" customFormat="1" ht="12.75" x14ac:dyDescent="0.2">
      <c r="A341" s="23"/>
      <c r="C341" s="22"/>
      <c r="D341" s="22"/>
      <c r="E341" s="22"/>
      <c r="F341" s="22"/>
      <c r="G341" s="22"/>
      <c r="H341" s="22"/>
    </row>
    <row r="342" spans="1:8" s="21" customFormat="1" ht="12.75" x14ac:dyDescent="0.2">
      <c r="A342" s="23"/>
      <c r="C342" s="22"/>
      <c r="D342" s="22"/>
      <c r="E342" s="22"/>
      <c r="F342" s="22"/>
      <c r="G342" s="22"/>
      <c r="H342" s="22"/>
    </row>
    <row r="343" spans="1:8" s="21" customFormat="1" ht="12.75" x14ac:dyDescent="0.2">
      <c r="A343" s="23"/>
      <c r="C343" s="22"/>
      <c r="D343" s="22"/>
      <c r="E343" s="22"/>
      <c r="F343" s="22"/>
      <c r="G343" s="22"/>
      <c r="H343" s="22"/>
    </row>
    <row r="344" spans="1:8" s="21" customFormat="1" ht="12.75" x14ac:dyDescent="0.2">
      <c r="A344" s="23"/>
      <c r="C344" s="22"/>
      <c r="D344" s="22"/>
      <c r="E344" s="22"/>
      <c r="F344" s="22"/>
      <c r="G344" s="22"/>
      <c r="H344" s="22"/>
    </row>
    <row r="345" spans="1:8" s="21" customFormat="1" ht="12.75" x14ac:dyDescent="0.2">
      <c r="A345" s="23"/>
      <c r="C345" s="22"/>
      <c r="D345" s="22"/>
      <c r="E345" s="22"/>
      <c r="F345" s="22"/>
      <c r="G345" s="22"/>
      <c r="H345" s="22"/>
    </row>
    <row r="346" spans="1:8" s="21" customFormat="1" ht="12.75" x14ac:dyDescent="0.2">
      <c r="A346" s="23"/>
      <c r="C346" s="22"/>
      <c r="D346" s="22"/>
      <c r="E346" s="22"/>
      <c r="F346" s="22"/>
      <c r="G346" s="22"/>
      <c r="H346" s="22"/>
    </row>
    <row r="347" spans="1:8" s="21" customFormat="1" ht="12.75" x14ac:dyDescent="0.2">
      <c r="A347" s="23"/>
      <c r="C347" s="22"/>
      <c r="D347" s="22"/>
      <c r="E347" s="22"/>
      <c r="F347" s="22"/>
      <c r="G347" s="22"/>
      <c r="H347" s="22"/>
    </row>
    <row r="348" spans="1:8" s="21" customFormat="1" ht="12.75" x14ac:dyDescent="0.2">
      <c r="A348" s="23"/>
      <c r="C348" s="22"/>
      <c r="D348" s="22"/>
      <c r="E348" s="22"/>
      <c r="F348" s="22"/>
      <c r="G348" s="22"/>
      <c r="H348" s="22"/>
    </row>
    <row r="349" spans="1:8" s="21" customFormat="1" ht="12.75" x14ac:dyDescent="0.2">
      <c r="A349" s="23"/>
      <c r="C349" s="22"/>
      <c r="D349" s="22"/>
      <c r="E349" s="22"/>
      <c r="F349" s="22"/>
      <c r="G349" s="22"/>
      <c r="H349" s="22"/>
    </row>
    <row r="350" spans="1:8" s="21" customFormat="1" ht="12.75" x14ac:dyDescent="0.2">
      <c r="A350" s="23"/>
      <c r="C350" s="22"/>
      <c r="D350" s="22"/>
      <c r="E350" s="22"/>
      <c r="F350" s="22"/>
      <c r="G350" s="22"/>
      <c r="H350" s="22"/>
    </row>
    <row r="351" spans="1:8" s="21" customFormat="1" ht="12.75" x14ac:dyDescent="0.2">
      <c r="A351" s="23"/>
      <c r="C351" s="22"/>
      <c r="D351" s="22"/>
      <c r="E351" s="22"/>
      <c r="F351" s="22"/>
      <c r="G351" s="22"/>
      <c r="H351" s="22"/>
    </row>
    <row r="352" spans="1:8" s="21" customFormat="1" ht="12.75" x14ac:dyDescent="0.2">
      <c r="A352" s="23"/>
      <c r="C352" s="22"/>
      <c r="D352" s="22"/>
      <c r="E352" s="22"/>
      <c r="F352" s="22"/>
      <c r="G352" s="22"/>
      <c r="H352" s="22"/>
    </row>
    <row r="353" spans="1:8" s="21" customFormat="1" ht="12.75" x14ac:dyDescent="0.2">
      <c r="A353" s="23"/>
      <c r="C353" s="22"/>
      <c r="D353" s="22"/>
      <c r="E353" s="22"/>
      <c r="F353" s="22"/>
      <c r="G353" s="22"/>
      <c r="H353" s="22"/>
    </row>
    <row r="354" spans="1:8" s="21" customFormat="1" ht="12.75" x14ac:dyDescent="0.2">
      <c r="A354" s="23"/>
      <c r="C354" s="22"/>
      <c r="D354" s="22"/>
      <c r="E354" s="22"/>
      <c r="F354" s="22"/>
      <c r="G354" s="22"/>
      <c r="H354" s="22"/>
    </row>
    <row r="355" spans="1:8" s="21" customFormat="1" ht="12.75" x14ac:dyDescent="0.2">
      <c r="A355" s="23"/>
      <c r="C355" s="22"/>
      <c r="D355" s="22"/>
      <c r="E355" s="22"/>
      <c r="F355" s="22"/>
      <c r="G355" s="22"/>
      <c r="H355" s="22"/>
    </row>
    <row r="356" spans="1:8" s="21" customFormat="1" ht="12.75" x14ac:dyDescent="0.2">
      <c r="A356" s="23"/>
      <c r="C356" s="22"/>
      <c r="D356" s="22"/>
      <c r="E356" s="22"/>
      <c r="F356" s="22"/>
      <c r="G356" s="22"/>
      <c r="H356" s="22"/>
    </row>
    <row r="357" spans="1:8" s="21" customFormat="1" ht="12.75" x14ac:dyDescent="0.2">
      <c r="A357" s="23"/>
      <c r="C357" s="22"/>
      <c r="D357" s="22"/>
      <c r="E357" s="22"/>
      <c r="F357" s="22"/>
      <c r="G357" s="22"/>
      <c r="H357" s="22"/>
    </row>
    <row r="358" spans="1:8" s="21" customFormat="1" ht="12.75" x14ac:dyDescent="0.2">
      <c r="A358" s="23"/>
      <c r="C358" s="22"/>
      <c r="D358" s="22"/>
      <c r="E358" s="22"/>
      <c r="F358" s="22"/>
      <c r="G358" s="22"/>
      <c r="H358" s="22"/>
    </row>
    <row r="359" spans="1:8" s="21" customFormat="1" ht="12.75" x14ac:dyDescent="0.2">
      <c r="A359" s="23"/>
      <c r="C359" s="22"/>
      <c r="D359" s="22"/>
      <c r="E359" s="22"/>
      <c r="F359" s="22"/>
      <c r="G359" s="22"/>
      <c r="H359" s="22"/>
    </row>
    <row r="360" spans="1:8" s="21" customFormat="1" ht="12.75" x14ac:dyDescent="0.2">
      <c r="A360" s="23"/>
      <c r="C360" s="22"/>
      <c r="D360" s="22"/>
      <c r="E360" s="22"/>
      <c r="F360" s="22"/>
      <c r="G360" s="22"/>
      <c r="H360" s="22"/>
    </row>
    <row r="361" spans="1:8" s="21" customFormat="1" ht="12.75" x14ac:dyDescent="0.2">
      <c r="A361" s="23"/>
      <c r="C361" s="22"/>
      <c r="D361" s="22"/>
      <c r="E361" s="22"/>
      <c r="F361" s="22"/>
      <c r="G361" s="22"/>
      <c r="H361" s="22"/>
    </row>
    <row r="362" spans="1:8" s="21" customFormat="1" ht="12.75" x14ac:dyDescent="0.2">
      <c r="A362" s="23"/>
      <c r="C362" s="22"/>
      <c r="D362" s="22"/>
      <c r="E362" s="22"/>
      <c r="F362" s="22"/>
      <c r="G362" s="22"/>
      <c r="H362" s="22"/>
    </row>
    <row r="363" spans="1:8" s="21" customFormat="1" ht="12.75" x14ac:dyDescent="0.2">
      <c r="A363" s="23"/>
      <c r="C363" s="22"/>
      <c r="D363" s="22"/>
      <c r="E363" s="22"/>
      <c r="F363" s="22"/>
      <c r="G363" s="22"/>
      <c r="H363" s="22"/>
    </row>
    <row r="364" spans="1:8" s="21" customFormat="1" ht="12.75" x14ac:dyDescent="0.2">
      <c r="A364" s="23"/>
      <c r="C364" s="22"/>
      <c r="D364" s="22"/>
      <c r="E364" s="22"/>
      <c r="F364" s="22"/>
      <c r="G364" s="22"/>
      <c r="H364" s="22"/>
    </row>
    <row r="365" spans="1:8" s="21" customFormat="1" ht="12.75" x14ac:dyDescent="0.2">
      <c r="A365" s="23"/>
      <c r="C365" s="22"/>
      <c r="D365" s="22"/>
      <c r="E365" s="22"/>
      <c r="F365" s="22"/>
      <c r="G365" s="22"/>
      <c r="H365" s="22"/>
    </row>
    <row r="366" spans="1:8" s="21" customFormat="1" ht="12.75" x14ac:dyDescent="0.2">
      <c r="A366" s="23"/>
      <c r="C366" s="22"/>
      <c r="D366" s="22"/>
      <c r="E366" s="22"/>
      <c r="F366" s="22"/>
      <c r="G366" s="22"/>
      <c r="H366" s="22"/>
    </row>
    <row r="367" spans="1:8" s="21" customFormat="1" ht="12.75" x14ac:dyDescent="0.2">
      <c r="A367" s="23"/>
      <c r="C367" s="22"/>
      <c r="D367" s="22"/>
      <c r="E367" s="22"/>
      <c r="F367" s="22"/>
      <c r="G367" s="22"/>
      <c r="H367" s="22"/>
    </row>
    <row r="368" spans="1:8" s="21" customFormat="1" ht="12.75" x14ac:dyDescent="0.2">
      <c r="A368" s="23"/>
      <c r="C368" s="22"/>
      <c r="D368" s="22"/>
      <c r="E368" s="22"/>
      <c r="F368" s="22"/>
      <c r="G368" s="22"/>
      <c r="H368" s="22"/>
    </row>
    <row r="369" spans="1:8" s="21" customFormat="1" ht="12.75" x14ac:dyDescent="0.2">
      <c r="A369" s="23"/>
      <c r="C369" s="22"/>
      <c r="D369" s="22"/>
      <c r="E369" s="22"/>
      <c r="F369" s="22"/>
      <c r="G369" s="22"/>
      <c r="H369" s="22"/>
    </row>
    <row r="370" spans="1:8" s="21" customFormat="1" ht="12.75" x14ac:dyDescent="0.2">
      <c r="A370" s="23"/>
      <c r="C370" s="22"/>
      <c r="D370" s="22"/>
      <c r="E370" s="22"/>
      <c r="F370" s="22"/>
      <c r="G370" s="22"/>
      <c r="H370" s="22"/>
    </row>
    <row r="371" spans="1:8" s="21" customFormat="1" ht="12.75" x14ac:dyDescent="0.2">
      <c r="A371" s="23"/>
      <c r="C371" s="22"/>
      <c r="D371" s="22"/>
      <c r="E371" s="22"/>
      <c r="F371" s="22"/>
      <c r="G371" s="22"/>
      <c r="H371" s="22"/>
    </row>
    <row r="372" spans="1:8" s="21" customFormat="1" ht="12.75" x14ac:dyDescent="0.2">
      <c r="A372" s="23"/>
      <c r="C372" s="22"/>
      <c r="D372" s="22"/>
      <c r="E372" s="22"/>
      <c r="F372" s="22"/>
      <c r="G372" s="22"/>
      <c r="H372" s="22"/>
    </row>
    <row r="373" spans="1:8" s="21" customFormat="1" ht="12.75" x14ac:dyDescent="0.2">
      <c r="A373" s="23"/>
      <c r="C373" s="22"/>
      <c r="D373" s="22"/>
      <c r="E373" s="22"/>
      <c r="F373" s="22"/>
      <c r="G373" s="22"/>
      <c r="H373" s="22"/>
    </row>
    <row r="374" spans="1:8" s="21" customFormat="1" ht="12.75" x14ac:dyDescent="0.2">
      <c r="A374" s="23"/>
      <c r="C374" s="22"/>
      <c r="D374" s="22"/>
      <c r="E374" s="22"/>
      <c r="F374" s="22"/>
      <c r="G374" s="22"/>
      <c r="H374" s="22"/>
    </row>
    <row r="375" spans="1:8" s="21" customFormat="1" ht="12.75" x14ac:dyDescent="0.2">
      <c r="A375" s="23"/>
      <c r="C375" s="22"/>
      <c r="D375" s="22"/>
      <c r="E375" s="22"/>
      <c r="F375" s="22"/>
      <c r="G375" s="22"/>
      <c r="H375" s="22"/>
    </row>
    <row r="376" spans="1:8" s="21" customFormat="1" ht="12.75" x14ac:dyDescent="0.2">
      <c r="A376" s="23"/>
      <c r="C376" s="22"/>
      <c r="D376" s="22"/>
      <c r="E376" s="22"/>
      <c r="F376" s="22"/>
      <c r="G376" s="22"/>
      <c r="H376" s="22"/>
    </row>
    <row r="377" spans="1:8" s="21" customFormat="1" ht="12.75" x14ac:dyDescent="0.2">
      <c r="A377" s="23"/>
      <c r="C377" s="22"/>
      <c r="D377" s="22"/>
      <c r="E377" s="22"/>
      <c r="F377" s="22"/>
      <c r="G377" s="22"/>
      <c r="H377" s="22"/>
    </row>
    <row r="378" spans="1:8" s="21" customFormat="1" ht="12.75" x14ac:dyDescent="0.2">
      <c r="A378" s="23"/>
      <c r="C378" s="22"/>
      <c r="D378" s="22"/>
      <c r="E378" s="22"/>
      <c r="F378" s="22"/>
      <c r="G378" s="22"/>
      <c r="H378" s="22"/>
    </row>
    <row r="379" spans="1:8" s="21" customFormat="1" ht="12.75" x14ac:dyDescent="0.2">
      <c r="A379" s="23"/>
      <c r="C379" s="22"/>
      <c r="D379" s="22"/>
      <c r="E379" s="22"/>
      <c r="F379" s="22"/>
      <c r="G379" s="22"/>
      <c r="H379" s="22"/>
    </row>
    <row r="380" spans="1:8" s="21" customFormat="1" ht="12.75" x14ac:dyDescent="0.2">
      <c r="A380" s="23"/>
      <c r="C380" s="22"/>
      <c r="D380" s="22"/>
      <c r="E380" s="22"/>
      <c r="F380" s="22"/>
      <c r="G380" s="22"/>
      <c r="H380" s="22"/>
    </row>
    <row r="381" spans="1:8" s="21" customFormat="1" ht="12.75" x14ac:dyDescent="0.2">
      <c r="A381" s="23"/>
      <c r="C381" s="22"/>
      <c r="D381" s="22"/>
      <c r="E381" s="22"/>
      <c r="F381" s="22"/>
      <c r="G381" s="22"/>
      <c r="H381" s="22"/>
    </row>
    <row r="382" spans="1:8" s="21" customFormat="1" ht="12.75" x14ac:dyDescent="0.2">
      <c r="A382" s="23"/>
      <c r="C382" s="22"/>
      <c r="D382" s="22"/>
      <c r="E382" s="22"/>
      <c r="F382" s="22"/>
      <c r="G382" s="22"/>
      <c r="H382" s="22"/>
    </row>
    <row r="383" spans="1:8" s="21" customFormat="1" ht="12.75" x14ac:dyDescent="0.2">
      <c r="A383" s="23"/>
      <c r="C383" s="22"/>
      <c r="D383" s="22"/>
      <c r="E383" s="22"/>
      <c r="F383" s="22"/>
      <c r="G383" s="22"/>
      <c r="H383" s="22"/>
    </row>
    <row r="384" spans="1:8" s="21" customFormat="1" ht="12.75" x14ac:dyDescent="0.2">
      <c r="A384" s="23"/>
      <c r="C384" s="22"/>
      <c r="D384" s="22"/>
      <c r="E384" s="22"/>
      <c r="F384" s="22"/>
      <c r="G384" s="22"/>
      <c r="H384" s="22"/>
    </row>
    <row r="385" spans="1:8" s="21" customFormat="1" ht="12.75" x14ac:dyDescent="0.2">
      <c r="A385" s="23"/>
      <c r="C385" s="22"/>
      <c r="D385" s="22"/>
      <c r="E385" s="22"/>
      <c r="F385" s="22"/>
      <c r="G385" s="22"/>
      <c r="H385" s="22"/>
    </row>
    <row r="386" spans="1:8" s="21" customFormat="1" ht="12.75" x14ac:dyDescent="0.2">
      <c r="A386" s="23"/>
      <c r="C386" s="22"/>
      <c r="D386" s="22"/>
      <c r="E386" s="22"/>
      <c r="F386" s="22"/>
      <c r="G386" s="22"/>
      <c r="H386" s="22"/>
    </row>
    <row r="387" spans="1:8" s="21" customFormat="1" ht="12.75" x14ac:dyDescent="0.2">
      <c r="A387" s="23"/>
      <c r="C387" s="22"/>
      <c r="D387" s="22"/>
      <c r="E387" s="22"/>
      <c r="F387" s="22"/>
      <c r="G387" s="22"/>
      <c r="H387" s="22"/>
    </row>
    <row r="388" spans="1:8" s="21" customFormat="1" ht="12.75" x14ac:dyDescent="0.2">
      <c r="A388" s="23"/>
      <c r="C388" s="22"/>
      <c r="D388" s="22"/>
      <c r="E388" s="22"/>
      <c r="F388" s="22"/>
      <c r="G388" s="22"/>
      <c r="H388" s="22"/>
    </row>
    <row r="389" spans="1:8" s="21" customFormat="1" ht="12.75" x14ac:dyDescent="0.2">
      <c r="A389" s="23"/>
      <c r="C389" s="22"/>
      <c r="D389" s="22"/>
      <c r="E389" s="22"/>
      <c r="F389" s="22"/>
      <c r="G389" s="22"/>
      <c r="H389" s="22"/>
    </row>
    <row r="390" spans="1:8" s="21" customFormat="1" ht="12.75" x14ac:dyDescent="0.2">
      <c r="A390" s="23"/>
      <c r="C390" s="22"/>
      <c r="D390" s="22"/>
      <c r="E390" s="22"/>
      <c r="F390" s="22"/>
      <c r="G390" s="22"/>
      <c r="H390" s="22"/>
    </row>
    <row r="391" spans="1:8" s="21" customFormat="1" ht="12.75" x14ac:dyDescent="0.2">
      <c r="A391" s="23"/>
      <c r="C391" s="22"/>
      <c r="D391" s="22"/>
      <c r="E391" s="22"/>
      <c r="F391" s="22"/>
      <c r="G391" s="22"/>
      <c r="H391" s="22"/>
    </row>
    <row r="392" spans="1:8" s="21" customFormat="1" ht="12.75" x14ac:dyDescent="0.2">
      <c r="A392" s="23"/>
      <c r="C392" s="22"/>
      <c r="D392" s="22"/>
      <c r="E392" s="22"/>
      <c r="F392" s="22"/>
      <c r="G392" s="22"/>
      <c r="H392" s="22"/>
    </row>
    <row r="393" spans="1:8" s="21" customFormat="1" ht="12.75" x14ac:dyDescent="0.2">
      <c r="A393" s="23"/>
      <c r="C393" s="22"/>
      <c r="D393" s="22"/>
      <c r="E393" s="22"/>
      <c r="F393" s="22"/>
      <c r="G393" s="22"/>
      <c r="H393" s="22"/>
    </row>
    <row r="394" spans="1:8" s="21" customFormat="1" ht="12.75" x14ac:dyDescent="0.2">
      <c r="A394" s="23"/>
      <c r="C394" s="22"/>
      <c r="D394" s="22"/>
      <c r="E394" s="22"/>
      <c r="F394" s="22"/>
      <c r="G394" s="22"/>
      <c r="H394" s="22"/>
    </row>
    <row r="395" spans="1:8" s="21" customFormat="1" ht="12.75" x14ac:dyDescent="0.2">
      <c r="A395" s="23"/>
      <c r="C395" s="22"/>
      <c r="D395" s="22"/>
      <c r="E395" s="22"/>
      <c r="F395" s="22"/>
      <c r="G395" s="22"/>
      <c r="H395" s="22"/>
    </row>
    <row r="396" spans="1:8" s="21" customFormat="1" ht="12.75" x14ac:dyDescent="0.2">
      <c r="A396" s="23"/>
      <c r="C396" s="22"/>
      <c r="D396" s="22"/>
      <c r="E396" s="22"/>
      <c r="F396" s="22"/>
      <c r="G396" s="22"/>
      <c r="H396" s="22"/>
    </row>
    <row r="397" spans="1:8" s="21" customFormat="1" ht="12.75" x14ac:dyDescent="0.2">
      <c r="A397" s="23"/>
      <c r="C397" s="22"/>
      <c r="D397" s="22"/>
      <c r="E397" s="22"/>
      <c r="F397" s="22"/>
      <c r="G397" s="22"/>
      <c r="H397" s="22"/>
    </row>
    <row r="398" spans="1:8" s="21" customFormat="1" ht="12.75" x14ac:dyDescent="0.2">
      <c r="A398" s="23"/>
      <c r="C398" s="22"/>
      <c r="D398" s="22"/>
      <c r="E398" s="22"/>
      <c r="F398" s="22"/>
      <c r="G398" s="22"/>
      <c r="H398" s="22"/>
    </row>
    <row r="399" spans="1:8" s="21" customFormat="1" ht="12.75" x14ac:dyDescent="0.2">
      <c r="A399" s="23"/>
      <c r="C399" s="22"/>
      <c r="D399" s="22"/>
      <c r="E399" s="22"/>
      <c r="F399" s="22"/>
      <c r="G399" s="22"/>
      <c r="H399" s="22"/>
    </row>
    <row r="400" spans="1:8" s="21" customFormat="1" ht="12.75" x14ac:dyDescent="0.2">
      <c r="A400" s="23"/>
      <c r="C400" s="22"/>
      <c r="D400" s="22"/>
      <c r="E400" s="22"/>
      <c r="F400" s="22"/>
      <c r="G400" s="22"/>
      <c r="H400" s="22"/>
    </row>
    <row r="401" spans="1:8" s="21" customFormat="1" ht="12.75" x14ac:dyDescent="0.2">
      <c r="A401" s="23"/>
      <c r="C401" s="22"/>
      <c r="D401" s="22"/>
      <c r="E401" s="22"/>
      <c r="F401" s="22"/>
      <c r="G401" s="22"/>
      <c r="H401" s="22"/>
    </row>
    <row r="402" spans="1:8" s="21" customFormat="1" ht="12.75" x14ac:dyDescent="0.2">
      <c r="A402" s="23"/>
      <c r="C402" s="22"/>
      <c r="D402" s="22"/>
      <c r="E402" s="22"/>
      <c r="F402" s="22"/>
      <c r="G402" s="22"/>
      <c r="H402" s="22"/>
    </row>
    <row r="403" spans="1:8" s="21" customFormat="1" ht="12.75" x14ac:dyDescent="0.2">
      <c r="A403" s="23"/>
      <c r="C403" s="22"/>
      <c r="D403" s="22"/>
      <c r="E403" s="22"/>
      <c r="F403" s="22"/>
      <c r="G403" s="22"/>
      <c r="H403" s="22"/>
    </row>
    <row r="404" spans="1:8" s="21" customFormat="1" ht="12.75" x14ac:dyDescent="0.2">
      <c r="A404" s="23"/>
      <c r="C404" s="22"/>
      <c r="D404" s="22"/>
      <c r="E404" s="22"/>
      <c r="F404" s="22"/>
      <c r="G404" s="22"/>
      <c r="H404" s="22"/>
    </row>
    <row r="405" spans="1:8" s="21" customFormat="1" ht="12.75" x14ac:dyDescent="0.2">
      <c r="A405" s="23"/>
      <c r="C405" s="22"/>
      <c r="D405" s="22"/>
      <c r="E405" s="22"/>
      <c r="F405" s="22"/>
      <c r="G405" s="22"/>
      <c r="H405" s="22"/>
    </row>
    <row r="406" spans="1:8" s="21" customFormat="1" ht="12.75" x14ac:dyDescent="0.2">
      <c r="A406" s="23"/>
      <c r="C406" s="22"/>
      <c r="D406" s="22"/>
      <c r="E406" s="22"/>
      <c r="F406" s="22"/>
      <c r="G406" s="22"/>
      <c r="H406" s="22"/>
    </row>
    <row r="407" spans="1:8" s="21" customFormat="1" ht="12.75" x14ac:dyDescent="0.2">
      <c r="A407" s="23"/>
      <c r="C407" s="22"/>
      <c r="D407" s="22"/>
      <c r="E407" s="22"/>
      <c r="F407" s="22"/>
      <c r="G407" s="22"/>
      <c r="H407" s="22"/>
    </row>
    <row r="408" spans="1:8" s="21" customFormat="1" ht="12.75" x14ac:dyDescent="0.2">
      <c r="A408" s="23"/>
      <c r="C408" s="22"/>
      <c r="D408" s="22"/>
      <c r="E408" s="22"/>
      <c r="F408" s="22"/>
      <c r="G408" s="22"/>
      <c r="H408" s="22"/>
    </row>
    <row r="409" spans="1:8" s="21" customFormat="1" ht="12.75" x14ac:dyDescent="0.2">
      <c r="A409" s="23"/>
      <c r="C409" s="22"/>
      <c r="D409" s="22"/>
      <c r="E409" s="22"/>
      <c r="F409" s="22"/>
      <c r="G409" s="22"/>
      <c r="H409" s="22"/>
    </row>
    <row r="410" spans="1:8" s="21" customFormat="1" ht="12.75" x14ac:dyDescent="0.2">
      <c r="A410" s="23"/>
      <c r="C410" s="22"/>
      <c r="D410" s="22"/>
      <c r="E410" s="22"/>
      <c r="F410" s="22"/>
      <c r="G410" s="22"/>
      <c r="H410" s="22"/>
    </row>
    <row r="411" spans="1:8" s="21" customFormat="1" ht="12.75" x14ac:dyDescent="0.2">
      <c r="A411" s="23"/>
      <c r="C411" s="22"/>
      <c r="D411" s="22"/>
      <c r="E411" s="22"/>
      <c r="F411" s="22"/>
      <c r="G411" s="22"/>
      <c r="H411" s="22"/>
    </row>
    <row r="412" spans="1:8" s="21" customFormat="1" ht="12.75" x14ac:dyDescent="0.2">
      <c r="A412" s="23"/>
      <c r="C412" s="22"/>
      <c r="D412" s="22"/>
      <c r="E412" s="22"/>
      <c r="F412" s="22"/>
      <c r="G412" s="22"/>
      <c r="H412" s="22"/>
    </row>
    <row r="413" spans="1:8" s="21" customFormat="1" ht="12.75" x14ac:dyDescent="0.2">
      <c r="A413" s="23"/>
      <c r="C413" s="22"/>
      <c r="D413" s="22"/>
      <c r="E413" s="22"/>
      <c r="F413" s="22"/>
      <c r="G413" s="22"/>
      <c r="H413" s="22"/>
    </row>
    <row r="414" spans="1:8" s="21" customFormat="1" ht="12.75" x14ac:dyDescent="0.2">
      <c r="A414" s="23"/>
      <c r="C414" s="22"/>
      <c r="D414" s="22"/>
      <c r="E414" s="22"/>
      <c r="F414" s="22"/>
      <c r="G414" s="22"/>
      <c r="H414" s="22"/>
    </row>
    <row r="415" spans="1:8" s="21" customFormat="1" ht="12.75" x14ac:dyDescent="0.2">
      <c r="A415" s="23"/>
      <c r="C415" s="22"/>
      <c r="D415" s="22"/>
      <c r="E415" s="22"/>
      <c r="F415" s="22"/>
      <c r="G415" s="22"/>
      <c r="H415" s="22"/>
    </row>
    <row r="416" spans="1:8" s="21" customFormat="1" ht="12.75" x14ac:dyDescent="0.2">
      <c r="A416" s="23"/>
      <c r="C416" s="22"/>
      <c r="D416" s="22"/>
      <c r="E416" s="22"/>
      <c r="F416" s="22"/>
      <c r="G416" s="22"/>
      <c r="H416" s="22"/>
    </row>
    <row r="417" spans="1:8" s="21" customFormat="1" ht="12.75" x14ac:dyDescent="0.2">
      <c r="A417" s="23"/>
      <c r="C417" s="22"/>
      <c r="D417" s="22"/>
      <c r="E417" s="22"/>
      <c r="F417" s="22"/>
      <c r="G417" s="22"/>
      <c r="H417" s="22"/>
    </row>
    <row r="418" spans="1:8" s="21" customFormat="1" ht="12.75" x14ac:dyDescent="0.2">
      <c r="A418" s="23"/>
      <c r="C418" s="22"/>
      <c r="D418" s="22"/>
      <c r="E418" s="22"/>
      <c r="F418" s="22"/>
      <c r="G418" s="22"/>
      <c r="H418" s="22"/>
    </row>
    <row r="419" spans="1:8" s="21" customFormat="1" ht="12.75" x14ac:dyDescent="0.2">
      <c r="A419" s="23"/>
      <c r="C419" s="22"/>
      <c r="D419" s="22"/>
      <c r="E419" s="22"/>
      <c r="F419" s="22"/>
      <c r="G419" s="22"/>
      <c r="H419" s="22"/>
    </row>
    <row r="420" spans="1:8" s="21" customFormat="1" ht="12.75" x14ac:dyDescent="0.2">
      <c r="A420" s="23"/>
      <c r="C420" s="22"/>
      <c r="D420" s="22"/>
      <c r="E420" s="22"/>
      <c r="F420" s="22"/>
      <c r="G420" s="22"/>
      <c r="H420" s="22"/>
    </row>
    <row r="421" spans="1:8" s="21" customFormat="1" ht="12.75" x14ac:dyDescent="0.2">
      <c r="A421" s="23"/>
      <c r="C421" s="22"/>
      <c r="D421" s="22"/>
      <c r="E421" s="22"/>
      <c r="F421" s="22"/>
      <c r="G421" s="22"/>
      <c r="H421" s="22"/>
    </row>
    <row r="422" spans="1:8" s="21" customFormat="1" ht="12.75" x14ac:dyDescent="0.2">
      <c r="A422" s="23"/>
      <c r="C422" s="22"/>
      <c r="D422" s="22"/>
      <c r="E422" s="22"/>
      <c r="F422" s="22"/>
      <c r="G422" s="22"/>
      <c r="H422" s="22"/>
    </row>
    <row r="423" spans="1:8" s="21" customFormat="1" ht="12.75" x14ac:dyDescent="0.2">
      <c r="A423" s="23"/>
      <c r="C423" s="22"/>
      <c r="D423" s="22"/>
      <c r="E423" s="22"/>
      <c r="F423" s="22"/>
      <c r="G423" s="22"/>
      <c r="H423" s="22"/>
    </row>
    <row r="424" spans="1:8" s="21" customFormat="1" ht="12.75" x14ac:dyDescent="0.2">
      <c r="A424" s="23"/>
      <c r="C424" s="22"/>
      <c r="D424" s="22"/>
      <c r="E424" s="22"/>
      <c r="F424" s="22"/>
      <c r="G424" s="22"/>
      <c r="H424" s="22"/>
    </row>
    <row r="425" spans="1:8" s="21" customFormat="1" ht="12.75" x14ac:dyDescent="0.2">
      <c r="A425" s="23"/>
      <c r="C425" s="22"/>
      <c r="D425" s="22"/>
      <c r="E425" s="22"/>
      <c r="F425" s="22"/>
      <c r="G425" s="22"/>
      <c r="H425" s="22"/>
    </row>
    <row r="426" spans="1:8" s="21" customFormat="1" ht="12.75" x14ac:dyDescent="0.2">
      <c r="A426" s="23"/>
      <c r="C426" s="22"/>
      <c r="D426" s="22"/>
      <c r="E426" s="22"/>
      <c r="F426" s="22"/>
      <c r="G426" s="22"/>
      <c r="H426" s="22"/>
    </row>
    <row r="427" spans="1:8" s="21" customFormat="1" ht="12.75" x14ac:dyDescent="0.2">
      <c r="A427" s="23"/>
      <c r="C427" s="22"/>
      <c r="D427" s="22"/>
      <c r="E427" s="22"/>
      <c r="F427" s="22"/>
      <c r="G427" s="22"/>
      <c r="H427" s="22"/>
    </row>
    <row r="428" spans="1:8" s="21" customFormat="1" ht="12.75" x14ac:dyDescent="0.2">
      <c r="A428" s="23"/>
      <c r="C428" s="22"/>
      <c r="D428" s="22"/>
      <c r="E428" s="22"/>
      <c r="F428" s="22"/>
      <c r="G428" s="22"/>
      <c r="H428" s="22"/>
    </row>
    <row r="429" spans="1:8" s="21" customFormat="1" ht="12.75" x14ac:dyDescent="0.2">
      <c r="A429" s="23"/>
      <c r="C429" s="22"/>
      <c r="D429" s="22"/>
      <c r="E429" s="22"/>
      <c r="F429" s="22"/>
      <c r="G429" s="22"/>
      <c r="H429" s="22"/>
    </row>
    <row r="430" spans="1:8" s="21" customFormat="1" ht="12.75" x14ac:dyDescent="0.2">
      <c r="A430" s="23"/>
      <c r="C430" s="22"/>
      <c r="D430" s="22"/>
      <c r="E430" s="22"/>
      <c r="F430" s="22"/>
      <c r="G430" s="22"/>
      <c r="H430" s="22"/>
    </row>
  </sheetData>
  <sheetProtection sheet="1" objects="1" scenarios="1"/>
  <mergeCells count="2">
    <mergeCell ref="A1:H1"/>
    <mergeCell ref="A2:H2"/>
  </mergeCells>
  <pageMargins left="1" right="0.45" top="0.5" bottom="0.6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332"/>
  <sheetViews>
    <sheetView workbookViewId="0">
      <pane xSplit="2" ySplit="5" topLeftCell="C299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3" customWidth="1"/>
    <col min="2" max="2" width="24.5703125" style="21" bestFit="1" customWidth="1"/>
    <col min="3" max="8" width="15.140625" style="22" customWidth="1"/>
    <col min="9" max="9" width="16" style="22" bestFit="1" customWidth="1"/>
    <col min="10" max="16384" width="9.140625" style="21"/>
  </cols>
  <sheetData>
    <row r="1" spans="1:10" s="14" customFormat="1" ht="17.25" customHeight="1" x14ac:dyDescent="0.3">
      <c r="A1" s="210" t="str">
        <f>CONCATENATE("FY ",Notes!B1," Budget for State Payment to School Districts (Budget by Source)")</f>
        <v>FY 2024 Budget for State Payment to School Districts (Budget by Source)</v>
      </c>
      <c r="B1" s="210"/>
      <c r="C1" s="210"/>
      <c r="D1" s="210"/>
      <c r="E1" s="210"/>
      <c r="F1" s="210"/>
      <c r="G1" s="210"/>
      <c r="H1" s="210"/>
      <c r="I1" s="210"/>
      <c r="J1" s="28"/>
    </row>
    <row r="2" spans="1:10" s="14" customFormat="1" ht="11.25" customHeight="1" x14ac:dyDescent="0.2">
      <c r="A2" s="13"/>
      <c r="B2" s="28"/>
      <c r="C2" s="29" t="s">
        <v>7</v>
      </c>
      <c r="D2" s="30" t="s">
        <v>8</v>
      </c>
      <c r="E2" s="30" t="s">
        <v>9</v>
      </c>
      <c r="F2" s="30" t="s">
        <v>10</v>
      </c>
      <c r="G2" s="30" t="s">
        <v>13</v>
      </c>
      <c r="H2" s="30" t="s">
        <v>14</v>
      </c>
      <c r="I2" s="30" t="s">
        <v>15</v>
      </c>
    </row>
    <row r="3" spans="1:10" s="14" customFormat="1" x14ac:dyDescent="0.2">
      <c r="A3" s="13"/>
      <c r="C3" s="31"/>
      <c r="D3" s="31"/>
      <c r="E3" s="32"/>
      <c r="F3" s="31"/>
      <c r="G3" s="31"/>
      <c r="H3" s="32"/>
      <c r="I3" s="32" t="s">
        <v>16</v>
      </c>
    </row>
    <row r="4" spans="1:10" s="14" customFormat="1" ht="38.25" hidden="1" x14ac:dyDescent="0.2">
      <c r="A4" s="17"/>
      <c r="B4" s="18" t="str">
        <f>Data[[#Headers],[Label]]</f>
        <v>Label</v>
      </c>
      <c r="C4" s="18" t="str">
        <f>Data[[#Headers],[Preschool State Aid (Code 3117)]]</f>
        <v>Preschool State Aid (Code 3117)</v>
      </c>
      <c r="D4" s="18" t="str">
        <f>Data[[#Headers],[Teacher Salary (Code 3204)]]</f>
        <v>Teacher Salary (Code 3204)</v>
      </c>
      <c r="E4" s="18" t="str">
        <f>Data[[#Headers],[Early Intervention (Code 3216)]]</f>
        <v>Early Intervention (Code 3216)</v>
      </c>
      <c r="F4" s="18" t="str">
        <f>Data[[#Headers],[Professional Development (Code 3376)]]</f>
        <v>Professional Development (Code 3376)</v>
      </c>
      <c r="G4" s="18" t="str">
        <f>Data[[#Headers],[Teacher Leadership (Code 3116)]]</f>
        <v>Teacher Leadership (Code 3116)</v>
      </c>
      <c r="H4" s="18" t="str">
        <f>Notes!B4</f>
        <v>Pay 1 State Foundation Aid (Code 3111)</v>
      </c>
      <c r="I4" s="18" t="str">
        <f>Notes!B3</f>
        <v>Pay 1 Regular State Payment Budget</v>
      </c>
    </row>
    <row r="5" spans="1:10" s="14" customFormat="1" ht="42" customHeight="1" x14ac:dyDescent="0.2">
      <c r="A5" s="13"/>
      <c r="C5" s="33" t="s">
        <v>755</v>
      </c>
      <c r="D5" s="33" t="s">
        <v>707</v>
      </c>
      <c r="E5" s="34" t="s">
        <v>361</v>
      </c>
      <c r="F5" s="33" t="s">
        <v>362</v>
      </c>
      <c r="G5" s="33" t="s">
        <v>754</v>
      </c>
      <c r="H5" s="34" t="s">
        <v>756</v>
      </c>
      <c r="I5" s="34" t="s">
        <v>359</v>
      </c>
    </row>
    <row r="6" spans="1:10" x14ac:dyDescent="0.2">
      <c r="A6" s="20" t="str">
        <f>Data!B2</f>
        <v>0009</v>
      </c>
      <c r="B6" s="21" t="str">
        <f>INDEX(Data[],MATCH($A6,Data[Dist],0),MATCH(B$4,Data[#Headers],0))</f>
        <v>AGWSR</v>
      </c>
      <c r="C6" s="22">
        <f>INDEX(Data[],MATCH($A6,Data[Dist],0),MATCH(C$4,Data[#Headers],0))</f>
        <v>174842</v>
      </c>
      <c r="D6" s="22">
        <f>INDEX(Data[],MATCH($A6,Data[Dist],0),MATCH(D$4,Data[#Headers],0))</f>
        <v>468434</v>
      </c>
      <c r="E6" s="22">
        <f>INDEX(Data[],MATCH($A6,Data[Dist],0),MATCH(E$4,Data[#Headers],0))</f>
        <v>45707</v>
      </c>
      <c r="F6" s="22">
        <f>INDEX(Data[],MATCH($A6,Data[Dist],0),MATCH(F$4,Data[#Headers],0))</f>
        <v>50814</v>
      </c>
      <c r="G6" s="22">
        <f>INDEX(Data[],MATCH($A6,Data[Dist],0),MATCH(G$4,Data[#Headers],0))</f>
        <v>252959</v>
      </c>
      <c r="H6" s="22">
        <f>INDEX(Data[],MATCH($A6,Data[Dist],0),MATCH(H$4,Data[#Headers],0))</f>
        <v>2899779</v>
      </c>
      <c r="I6" s="22">
        <f>INDEX(Data[],MATCH($A6,Data[Dist],0),MATCH(I$4,Data[#Headers],0))</f>
        <v>3892535</v>
      </c>
      <c r="J6" s="23"/>
    </row>
    <row r="7" spans="1:10" x14ac:dyDescent="0.2">
      <c r="A7" s="20" t="str">
        <f>Data!B3</f>
        <v>0018</v>
      </c>
      <c r="B7" s="21" t="str">
        <f>INDEX(Data[],MATCH($A7,Data[Dist],0),MATCH(B$4,Data[#Headers],0))</f>
        <v>Adair-Casey</v>
      </c>
      <c r="C7" s="22">
        <f>INDEX(Data[],MATCH($A7,Data[Dist],0),MATCH(C$4,Data[#Headers],0))</f>
        <v>68416</v>
      </c>
      <c r="D7" s="22">
        <f>INDEX(Data[],MATCH($A7,Data[Dist],0),MATCH(D$4,Data[#Headers],0))</f>
        <v>216643</v>
      </c>
      <c r="E7" s="22">
        <f>INDEX(Data[],MATCH($A7,Data[Dist],0),MATCH(E$4,Data[#Headers],0))</f>
        <v>24155</v>
      </c>
      <c r="F7" s="22">
        <f>INDEX(Data[],MATCH($A7,Data[Dist],0),MATCH(F$4,Data[#Headers],0))</f>
        <v>21907</v>
      </c>
      <c r="G7" s="22">
        <f>INDEX(Data[],MATCH($A7,Data[Dist],0),MATCH(G$4,Data[#Headers],0))</f>
        <v>112881</v>
      </c>
      <c r="H7" s="22">
        <f>INDEX(Data[],MATCH($A7,Data[Dist],0),MATCH(H$4,Data[#Headers],0))</f>
        <v>1489909</v>
      </c>
      <c r="I7" s="22">
        <f>INDEX(Data[],MATCH($A7,Data[Dist],0),MATCH(I$4,Data[#Headers],0))</f>
        <v>1933911</v>
      </c>
      <c r="J7" s="23"/>
    </row>
    <row r="8" spans="1:10" x14ac:dyDescent="0.2">
      <c r="A8" s="20" t="str">
        <f>Data!B4</f>
        <v>0027</v>
      </c>
      <c r="B8" s="21" t="str">
        <f>INDEX(Data[],MATCH($A8,Data[Dist],0),MATCH(B$4,Data[#Headers],0))</f>
        <v>Adel-Desoto-Minburn</v>
      </c>
      <c r="C8" s="22">
        <f>INDEX(Data[],MATCH($A8,Data[Dist],0),MATCH(C$4,Data[#Headers],0))</f>
        <v>129231</v>
      </c>
      <c r="D8" s="22">
        <f>INDEX(Data[],MATCH($A8,Data[Dist],0),MATCH(D$4,Data[#Headers],0))</f>
        <v>1419094</v>
      </c>
      <c r="E8" s="22">
        <f>INDEX(Data[],MATCH($A8,Data[Dist],0),MATCH(E$4,Data[#Headers],0))</f>
        <v>161394</v>
      </c>
      <c r="F8" s="22">
        <f>INDEX(Data[],MATCH($A8,Data[Dist],0),MATCH(F$4,Data[#Headers],0))</f>
        <v>154362</v>
      </c>
      <c r="G8" s="22">
        <f>INDEX(Data[],MATCH($A8,Data[Dist],0),MATCH(G$4,Data[#Headers],0))</f>
        <v>785301</v>
      </c>
      <c r="H8" s="22">
        <f>INDEX(Data[],MATCH($A8,Data[Dist],0),MATCH(H$4,Data[#Headers],0))</f>
        <v>12931847</v>
      </c>
      <c r="I8" s="22">
        <f>INDEX(Data[],MATCH($A8,Data[Dist],0),MATCH(I$4,Data[#Headers],0))</f>
        <v>15581229</v>
      </c>
      <c r="J8" s="23"/>
    </row>
    <row r="9" spans="1:10" x14ac:dyDescent="0.2">
      <c r="A9" s="20" t="str">
        <f>Data!B5</f>
        <v>0063</v>
      </c>
      <c r="B9" s="21" t="str">
        <f>INDEX(Data[],MATCH($A9,Data[Dist],0),MATCH(B$4,Data[#Headers],0))</f>
        <v>Akron-Westfield</v>
      </c>
      <c r="C9" s="22">
        <f>INDEX(Data[],MATCH($A9,Data[Dist],0),MATCH(C$4,Data[#Headers],0))</f>
        <v>91222</v>
      </c>
      <c r="D9" s="22">
        <f>INDEX(Data[],MATCH($A9,Data[Dist],0),MATCH(D$4,Data[#Headers],0))</f>
        <v>386647</v>
      </c>
      <c r="E9" s="22">
        <f>INDEX(Data[],MATCH($A9,Data[Dist],0),MATCH(E$4,Data[#Headers],0))</f>
        <v>43245</v>
      </c>
      <c r="F9" s="22">
        <f>INDEX(Data[],MATCH($A9,Data[Dist],0),MATCH(F$4,Data[#Headers],0))</f>
        <v>44227</v>
      </c>
      <c r="G9" s="22">
        <f>INDEX(Data[],MATCH($A9,Data[Dist],0),MATCH(G$4,Data[#Headers],0))</f>
        <v>204608</v>
      </c>
      <c r="H9" s="22">
        <f>INDEX(Data[],MATCH($A9,Data[Dist],0),MATCH(H$4,Data[#Headers],0))</f>
        <v>3216273</v>
      </c>
      <c r="I9" s="22">
        <f>INDEX(Data[],MATCH($A9,Data[Dist],0),MATCH(I$4,Data[#Headers],0))</f>
        <v>3986222</v>
      </c>
      <c r="J9" s="23"/>
    </row>
    <row r="10" spans="1:10" x14ac:dyDescent="0.2">
      <c r="A10" s="20" t="str">
        <f>Data!B6</f>
        <v>0072</v>
      </c>
      <c r="B10" s="21" t="str">
        <f>INDEX(Data[],MATCH($A10,Data[Dist],0),MATCH(B$4,Data[#Headers],0))</f>
        <v>Albert City-Truesdale</v>
      </c>
      <c r="C10" s="22">
        <f>INDEX(Data[],MATCH($A10,Data[Dist],0),MATCH(C$4,Data[#Headers],0))</f>
        <v>45611</v>
      </c>
      <c r="D10" s="22">
        <f>INDEX(Data[],MATCH($A10,Data[Dist],0),MATCH(D$4,Data[#Headers],0))</f>
        <v>120382</v>
      </c>
      <c r="E10" s="22">
        <f>INDEX(Data[],MATCH($A10,Data[Dist],0),MATCH(E$4,Data[#Headers],0))</f>
        <v>11142</v>
      </c>
      <c r="F10" s="22">
        <f>INDEX(Data[],MATCH($A10,Data[Dist],0),MATCH(F$4,Data[#Headers],0))</f>
        <v>10652</v>
      </c>
      <c r="G10" s="22">
        <f>INDEX(Data[],MATCH($A10,Data[Dist],0),MATCH(G$4,Data[#Headers],0))</f>
        <v>77244</v>
      </c>
      <c r="H10" s="22">
        <f>INDEX(Data[],MATCH($A10,Data[Dist],0),MATCH(H$4,Data[#Headers],0))</f>
        <v>758600</v>
      </c>
      <c r="I10" s="22">
        <f>INDEX(Data[],MATCH($A10,Data[Dist],0),MATCH(I$4,Data[#Headers],0))</f>
        <v>1023631</v>
      </c>
      <c r="J10" s="23"/>
    </row>
    <row r="11" spans="1:10" x14ac:dyDescent="0.2">
      <c r="A11" s="20" t="str">
        <f>Data!B7</f>
        <v>0081</v>
      </c>
      <c r="B11" s="21" t="str">
        <f>INDEX(Data[],MATCH($A11,Data[Dist],0),MATCH(B$4,Data[#Headers],0))</f>
        <v>Albia</v>
      </c>
      <c r="C11" s="22">
        <f>INDEX(Data[],MATCH($A11,Data[Dist],0),MATCH(C$4,Data[#Headers],0))</f>
        <v>193847</v>
      </c>
      <c r="D11" s="22">
        <f>INDEX(Data[],MATCH($A11,Data[Dist],0),MATCH(D$4,Data[#Headers],0))</f>
        <v>710439</v>
      </c>
      <c r="E11" s="22">
        <f>INDEX(Data[],MATCH($A11,Data[Dist],0),MATCH(E$4,Data[#Headers],0))</f>
        <v>80389</v>
      </c>
      <c r="F11" s="22">
        <f>INDEX(Data[],MATCH($A11,Data[Dist],0),MATCH(F$4,Data[#Headers],0))</f>
        <v>82103</v>
      </c>
      <c r="G11" s="22">
        <f>INDEX(Data[],MATCH($A11,Data[Dist],0),MATCH(G$4,Data[#Headers],0))</f>
        <v>408858</v>
      </c>
      <c r="H11" s="22">
        <f>INDEX(Data[],MATCH($A11,Data[Dist],0),MATCH(H$4,Data[#Headers],0))</f>
        <v>6792864</v>
      </c>
      <c r="I11" s="22">
        <f>INDEX(Data[],MATCH($A11,Data[Dist],0),MATCH(I$4,Data[#Headers],0))</f>
        <v>8268500</v>
      </c>
      <c r="J11" s="23"/>
    </row>
    <row r="12" spans="1:10" x14ac:dyDescent="0.2">
      <c r="A12" s="20" t="str">
        <f>Data!B8</f>
        <v>0099</v>
      </c>
      <c r="B12" s="21" t="str">
        <f>INDEX(Data[],MATCH($A12,Data[Dist],0),MATCH(B$4,Data[#Headers],0))</f>
        <v>Alburnett</v>
      </c>
      <c r="C12" s="22">
        <f>INDEX(Data[],MATCH($A12,Data[Dist],0),MATCH(C$4,Data[#Headers],0))</f>
        <v>121629</v>
      </c>
      <c r="D12" s="22">
        <f>INDEX(Data[],MATCH($A12,Data[Dist],0),MATCH(D$4,Data[#Headers],0))</f>
        <v>348548</v>
      </c>
      <c r="E12" s="22">
        <f>INDEX(Data[],MATCH($A12,Data[Dist],0),MATCH(E$4,Data[#Headers],0))</f>
        <v>34623</v>
      </c>
      <c r="F12" s="22">
        <f>INDEX(Data[],MATCH($A12,Data[Dist],0),MATCH(F$4,Data[#Headers],0))</f>
        <v>40146</v>
      </c>
      <c r="G12" s="22">
        <f>INDEX(Data[],MATCH($A12,Data[Dist],0),MATCH(G$4,Data[#Headers],0))</f>
        <v>194031</v>
      </c>
      <c r="H12" s="22">
        <f>INDEX(Data[],MATCH($A12,Data[Dist],0),MATCH(H$4,Data[#Headers],0))</f>
        <v>2582878</v>
      </c>
      <c r="I12" s="22">
        <f>INDEX(Data[],MATCH($A12,Data[Dist],0),MATCH(I$4,Data[#Headers],0))</f>
        <v>3321855</v>
      </c>
      <c r="J12" s="23"/>
    </row>
    <row r="13" spans="1:10" x14ac:dyDescent="0.2">
      <c r="A13" s="20" t="str">
        <f>Data!B9</f>
        <v>0108</v>
      </c>
      <c r="B13" s="21" t="str">
        <f>INDEX(Data[],MATCH($A13,Data[Dist],0),MATCH(B$4,Data[#Headers],0))</f>
        <v>Alden</v>
      </c>
      <c r="C13" s="22">
        <f>INDEX(Data[],MATCH($A13,Data[Dist],0),MATCH(C$4,Data[#Headers],0))</f>
        <v>30407</v>
      </c>
      <c r="D13" s="22">
        <f>INDEX(Data[],MATCH($A13,Data[Dist],0),MATCH(D$4,Data[#Headers],0))</f>
        <v>191177</v>
      </c>
      <c r="E13" s="22">
        <f>INDEX(Data[],MATCH($A13,Data[Dist],0),MATCH(E$4,Data[#Headers],0))</f>
        <v>23694</v>
      </c>
      <c r="F13" s="22">
        <f>INDEX(Data[],MATCH($A13,Data[Dist],0),MATCH(F$4,Data[#Headers],0))</f>
        <v>18532</v>
      </c>
      <c r="G13" s="22">
        <f>INDEX(Data[],MATCH($A13,Data[Dist],0),MATCH(G$4,Data[#Headers],0))</f>
        <v>100867</v>
      </c>
      <c r="H13" s="22">
        <f>INDEX(Data[],MATCH($A13,Data[Dist],0),MATCH(H$4,Data[#Headers],0))</f>
        <v>1251851</v>
      </c>
      <c r="I13" s="22">
        <f>INDEX(Data[],MATCH($A13,Data[Dist],0),MATCH(I$4,Data[#Headers],0))</f>
        <v>1616528</v>
      </c>
      <c r="J13" s="23"/>
    </row>
    <row r="14" spans="1:10" x14ac:dyDescent="0.2">
      <c r="A14" s="20" t="str">
        <f>Data!B10</f>
        <v>0126</v>
      </c>
      <c r="B14" s="21" t="str">
        <f>INDEX(Data[],MATCH($A14,Data[Dist],0),MATCH(B$4,Data[#Headers],0))</f>
        <v>Algona</v>
      </c>
      <c r="C14" s="22">
        <f>INDEX(Data[],MATCH($A14,Data[Dist],0),MATCH(C$4,Data[#Headers],0))</f>
        <v>418101</v>
      </c>
      <c r="D14" s="22">
        <f>INDEX(Data[],MATCH($A14,Data[Dist],0),MATCH(D$4,Data[#Headers],0))</f>
        <v>969580</v>
      </c>
      <c r="E14" s="22">
        <f>INDEX(Data[],MATCH($A14,Data[Dist],0),MATCH(E$4,Data[#Headers],0))</f>
        <v>95766</v>
      </c>
      <c r="F14" s="22">
        <f>INDEX(Data[],MATCH($A14,Data[Dist],0),MATCH(F$4,Data[#Headers],0))</f>
        <v>115003</v>
      </c>
      <c r="G14" s="22">
        <f>INDEX(Data[],MATCH($A14,Data[Dist],0),MATCH(G$4,Data[#Headers],0))</f>
        <v>533042</v>
      </c>
      <c r="H14" s="22">
        <f>INDEX(Data[],MATCH($A14,Data[Dist],0),MATCH(H$4,Data[#Headers],0))</f>
        <v>6741290</v>
      </c>
      <c r="I14" s="22">
        <f>INDEX(Data[],MATCH($A14,Data[Dist],0),MATCH(I$4,Data[#Headers],0))</f>
        <v>8872782</v>
      </c>
      <c r="J14" s="23"/>
    </row>
    <row r="15" spans="1:10" x14ac:dyDescent="0.2">
      <c r="A15" s="20" t="str">
        <f>Data!B11</f>
        <v>0135</v>
      </c>
      <c r="B15" s="21" t="str">
        <f>INDEX(Data[],MATCH($A15,Data[Dist],0),MATCH(B$4,Data[#Headers],0))</f>
        <v>Allamakee</v>
      </c>
      <c r="C15" s="22">
        <f>INDEX(Data[],MATCH($A15,Data[Dist],0),MATCH(C$4,Data[#Headers],0))</f>
        <v>315476</v>
      </c>
      <c r="D15" s="22">
        <f>INDEX(Data[],MATCH($A15,Data[Dist],0),MATCH(D$4,Data[#Headers],0))</f>
        <v>702243</v>
      </c>
      <c r="E15" s="22">
        <f>INDEX(Data[],MATCH($A15,Data[Dist],0),MATCH(E$4,Data[#Headers],0))</f>
        <v>82218</v>
      </c>
      <c r="F15" s="22">
        <f>INDEX(Data[],MATCH($A15,Data[Dist],0),MATCH(F$4,Data[#Headers],0))</f>
        <v>74911</v>
      </c>
      <c r="G15" s="22">
        <f>INDEX(Data[],MATCH($A15,Data[Dist],0),MATCH(G$4,Data[#Headers],0))</f>
        <v>400740</v>
      </c>
      <c r="H15" s="22">
        <f>INDEX(Data[],MATCH($A15,Data[Dist],0),MATCH(H$4,Data[#Headers],0))</f>
        <v>5775414</v>
      </c>
      <c r="I15" s="22">
        <f>INDEX(Data[],MATCH($A15,Data[Dist],0),MATCH(I$4,Data[#Headers],0))</f>
        <v>7351002</v>
      </c>
      <c r="J15" s="23"/>
    </row>
    <row r="16" spans="1:10" x14ac:dyDescent="0.2">
      <c r="A16" s="20" t="str">
        <f>Data!B12</f>
        <v>0153</v>
      </c>
      <c r="B16" s="21" t="str">
        <f>INDEX(Data[],MATCH($A16,Data[Dist],0),MATCH(B$4,Data[#Headers],0))</f>
        <v>North Butler</v>
      </c>
      <c r="C16" s="22">
        <f>INDEX(Data[],MATCH($A16,Data[Dist],0),MATCH(C$4,Data[#Headers],0))</f>
        <v>110227</v>
      </c>
      <c r="D16" s="22">
        <f>INDEX(Data[],MATCH($A16,Data[Dist],0),MATCH(D$4,Data[#Headers],0))</f>
        <v>407783</v>
      </c>
      <c r="E16" s="22">
        <f>INDEX(Data[],MATCH($A16,Data[Dist],0),MATCH(E$4,Data[#Headers],0))</f>
        <v>39285</v>
      </c>
      <c r="F16" s="22">
        <f>INDEX(Data[],MATCH($A16,Data[Dist],0),MATCH(F$4,Data[#Headers],0))</f>
        <v>45681</v>
      </c>
      <c r="G16" s="22">
        <f>INDEX(Data[],MATCH($A16,Data[Dist],0),MATCH(G$4,Data[#Headers],0))</f>
        <v>203445</v>
      </c>
      <c r="H16" s="22">
        <f>INDEX(Data[],MATCH($A16,Data[Dist],0),MATCH(H$4,Data[#Headers],0))</f>
        <v>2732358</v>
      </c>
      <c r="I16" s="22">
        <f>INDEX(Data[],MATCH($A16,Data[Dist],0),MATCH(I$4,Data[#Headers],0))</f>
        <v>3538779</v>
      </c>
      <c r="J16" s="23"/>
    </row>
    <row r="17" spans="1:10" x14ac:dyDescent="0.2">
      <c r="A17" s="20" t="str">
        <f>Data!B13</f>
        <v>0171</v>
      </c>
      <c r="B17" s="21" t="str">
        <f>INDEX(Data[],MATCH($A17,Data[Dist],0),MATCH(B$4,Data[#Headers],0))</f>
        <v>Alta-Aurelia</v>
      </c>
      <c r="C17" s="22">
        <f>INDEX(Data[],MATCH($A17,Data[Dist],0),MATCH(C$4,Data[#Headers],0))</f>
        <v>144435</v>
      </c>
      <c r="D17" s="22">
        <f>INDEX(Data[],MATCH($A17,Data[Dist],0),MATCH(D$4,Data[#Headers],0))</f>
        <v>622367</v>
      </c>
      <c r="E17" s="22">
        <f>INDEX(Data[],MATCH($A17,Data[Dist],0),MATCH(E$4,Data[#Headers],0))</f>
        <v>75803</v>
      </c>
      <c r="F17" s="22">
        <f>INDEX(Data[],MATCH($A17,Data[Dist],0),MATCH(F$4,Data[#Headers],0))</f>
        <v>71046</v>
      </c>
      <c r="G17" s="22">
        <f>INDEX(Data[],MATCH($A17,Data[Dist],0),MATCH(G$4,Data[#Headers],0))</f>
        <v>321653</v>
      </c>
      <c r="H17" s="22">
        <f>INDEX(Data[],MATCH($A17,Data[Dist],0),MATCH(H$4,Data[#Headers],0))</f>
        <v>3876698</v>
      </c>
      <c r="I17" s="22">
        <f>INDEX(Data[],MATCH($A17,Data[Dist],0),MATCH(I$4,Data[#Headers],0))</f>
        <v>5112002</v>
      </c>
      <c r="J17" s="23"/>
    </row>
    <row r="18" spans="1:10" x14ac:dyDescent="0.2">
      <c r="A18" s="20" t="str">
        <f>Data!B14</f>
        <v>0225</v>
      </c>
      <c r="B18" s="21" t="str">
        <f>INDEX(Data[],MATCH($A18,Data[Dist],0),MATCH(B$4,Data[#Headers],0))</f>
        <v>Ames</v>
      </c>
      <c r="C18" s="22">
        <f>INDEX(Data[],MATCH($A18,Data[Dist],0),MATCH(C$4,Data[#Headers],0))</f>
        <v>824799</v>
      </c>
      <c r="D18" s="22">
        <f>INDEX(Data[],MATCH($A18,Data[Dist],0),MATCH(D$4,Data[#Headers],0))</f>
        <v>2906207</v>
      </c>
      <c r="E18" s="22">
        <f>INDEX(Data[],MATCH($A18,Data[Dist],0),MATCH(E$4,Data[#Headers],0))</f>
        <v>327110</v>
      </c>
      <c r="F18" s="22">
        <f>INDEX(Data[],MATCH($A18,Data[Dist],0),MATCH(F$4,Data[#Headers],0))</f>
        <v>353525</v>
      </c>
      <c r="G18" s="22">
        <f>INDEX(Data[],MATCH($A18,Data[Dist],0),MATCH(G$4,Data[#Headers],0))</f>
        <v>1636126</v>
      </c>
      <c r="H18" s="22">
        <f>INDEX(Data[],MATCH($A18,Data[Dist],0),MATCH(H$4,Data[#Headers],0))</f>
        <v>17846795</v>
      </c>
      <c r="I18" s="22">
        <f>INDEX(Data[],MATCH($A18,Data[Dist],0),MATCH(I$4,Data[#Headers],0))</f>
        <v>23894562</v>
      </c>
      <c r="J18" s="23"/>
    </row>
    <row r="19" spans="1:10" x14ac:dyDescent="0.2">
      <c r="A19" s="20" t="str">
        <f>Data!B15</f>
        <v>0234</v>
      </c>
      <c r="B19" s="21" t="str">
        <f>INDEX(Data[],MATCH($A19,Data[Dist],0),MATCH(B$4,Data[#Headers],0))</f>
        <v>Anamosa</v>
      </c>
      <c r="C19" s="22">
        <f>INDEX(Data[],MATCH($A19,Data[Dist],0),MATCH(C$4,Data[#Headers],0))</f>
        <v>273666</v>
      </c>
      <c r="D19" s="22">
        <f>INDEX(Data[],MATCH($A19,Data[Dist],0),MATCH(D$4,Data[#Headers],0))</f>
        <v>857678</v>
      </c>
      <c r="E19" s="22">
        <f>INDEX(Data[],MATCH($A19,Data[Dist],0),MATCH(E$4,Data[#Headers],0))</f>
        <v>91570</v>
      </c>
      <c r="F19" s="22">
        <f>INDEX(Data[],MATCH($A19,Data[Dist],0),MATCH(F$4,Data[#Headers],0))</f>
        <v>101468</v>
      </c>
      <c r="G19" s="22">
        <f>INDEX(Data[],MATCH($A19,Data[Dist],0),MATCH(G$4,Data[#Headers],0))</f>
        <v>462911</v>
      </c>
      <c r="H19" s="22">
        <f>INDEX(Data[],MATCH($A19,Data[Dist],0),MATCH(H$4,Data[#Headers],0))</f>
        <v>7105156</v>
      </c>
      <c r="I19" s="22">
        <f>INDEX(Data[],MATCH($A19,Data[Dist],0),MATCH(I$4,Data[#Headers],0))</f>
        <v>8892449</v>
      </c>
      <c r="J19" s="23"/>
    </row>
    <row r="20" spans="1:10" x14ac:dyDescent="0.2">
      <c r="A20" s="20" t="str">
        <f>Data!B16</f>
        <v>0243</v>
      </c>
      <c r="B20" s="21" t="str">
        <f>INDEX(Data[],MATCH($A20,Data[Dist],0),MATCH(B$4,Data[#Headers],0))</f>
        <v>Andrew</v>
      </c>
      <c r="C20" s="22">
        <f>INDEX(Data[],MATCH($A20,Data[Dist],0),MATCH(C$4,Data[#Headers],0))</f>
        <v>41811</v>
      </c>
      <c r="D20" s="22">
        <f>INDEX(Data[],MATCH($A20,Data[Dist],0),MATCH(D$4,Data[#Headers],0))</f>
        <v>162888</v>
      </c>
      <c r="E20" s="22">
        <f>INDEX(Data[],MATCH($A20,Data[Dist],0),MATCH(E$4,Data[#Headers],0))</f>
        <v>20509</v>
      </c>
      <c r="F20" s="22">
        <f>INDEX(Data[],MATCH($A20,Data[Dist],0),MATCH(F$4,Data[#Headers],0))</f>
        <v>17999</v>
      </c>
      <c r="G20" s="22">
        <f>INDEX(Data[],MATCH($A20,Data[Dist],0),MATCH(G$4,Data[#Headers],0))</f>
        <v>85867</v>
      </c>
      <c r="H20" s="22">
        <f>INDEX(Data[],MATCH($A20,Data[Dist],0),MATCH(H$4,Data[#Headers],0))</f>
        <v>1262517</v>
      </c>
      <c r="I20" s="22">
        <f>INDEX(Data[],MATCH($A20,Data[Dist],0),MATCH(I$4,Data[#Headers],0))</f>
        <v>1591591</v>
      </c>
      <c r="J20" s="23"/>
    </row>
    <row r="21" spans="1:10" x14ac:dyDescent="0.2">
      <c r="A21" s="20" t="str">
        <f>Data!B17</f>
        <v>0261</v>
      </c>
      <c r="B21" s="21" t="str">
        <f>INDEX(Data[],MATCH($A21,Data[Dist],0),MATCH(B$4,Data[#Headers],0))</f>
        <v>Ankeny</v>
      </c>
      <c r="C21" s="22">
        <f>INDEX(Data[],MATCH($A21,Data[Dist],0),MATCH(C$4,Data[#Headers],0))</f>
        <v>1007243</v>
      </c>
      <c r="D21" s="22">
        <f>INDEX(Data[],MATCH($A21,Data[Dist],0),MATCH(D$4,Data[#Headers],0))</f>
        <v>7645162</v>
      </c>
      <c r="E21" s="22">
        <f>INDEX(Data[],MATCH($A21,Data[Dist],0),MATCH(E$4,Data[#Headers],0))</f>
        <v>890293</v>
      </c>
      <c r="F21" s="22">
        <f>INDEX(Data[],MATCH($A21,Data[Dist],0),MATCH(F$4,Data[#Headers],0))</f>
        <v>845056</v>
      </c>
      <c r="G21" s="22">
        <f>INDEX(Data[],MATCH($A21,Data[Dist],0),MATCH(G$4,Data[#Headers],0))</f>
        <v>4669791</v>
      </c>
      <c r="H21" s="22">
        <f>INDEX(Data[],MATCH($A21,Data[Dist],0),MATCH(H$4,Data[#Headers],0))</f>
        <v>70750701</v>
      </c>
      <c r="I21" s="22">
        <f>INDEX(Data[],MATCH($A21,Data[Dist],0),MATCH(I$4,Data[#Headers],0))</f>
        <v>85808246</v>
      </c>
      <c r="J21" s="23"/>
    </row>
    <row r="22" spans="1:10" x14ac:dyDescent="0.2">
      <c r="A22" s="20" t="str">
        <f>Data!B18</f>
        <v>0279</v>
      </c>
      <c r="B22" s="21" t="str">
        <f>INDEX(Data[],MATCH($A22,Data[Dist],0),MATCH(B$4,Data[#Headers],0))</f>
        <v>Aplington-Parkersburg</v>
      </c>
      <c r="C22" s="22">
        <f>INDEX(Data[],MATCH($A22,Data[Dist],0),MATCH(C$4,Data[#Headers],0))</f>
        <v>129231</v>
      </c>
      <c r="D22" s="22">
        <f>INDEX(Data[],MATCH($A22,Data[Dist],0),MATCH(D$4,Data[#Headers],0))</f>
        <v>553960</v>
      </c>
      <c r="E22" s="22">
        <f>INDEX(Data[],MATCH($A22,Data[Dist],0),MATCH(E$4,Data[#Headers],0))</f>
        <v>72123</v>
      </c>
      <c r="F22" s="22">
        <f>INDEX(Data[],MATCH($A22,Data[Dist],0),MATCH(F$4,Data[#Headers],0))</f>
        <v>61893</v>
      </c>
      <c r="G22" s="22">
        <f>INDEX(Data[],MATCH($A22,Data[Dist],0),MATCH(G$4,Data[#Headers],0))</f>
        <v>299689</v>
      </c>
      <c r="H22" s="22">
        <f>INDEX(Data[],MATCH($A22,Data[Dist],0),MATCH(H$4,Data[#Headers],0))</f>
        <v>4657212</v>
      </c>
      <c r="I22" s="22">
        <f>INDEX(Data[],MATCH($A22,Data[Dist],0),MATCH(I$4,Data[#Headers],0))</f>
        <v>5774108</v>
      </c>
      <c r="J22" s="23"/>
    </row>
    <row r="23" spans="1:10" x14ac:dyDescent="0.2">
      <c r="A23" s="20" t="str">
        <f>Data!B19</f>
        <v>0333</v>
      </c>
      <c r="B23" s="21" t="str">
        <f>INDEX(Data[],MATCH($A23,Data[Dist],0),MATCH(B$4,Data[#Headers],0))</f>
        <v>North Union</v>
      </c>
      <c r="C23" s="22">
        <f>INDEX(Data[],MATCH($A23,Data[Dist],0),MATCH(C$4,Data[#Headers],0))</f>
        <v>72218</v>
      </c>
      <c r="D23" s="22">
        <f>INDEX(Data[],MATCH($A23,Data[Dist],0),MATCH(D$4,Data[#Headers],0))</f>
        <v>302437</v>
      </c>
      <c r="E23" s="22">
        <f>INDEX(Data[],MATCH($A23,Data[Dist],0),MATCH(E$4,Data[#Headers],0))</f>
        <v>36723</v>
      </c>
      <c r="F23" s="22">
        <f>INDEX(Data[],MATCH($A23,Data[Dist],0),MATCH(F$4,Data[#Headers],0))</f>
        <v>34049</v>
      </c>
      <c r="G23" s="22">
        <f>INDEX(Data[],MATCH($A23,Data[Dist],0),MATCH(G$4,Data[#Headers],0))</f>
        <v>148149</v>
      </c>
      <c r="H23" s="22">
        <f>INDEX(Data[],MATCH($A23,Data[Dist],0),MATCH(H$4,Data[#Headers],0))</f>
        <v>1094324</v>
      </c>
      <c r="I23" s="22">
        <f>INDEX(Data[],MATCH($A23,Data[Dist],0),MATCH(I$4,Data[#Headers],0))</f>
        <v>1687900</v>
      </c>
      <c r="J23" s="23"/>
    </row>
    <row r="24" spans="1:10" x14ac:dyDescent="0.2">
      <c r="A24" s="20" t="str">
        <f>Data!B20</f>
        <v>0355</v>
      </c>
      <c r="B24" s="21" t="str">
        <f>INDEX(Data[],MATCH($A24,Data[Dist],0),MATCH(B$4,Data[#Headers],0))</f>
        <v>Ar-We-Va</v>
      </c>
      <c r="C24" s="22">
        <f>INDEX(Data[],MATCH($A24,Data[Dist],0),MATCH(C$4,Data[#Headers],0))</f>
        <v>64616</v>
      </c>
      <c r="D24" s="22">
        <f>INDEX(Data[],MATCH($A24,Data[Dist],0),MATCH(D$4,Data[#Headers],0))</f>
        <v>188719</v>
      </c>
      <c r="E24" s="22">
        <f>INDEX(Data[],MATCH($A24,Data[Dist],0),MATCH(E$4,Data[#Headers],0))</f>
        <v>19414</v>
      </c>
      <c r="F24" s="22">
        <f>INDEX(Data[],MATCH($A24,Data[Dist],0),MATCH(F$4,Data[#Headers],0))</f>
        <v>18826</v>
      </c>
      <c r="G24" s="22">
        <f>INDEX(Data[],MATCH($A24,Data[Dist],0),MATCH(G$4,Data[#Headers],0))</f>
        <v>101788</v>
      </c>
      <c r="H24" s="22">
        <f>INDEX(Data[],MATCH($A24,Data[Dist],0),MATCH(H$4,Data[#Headers],0))</f>
        <v>795034</v>
      </c>
      <c r="I24" s="22">
        <f>INDEX(Data[],MATCH($A24,Data[Dist],0),MATCH(I$4,Data[#Headers],0))</f>
        <v>1188397</v>
      </c>
      <c r="J24" s="23"/>
    </row>
    <row r="25" spans="1:10" x14ac:dyDescent="0.2">
      <c r="A25" s="20" t="str">
        <f>Data!B21</f>
        <v>0387</v>
      </c>
      <c r="B25" s="21" t="str">
        <f>INDEX(Data[],MATCH($A25,Data[Dist],0),MATCH(B$4,Data[#Headers],0))</f>
        <v>Atlantic</v>
      </c>
      <c r="C25" s="22">
        <f>INDEX(Data[],MATCH($A25,Data[Dist],0),MATCH(C$4,Data[#Headers],0))</f>
        <v>319277</v>
      </c>
      <c r="D25" s="22">
        <f>INDEX(Data[],MATCH($A25,Data[Dist],0),MATCH(D$4,Data[#Headers],0))</f>
        <v>939932</v>
      </c>
      <c r="E25" s="22">
        <f>INDEX(Data[],MATCH($A25,Data[Dist],0),MATCH(E$4,Data[#Headers],0))</f>
        <v>122582</v>
      </c>
      <c r="F25" s="22">
        <f>INDEX(Data[],MATCH($A25,Data[Dist],0),MATCH(F$4,Data[#Headers],0))</f>
        <v>109769</v>
      </c>
      <c r="G25" s="22">
        <f>INDEX(Data[],MATCH($A25,Data[Dist],0),MATCH(G$4,Data[#Headers],0))</f>
        <v>516642</v>
      </c>
      <c r="H25" s="22">
        <f>INDEX(Data[],MATCH($A25,Data[Dist],0),MATCH(H$4,Data[#Headers],0))</f>
        <v>8736142</v>
      </c>
      <c r="I25" s="22">
        <f>INDEX(Data[],MATCH($A25,Data[Dist],0),MATCH(I$4,Data[#Headers],0))</f>
        <v>10744344</v>
      </c>
      <c r="J25" s="23"/>
    </row>
    <row r="26" spans="1:10" x14ac:dyDescent="0.2">
      <c r="A26" s="20" t="str">
        <f>Data!B22</f>
        <v>0414</v>
      </c>
      <c r="B26" s="21" t="str">
        <f>INDEX(Data[],MATCH($A26,Data[Dist],0),MATCH(B$4,Data[#Headers],0))</f>
        <v>Audubon</v>
      </c>
      <c r="C26" s="22">
        <f>INDEX(Data[],MATCH($A26,Data[Dist],0),MATCH(C$4,Data[#Headers],0))</f>
        <v>144435</v>
      </c>
      <c r="D26" s="22">
        <f>INDEX(Data[],MATCH($A26,Data[Dist],0),MATCH(D$4,Data[#Headers],0))</f>
        <v>347856</v>
      </c>
      <c r="E26" s="22">
        <f>INDEX(Data[],MATCH($A26,Data[Dist],0),MATCH(E$4,Data[#Headers],0))</f>
        <v>36345</v>
      </c>
      <c r="F26" s="22">
        <f>INDEX(Data[],MATCH($A26,Data[Dist],0),MATCH(F$4,Data[#Headers],0))</f>
        <v>39643</v>
      </c>
      <c r="G26" s="22">
        <f>INDEX(Data[],MATCH($A26,Data[Dist],0),MATCH(G$4,Data[#Headers],0))</f>
        <v>188171</v>
      </c>
      <c r="H26" s="22">
        <f>INDEX(Data[],MATCH($A26,Data[Dist],0),MATCH(H$4,Data[#Headers],0))</f>
        <v>2570552</v>
      </c>
      <c r="I26" s="22">
        <f>INDEX(Data[],MATCH($A26,Data[Dist],0),MATCH(I$4,Data[#Headers],0))</f>
        <v>3327002</v>
      </c>
      <c r="J26" s="23"/>
    </row>
    <row r="27" spans="1:10" x14ac:dyDescent="0.2">
      <c r="A27" s="20" t="str">
        <f>Data!B23</f>
        <v>0441</v>
      </c>
      <c r="B27" s="21" t="str">
        <f>INDEX(Data[],MATCH($A27,Data[Dist],0),MATCH(B$4,Data[#Headers],0))</f>
        <v>AHSTW</v>
      </c>
      <c r="C27" s="22">
        <f>INDEX(Data[],MATCH($A27,Data[Dist],0),MATCH(C$4,Data[#Headers],0))</f>
        <v>159638</v>
      </c>
      <c r="D27" s="22">
        <f>INDEX(Data[],MATCH($A27,Data[Dist],0),MATCH(D$4,Data[#Headers],0))</f>
        <v>490508</v>
      </c>
      <c r="E27" s="22">
        <f>INDEX(Data[],MATCH($A27,Data[Dist],0),MATCH(E$4,Data[#Headers],0))</f>
        <v>55466</v>
      </c>
      <c r="F27" s="22">
        <f>INDEX(Data[],MATCH($A27,Data[Dist],0),MATCH(F$4,Data[#Headers],0))</f>
        <v>49973</v>
      </c>
      <c r="G27" s="22">
        <f>INDEX(Data[],MATCH($A27,Data[Dist],0),MATCH(G$4,Data[#Headers],0))</f>
        <v>292097</v>
      </c>
      <c r="H27" s="22">
        <f>INDEX(Data[],MATCH($A27,Data[Dist],0),MATCH(H$4,Data[#Headers],0))</f>
        <v>3126937</v>
      </c>
      <c r="I27" s="22">
        <f>INDEX(Data[],MATCH($A27,Data[Dist],0),MATCH(I$4,Data[#Headers],0))</f>
        <v>4174619</v>
      </c>
      <c r="J27" s="23"/>
    </row>
    <row r="28" spans="1:10" x14ac:dyDescent="0.2">
      <c r="A28" s="20" t="str">
        <f>Data!B24</f>
        <v>0472</v>
      </c>
      <c r="B28" s="21" t="str">
        <f>INDEX(Data[],MATCH($A28,Data[Dist],0),MATCH(B$4,Data[#Headers],0))</f>
        <v>Ballard</v>
      </c>
      <c r="C28" s="22">
        <f>INDEX(Data[],MATCH($A28,Data[Dist],0),MATCH(C$4,Data[#Headers],0))</f>
        <v>452309</v>
      </c>
      <c r="D28" s="22">
        <f>INDEX(Data[],MATCH($A28,Data[Dist],0),MATCH(D$4,Data[#Headers],0))</f>
        <v>1073499</v>
      </c>
      <c r="E28" s="22">
        <f>INDEX(Data[],MATCH($A28,Data[Dist],0),MATCH(E$4,Data[#Headers],0))</f>
        <v>134772</v>
      </c>
      <c r="F28" s="22">
        <f>INDEX(Data[],MATCH($A28,Data[Dist],0),MATCH(F$4,Data[#Headers],0))</f>
        <v>115368</v>
      </c>
      <c r="G28" s="22">
        <f>INDEX(Data[],MATCH($A28,Data[Dist],0),MATCH(G$4,Data[#Headers],0))</f>
        <v>648318</v>
      </c>
      <c r="H28" s="22">
        <f>INDEX(Data[],MATCH($A28,Data[Dist],0),MATCH(H$4,Data[#Headers],0))</f>
        <v>11114084</v>
      </c>
      <c r="I28" s="22">
        <f>INDEX(Data[],MATCH($A28,Data[Dist],0),MATCH(I$4,Data[#Headers],0))</f>
        <v>13538350</v>
      </c>
      <c r="J28" s="23"/>
    </row>
    <row r="29" spans="1:10" x14ac:dyDescent="0.2">
      <c r="A29" s="20" t="str">
        <f>Data!B25</f>
        <v>0513</v>
      </c>
      <c r="B29" s="21" t="str">
        <f>INDEX(Data[],MATCH($A29,Data[Dist],0),MATCH(B$4,Data[#Headers],0))</f>
        <v>Baxter</v>
      </c>
      <c r="C29" s="22">
        <f>INDEX(Data[],MATCH($A29,Data[Dist],0),MATCH(C$4,Data[#Headers],0))</f>
        <v>91222</v>
      </c>
      <c r="D29" s="22">
        <f>INDEX(Data[],MATCH($A29,Data[Dist],0),MATCH(D$4,Data[#Headers],0))</f>
        <v>250167</v>
      </c>
      <c r="E29" s="22">
        <f>INDEX(Data[],MATCH($A29,Data[Dist],0),MATCH(E$4,Data[#Headers],0))</f>
        <v>27298</v>
      </c>
      <c r="F29" s="22">
        <f>INDEX(Data[],MATCH($A29,Data[Dist],0),MATCH(F$4,Data[#Headers],0))</f>
        <v>25415</v>
      </c>
      <c r="G29" s="22">
        <f>INDEX(Data[],MATCH($A29,Data[Dist],0),MATCH(G$4,Data[#Headers],0))</f>
        <v>132929</v>
      </c>
      <c r="H29" s="22">
        <f>INDEX(Data[],MATCH($A29,Data[Dist],0),MATCH(H$4,Data[#Headers],0))</f>
        <v>2204759</v>
      </c>
      <c r="I29" s="22">
        <f>INDEX(Data[],MATCH($A29,Data[Dist],0),MATCH(I$4,Data[#Headers],0))</f>
        <v>2731790</v>
      </c>
      <c r="J29" s="23"/>
    </row>
    <row r="30" spans="1:10" x14ac:dyDescent="0.2">
      <c r="A30" s="20" t="str">
        <f>Data!B26</f>
        <v>0540</v>
      </c>
      <c r="B30" s="21" t="str">
        <f>INDEX(Data[],MATCH($A30,Data[Dist],0),MATCH(B$4,Data[#Headers],0))</f>
        <v>BCLUW</v>
      </c>
      <c r="C30" s="22">
        <f>INDEX(Data[],MATCH($A30,Data[Dist],0),MATCH(C$4,Data[#Headers],0))</f>
        <v>102625</v>
      </c>
      <c r="D30" s="22">
        <f>INDEX(Data[],MATCH($A30,Data[Dist],0),MATCH(D$4,Data[#Headers],0))</f>
        <v>313851</v>
      </c>
      <c r="E30" s="22">
        <f>INDEX(Data[],MATCH($A30,Data[Dist],0),MATCH(E$4,Data[#Headers],0))</f>
        <v>33684</v>
      </c>
      <c r="F30" s="22">
        <f>INDEX(Data[],MATCH($A30,Data[Dist],0),MATCH(F$4,Data[#Headers],0))</f>
        <v>34901</v>
      </c>
      <c r="G30" s="22">
        <f>INDEX(Data[],MATCH($A30,Data[Dist],0),MATCH(G$4,Data[#Headers],0))</f>
        <v>174213</v>
      </c>
      <c r="H30" s="22">
        <f>INDEX(Data[],MATCH($A30,Data[Dist],0),MATCH(H$4,Data[#Headers],0))</f>
        <v>1903309</v>
      </c>
      <c r="I30" s="22">
        <f>INDEX(Data[],MATCH($A30,Data[Dist],0),MATCH(I$4,Data[#Headers],0))</f>
        <v>2562583</v>
      </c>
      <c r="J30" s="23"/>
    </row>
    <row r="31" spans="1:10" x14ac:dyDescent="0.2">
      <c r="A31" s="20" t="str">
        <f>Data!B27</f>
        <v>0549</v>
      </c>
      <c r="B31" s="21" t="str">
        <f>INDEX(Data[],MATCH($A31,Data[Dist],0),MATCH(B$4,Data[#Headers],0))</f>
        <v>Bedford</v>
      </c>
      <c r="C31" s="22">
        <f>INDEX(Data[],MATCH($A31,Data[Dist],0),MATCH(C$4,Data[#Headers],0))</f>
        <v>102625</v>
      </c>
      <c r="D31" s="22">
        <f>INDEX(Data[],MATCH($A31,Data[Dist],0),MATCH(D$4,Data[#Headers],0))</f>
        <v>349509</v>
      </c>
      <c r="E31" s="22">
        <f>INDEX(Data[],MATCH($A31,Data[Dist],0),MATCH(E$4,Data[#Headers],0))</f>
        <v>40952</v>
      </c>
      <c r="F31" s="22">
        <f>INDEX(Data[],MATCH($A31,Data[Dist],0),MATCH(F$4,Data[#Headers],0))</f>
        <v>37299</v>
      </c>
      <c r="G31" s="22">
        <f>INDEX(Data[],MATCH($A31,Data[Dist],0),MATCH(G$4,Data[#Headers],0))</f>
        <v>184928</v>
      </c>
      <c r="H31" s="22">
        <f>INDEX(Data[],MATCH($A31,Data[Dist],0),MATCH(H$4,Data[#Headers],0))</f>
        <v>2635918</v>
      </c>
      <c r="I31" s="22">
        <f>INDEX(Data[],MATCH($A31,Data[Dist],0),MATCH(I$4,Data[#Headers],0))</f>
        <v>3351231</v>
      </c>
      <c r="J31" s="23"/>
    </row>
    <row r="32" spans="1:10" x14ac:dyDescent="0.2">
      <c r="A32" s="20" t="str">
        <f>Data!B28</f>
        <v>0576</v>
      </c>
      <c r="B32" s="21" t="str">
        <f>INDEX(Data[],MATCH($A32,Data[Dist],0),MATCH(B$4,Data[#Headers],0))</f>
        <v>Belle Plaine</v>
      </c>
      <c r="C32" s="22">
        <f>INDEX(Data[],MATCH($A32,Data[Dist],0),MATCH(C$4,Data[#Headers],0))</f>
        <v>98824</v>
      </c>
      <c r="D32" s="22">
        <f>INDEX(Data[],MATCH($A32,Data[Dist],0),MATCH(D$4,Data[#Headers],0))</f>
        <v>305232</v>
      </c>
      <c r="E32" s="22">
        <f>INDEX(Data[],MATCH($A32,Data[Dist],0),MATCH(E$4,Data[#Headers],0))</f>
        <v>31524</v>
      </c>
      <c r="F32" s="22">
        <f>INDEX(Data[],MATCH($A32,Data[Dist],0),MATCH(F$4,Data[#Headers],0))</f>
        <v>30806</v>
      </c>
      <c r="G32" s="22">
        <f>INDEX(Data[],MATCH($A32,Data[Dist],0),MATCH(G$4,Data[#Headers],0))</f>
        <v>174204</v>
      </c>
      <c r="H32" s="22">
        <f>INDEX(Data[],MATCH($A32,Data[Dist],0),MATCH(H$4,Data[#Headers],0))</f>
        <v>2691330</v>
      </c>
      <c r="I32" s="22">
        <f>INDEX(Data[],MATCH($A32,Data[Dist],0),MATCH(I$4,Data[#Headers],0))</f>
        <v>3331920</v>
      </c>
      <c r="J32" s="23"/>
    </row>
    <row r="33" spans="1:10" x14ac:dyDescent="0.2">
      <c r="A33" s="20" t="str">
        <f>Data!B29</f>
        <v>0585</v>
      </c>
      <c r="B33" s="21" t="str">
        <f>INDEX(Data[],MATCH($A33,Data[Dist],0),MATCH(B$4,Data[#Headers],0))</f>
        <v>Bellevue</v>
      </c>
      <c r="C33" s="22">
        <f>INDEX(Data[],MATCH($A33,Data[Dist],0),MATCH(C$4,Data[#Headers],0))</f>
        <v>231856</v>
      </c>
      <c r="D33" s="22">
        <f>INDEX(Data[],MATCH($A33,Data[Dist],0),MATCH(D$4,Data[#Headers],0))</f>
        <v>427200</v>
      </c>
      <c r="E33" s="22">
        <f>INDEX(Data[],MATCH($A33,Data[Dist],0),MATCH(E$4,Data[#Headers],0))</f>
        <v>44383</v>
      </c>
      <c r="F33" s="22">
        <f>INDEX(Data[],MATCH($A33,Data[Dist],0),MATCH(F$4,Data[#Headers],0))</f>
        <v>47220</v>
      </c>
      <c r="G33" s="22">
        <f>INDEX(Data[],MATCH($A33,Data[Dist],0),MATCH(G$4,Data[#Headers],0))</f>
        <v>232800</v>
      </c>
      <c r="H33" s="22">
        <f>INDEX(Data[],MATCH($A33,Data[Dist],0),MATCH(H$4,Data[#Headers],0))</f>
        <v>3019696</v>
      </c>
      <c r="I33" s="22">
        <f>INDEX(Data[],MATCH($A33,Data[Dist],0),MATCH(I$4,Data[#Headers],0))</f>
        <v>4003155</v>
      </c>
      <c r="J33" s="23"/>
    </row>
    <row r="34" spans="1:10" x14ac:dyDescent="0.2">
      <c r="A34" s="20" t="str">
        <f>Data!B30</f>
        <v>0594</v>
      </c>
      <c r="B34" s="21" t="str">
        <f>INDEX(Data[],MATCH($A34,Data[Dist],0),MATCH(B$4,Data[#Headers],0))</f>
        <v>Belmond-Klemme</v>
      </c>
      <c r="C34" s="22">
        <f>INDEX(Data[],MATCH($A34,Data[Dist],0),MATCH(C$4,Data[#Headers],0))</f>
        <v>114027</v>
      </c>
      <c r="D34" s="22">
        <f>INDEX(Data[],MATCH($A34,Data[Dist],0),MATCH(D$4,Data[#Headers],0))</f>
        <v>479585</v>
      </c>
      <c r="E34" s="22">
        <f>INDEX(Data[],MATCH($A34,Data[Dist],0),MATCH(E$4,Data[#Headers],0))</f>
        <v>59689</v>
      </c>
      <c r="F34" s="22">
        <f>INDEX(Data[],MATCH($A34,Data[Dist],0),MATCH(F$4,Data[#Headers],0))</f>
        <v>51474</v>
      </c>
      <c r="G34" s="22">
        <f>INDEX(Data[],MATCH($A34,Data[Dist],0),MATCH(G$4,Data[#Headers],0))</f>
        <v>272749</v>
      </c>
      <c r="H34" s="22">
        <f>INDEX(Data[],MATCH($A34,Data[Dist],0),MATCH(H$4,Data[#Headers],0))</f>
        <v>3965125</v>
      </c>
      <c r="I34" s="22">
        <f>INDEX(Data[],MATCH($A34,Data[Dist],0),MATCH(I$4,Data[#Headers],0))</f>
        <v>4942649</v>
      </c>
      <c r="J34" s="23"/>
    </row>
    <row r="35" spans="1:10" x14ac:dyDescent="0.2">
      <c r="A35" s="20" t="str">
        <f>Data!B31</f>
        <v>0603</v>
      </c>
      <c r="B35" s="21" t="str">
        <f>INDEX(Data[],MATCH($A35,Data[Dist],0),MATCH(B$4,Data[#Headers],0))</f>
        <v>Bennett</v>
      </c>
      <c r="C35" s="22">
        <f>INDEX(Data[],MATCH($A35,Data[Dist],0),MATCH(C$4,Data[#Headers],0))</f>
        <v>19005</v>
      </c>
      <c r="D35" s="22">
        <f>INDEX(Data[],MATCH($A35,Data[Dist],0),MATCH(D$4,Data[#Headers],0))</f>
        <v>110921</v>
      </c>
      <c r="E35" s="22">
        <f>INDEX(Data[],MATCH($A35,Data[Dist],0),MATCH(E$4,Data[#Headers],0))</f>
        <v>13499</v>
      </c>
      <c r="F35" s="22">
        <f>INDEX(Data[],MATCH($A35,Data[Dist],0),MATCH(F$4,Data[#Headers],0))</f>
        <v>8503</v>
      </c>
      <c r="G35" s="22">
        <f>INDEX(Data[],MATCH($A35,Data[Dist],0),MATCH(G$4,Data[#Headers],0))</f>
        <v>66229</v>
      </c>
      <c r="H35" s="22">
        <f>INDEX(Data[],MATCH($A35,Data[Dist],0),MATCH(H$4,Data[#Headers],0))</f>
        <v>813652</v>
      </c>
      <c r="I35" s="22">
        <f>INDEX(Data[],MATCH($A35,Data[Dist],0),MATCH(I$4,Data[#Headers],0))</f>
        <v>1031809</v>
      </c>
      <c r="J35" s="23"/>
    </row>
    <row r="36" spans="1:10" x14ac:dyDescent="0.2">
      <c r="A36" s="20" t="str">
        <f>Data!B32</f>
        <v>0609</v>
      </c>
      <c r="B36" s="21" t="str">
        <f>INDEX(Data[],MATCH($A36,Data[Dist],0),MATCH(B$4,Data[#Headers],0))</f>
        <v>Benton</v>
      </c>
      <c r="C36" s="22">
        <f>INDEX(Data[],MATCH($A36,Data[Dist],0),MATCH(C$4,Data[#Headers],0))</f>
        <v>391495</v>
      </c>
      <c r="D36" s="22">
        <f>INDEX(Data[],MATCH($A36,Data[Dist],0),MATCH(D$4,Data[#Headers],0))</f>
        <v>994615</v>
      </c>
      <c r="E36" s="22">
        <f>INDEX(Data[],MATCH($A36,Data[Dist],0),MATCH(E$4,Data[#Headers],0))</f>
        <v>104687</v>
      </c>
      <c r="F36" s="22">
        <f>INDEX(Data[],MATCH($A36,Data[Dist],0),MATCH(F$4,Data[#Headers],0))</f>
        <v>109776</v>
      </c>
      <c r="G36" s="22">
        <f>INDEX(Data[],MATCH($A36,Data[Dist],0),MATCH(G$4,Data[#Headers],0))</f>
        <v>566689</v>
      </c>
      <c r="H36" s="22">
        <f>INDEX(Data[],MATCH($A36,Data[Dist],0),MATCH(H$4,Data[#Headers],0))</f>
        <v>7484063</v>
      </c>
      <c r="I36" s="22">
        <f>INDEX(Data[],MATCH($A36,Data[Dist],0),MATCH(I$4,Data[#Headers],0))</f>
        <v>9651325</v>
      </c>
      <c r="J36" s="23"/>
    </row>
    <row r="37" spans="1:10" x14ac:dyDescent="0.2">
      <c r="A37" s="20" t="str">
        <f>Data!B33</f>
        <v>0621</v>
      </c>
      <c r="B37" s="21" t="str">
        <f>INDEX(Data[],MATCH($A37,Data[Dist],0),MATCH(B$4,Data[#Headers],0))</f>
        <v>Bettendorf</v>
      </c>
      <c r="C37" s="22">
        <f>INDEX(Data[],MATCH($A37,Data[Dist],0),MATCH(C$4,Data[#Headers],0))</f>
        <v>969234</v>
      </c>
      <c r="D37" s="22">
        <f>INDEX(Data[],MATCH($A37,Data[Dist],0),MATCH(D$4,Data[#Headers],0))</f>
        <v>2566830</v>
      </c>
      <c r="E37" s="22">
        <f>INDEX(Data[],MATCH($A37,Data[Dist],0),MATCH(E$4,Data[#Headers],0))</f>
        <v>297514</v>
      </c>
      <c r="F37" s="22">
        <f>INDEX(Data[],MATCH($A37,Data[Dist],0),MATCH(F$4,Data[#Headers],0))</f>
        <v>293456</v>
      </c>
      <c r="G37" s="22">
        <f>INDEX(Data[],MATCH($A37,Data[Dist],0),MATCH(G$4,Data[#Headers],0))</f>
        <v>1480459</v>
      </c>
      <c r="H37" s="22">
        <f>INDEX(Data[],MATCH($A37,Data[Dist],0),MATCH(H$4,Data[#Headers],0))</f>
        <v>22176053</v>
      </c>
      <c r="I37" s="22">
        <f>INDEX(Data[],MATCH($A37,Data[Dist],0),MATCH(I$4,Data[#Headers],0))</f>
        <v>27783546</v>
      </c>
      <c r="J37" s="23"/>
    </row>
    <row r="38" spans="1:10" x14ac:dyDescent="0.2">
      <c r="A38" s="20" t="str">
        <f>Data!B34</f>
        <v>0657</v>
      </c>
      <c r="B38" s="21" t="str">
        <f>INDEX(Data[],MATCH($A38,Data[Dist],0),MATCH(B$4,Data[#Headers],0))</f>
        <v>Eddyville-Blakesburg-Fremont</v>
      </c>
      <c r="C38" s="22">
        <f>INDEX(Data[],MATCH($A38,Data[Dist],0),MATCH(C$4,Data[#Headers],0))</f>
        <v>201449</v>
      </c>
      <c r="D38" s="22">
        <f>INDEX(Data[],MATCH($A38,Data[Dist],0),MATCH(D$4,Data[#Headers],0))</f>
        <v>561891</v>
      </c>
      <c r="E38" s="22">
        <f>INDEX(Data[],MATCH($A38,Data[Dist],0),MATCH(E$4,Data[#Headers],0))</f>
        <v>72194</v>
      </c>
      <c r="F38" s="22">
        <f>INDEX(Data[],MATCH($A38,Data[Dist],0),MATCH(F$4,Data[#Headers],0))</f>
        <v>59803</v>
      </c>
      <c r="G38" s="22">
        <f>INDEX(Data[],MATCH($A38,Data[Dist],0),MATCH(G$4,Data[#Headers],0))</f>
        <v>309390</v>
      </c>
      <c r="H38" s="22">
        <f>INDEX(Data[],MATCH($A38,Data[Dist],0),MATCH(H$4,Data[#Headers],0))</f>
        <v>3311003</v>
      </c>
      <c r="I38" s="22">
        <f>INDEX(Data[],MATCH($A38,Data[Dist],0),MATCH(I$4,Data[#Headers],0))</f>
        <v>4515730</v>
      </c>
      <c r="J38" s="23"/>
    </row>
    <row r="39" spans="1:10" x14ac:dyDescent="0.2">
      <c r="A39" s="20" t="str">
        <f>Data!B35</f>
        <v>0720</v>
      </c>
      <c r="B39" s="21" t="str">
        <f>INDEX(Data[],MATCH($A39,Data[Dist],0),MATCH(B$4,Data[#Headers],0))</f>
        <v>Bondurant-Farrar</v>
      </c>
      <c r="C39" s="22">
        <f>INDEX(Data[],MATCH($A39,Data[Dist],0),MATCH(C$4,Data[#Headers],0))</f>
        <v>414300</v>
      </c>
      <c r="D39" s="22">
        <f>INDEX(Data[],MATCH($A39,Data[Dist],0),MATCH(D$4,Data[#Headers],0))</f>
        <v>1574906</v>
      </c>
      <c r="E39" s="22">
        <f>INDEX(Data[],MATCH($A39,Data[Dist],0),MATCH(E$4,Data[#Headers],0))</f>
        <v>191384</v>
      </c>
      <c r="F39" s="22">
        <f>INDEX(Data[],MATCH($A39,Data[Dist],0),MATCH(F$4,Data[#Headers],0))</f>
        <v>164877</v>
      </c>
      <c r="G39" s="22">
        <f>INDEX(Data[],MATCH($A39,Data[Dist],0),MATCH(G$4,Data[#Headers],0))</f>
        <v>926816</v>
      </c>
      <c r="H39" s="22">
        <f>INDEX(Data[],MATCH($A39,Data[Dist],0),MATCH(H$4,Data[#Headers],0))</f>
        <v>15315598</v>
      </c>
      <c r="I39" s="22">
        <f>INDEX(Data[],MATCH($A39,Data[Dist],0),MATCH(I$4,Data[#Headers],0))</f>
        <v>18587881</v>
      </c>
      <c r="J39" s="23"/>
    </row>
    <row r="40" spans="1:10" x14ac:dyDescent="0.2">
      <c r="A40" s="20" t="str">
        <f>Data!B36</f>
        <v>0729</v>
      </c>
      <c r="B40" s="21" t="str">
        <f>INDEX(Data[],MATCH($A40,Data[Dist],0),MATCH(B$4,Data[#Headers],0))</f>
        <v>Boone</v>
      </c>
      <c r="C40" s="22">
        <f>INDEX(Data[],MATCH($A40,Data[Dist],0),MATCH(C$4,Data[#Headers],0))</f>
        <v>425702</v>
      </c>
      <c r="D40" s="22">
        <f>INDEX(Data[],MATCH($A40,Data[Dist],0),MATCH(D$4,Data[#Headers],0))</f>
        <v>1352554</v>
      </c>
      <c r="E40" s="22">
        <f>INDEX(Data[],MATCH($A40,Data[Dist],0),MATCH(E$4,Data[#Headers],0))</f>
        <v>156052</v>
      </c>
      <c r="F40" s="22">
        <f>INDEX(Data[],MATCH($A40,Data[Dist],0),MATCH(F$4,Data[#Headers],0))</f>
        <v>166871</v>
      </c>
      <c r="G40" s="22">
        <f>INDEX(Data[],MATCH($A40,Data[Dist],0),MATCH(G$4,Data[#Headers],0))</f>
        <v>750880</v>
      </c>
      <c r="H40" s="22">
        <f>INDEX(Data[],MATCH($A40,Data[Dist],0),MATCH(H$4,Data[#Headers],0))</f>
        <v>13397230</v>
      </c>
      <c r="I40" s="22">
        <f>INDEX(Data[],MATCH($A40,Data[Dist],0),MATCH(I$4,Data[#Headers],0))</f>
        <v>16249289</v>
      </c>
      <c r="J40" s="23"/>
    </row>
    <row r="41" spans="1:10" x14ac:dyDescent="0.2">
      <c r="A41" s="20" t="str">
        <f>Data!B37</f>
        <v>0747</v>
      </c>
      <c r="B41" s="21" t="str">
        <f>INDEX(Data[],MATCH($A41,Data[Dist],0),MATCH(B$4,Data[#Headers],0))</f>
        <v>Boyden-Hull</v>
      </c>
      <c r="C41" s="22">
        <f>INDEX(Data[],MATCH($A41,Data[Dist],0),MATCH(C$4,Data[#Headers],0))</f>
        <v>228055</v>
      </c>
      <c r="D41" s="22">
        <f>INDEX(Data[],MATCH($A41,Data[Dist],0),MATCH(D$4,Data[#Headers],0))</f>
        <v>368922</v>
      </c>
      <c r="E41" s="22">
        <f>INDEX(Data[],MATCH($A41,Data[Dist],0),MATCH(E$4,Data[#Headers],0))</f>
        <v>48874</v>
      </c>
      <c r="F41" s="22">
        <f>INDEX(Data[],MATCH($A41,Data[Dist],0),MATCH(F$4,Data[#Headers],0))</f>
        <v>40614</v>
      </c>
      <c r="G41" s="22">
        <f>INDEX(Data[],MATCH($A41,Data[Dist],0),MATCH(G$4,Data[#Headers],0))</f>
        <v>209509</v>
      </c>
      <c r="H41" s="22">
        <f>INDEX(Data[],MATCH($A41,Data[Dist],0),MATCH(H$4,Data[#Headers],0))</f>
        <v>3054469</v>
      </c>
      <c r="I41" s="22">
        <f>INDEX(Data[],MATCH($A41,Data[Dist],0),MATCH(I$4,Data[#Headers],0))</f>
        <v>3950443</v>
      </c>
      <c r="J41" s="23"/>
    </row>
    <row r="42" spans="1:10" x14ac:dyDescent="0.2">
      <c r="A42" s="20" t="str">
        <f>Data!B38</f>
        <v>0819</v>
      </c>
      <c r="B42" s="21" t="str">
        <f>INDEX(Data[],MATCH($A42,Data[Dist],0),MATCH(B$4,Data[#Headers],0))</f>
        <v>West Hancock</v>
      </c>
      <c r="C42" s="22">
        <f>INDEX(Data[],MATCH($A42,Data[Dist],0),MATCH(C$4,Data[#Headers],0))</f>
        <v>155838</v>
      </c>
      <c r="D42" s="22">
        <f>INDEX(Data[],MATCH($A42,Data[Dist],0),MATCH(D$4,Data[#Headers],0))</f>
        <v>369071</v>
      </c>
      <c r="E42" s="22">
        <f>INDEX(Data[],MATCH($A42,Data[Dist],0),MATCH(E$4,Data[#Headers],0))</f>
        <v>42814</v>
      </c>
      <c r="F42" s="22">
        <f>INDEX(Data[],MATCH($A42,Data[Dist],0),MATCH(F$4,Data[#Headers],0))</f>
        <v>38323</v>
      </c>
      <c r="G42" s="22">
        <f>INDEX(Data[],MATCH($A42,Data[Dist],0),MATCH(G$4,Data[#Headers],0))</f>
        <v>206119</v>
      </c>
      <c r="H42" s="22">
        <f>INDEX(Data[],MATCH($A42,Data[Dist],0),MATCH(H$4,Data[#Headers],0))</f>
        <v>2439170</v>
      </c>
      <c r="I42" s="22">
        <f>INDEX(Data[],MATCH($A42,Data[Dist],0),MATCH(I$4,Data[#Headers],0))</f>
        <v>3251335</v>
      </c>
      <c r="J42" s="23"/>
    </row>
    <row r="43" spans="1:10" x14ac:dyDescent="0.2">
      <c r="A43" s="20" t="str">
        <f>Data!B39</f>
        <v>0846</v>
      </c>
      <c r="B43" s="21" t="str">
        <f>INDEX(Data[],MATCH($A43,Data[Dist],0),MATCH(B$4,Data[#Headers],0))</f>
        <v>Brooklyn-Guernsey-Malcom</v>
      </c>
      <c r="C43" s="22">
        <f>INDEX(Data[],MATCH($A43,Data[Dist],0),MATCH(C$4,Data[#Headers],0))</f>
        <v>102625</v>
      </c>
      <c r="D43" s="22">
        <f>INDEX(Data[],MATCH($A43,Data[Dist],0),MATCH(D$4,Data[#Headers],0))</f>
        <v>353610</v>
      </c>
      <c r="E43" s="22">
        <f>INDEX(Data[],MATCH($A43,Data[Dist],0),MATCH(E$4,Data[#Headers],0))</f>
        <v>38476</v>
      </c>
      <c r="F43" s="22">
        <f>INDEX(Data[],MATCH($A43,Data[Dist],0),MATCH(F$4,Data[#Headers],0))</f>
        <v>35998</v>
      </c>
      <c r="G43" s="22">
        <f>INDEX(Data[],MATCH($A43,Data[Dist],0),MATCH(G$4,Data[#Headers],0))</f>
        <v>190278</v>
      </c>
      <c r="H43" s="22">
        <f>INDEX(Data[],MATCH($A43,Data[Dist],0),MATCH(H$4,Data[#Headers],0))</f>
        <v>2558634</v>
      </c>
      <c r="I43" s="22">
        <f>INDEX(Data[],MATCH($A43,Data[Dist],0),MATCH(I$4,Data[#Headers],0))</f>
        <v>3279621</v>
      </c>
      <c r="J43" s="23"/>
    </row>
    <row r="44" spans="1:10" x14ac:dyDescent="0.2">
      <c r="A44" s="20" t="str">
        <f>Data!B40</f>
        <v>0873</v>
      </c>
      <c r="B44" s="21" t="str">
        <f>INDEX(Data[],MATCH($A44,Data[Dist],0),MATCH(B$4,Data[#Headers],0))</f>
        <v>North Iowa</v>
      </c>
      <c r="C44" s="22">
        <f>INDEX(Data[],MATCH($A44,Data[Dist],0),MATCH(C$4,Data[#Headers],0))</f>
        <v>121629</v>
      </c>
      <c r="D44" s="22">
        <f>INDEX(Data[],MATCH($A44,Data[Dist],0),MATCH(D$4,Data[#Headers],0))</f>
        <v>334635</v>
      </c>
      <c r="E44" s="22">
        <f>INDEX(Data[],MATCH($A44,Data[Dist],0),MATCH(E$4,Data[#Headers],0))</f>
        <v>35262</v>
      </c>
      <c r="F44" s="22">
        <f>INDEX(Data[],MATCH($A44,Data[Dist],0),MATCH(F$4,Data[#Headers],0))</f>
        <v>36620</v>
      </c>
      <c r="G44" s="22">
        <f>INDEX(Data[],MATCH($A44,Data[Dist],0),MATCH(G$4,Data[#Headers],0))</f>
        <v>178184</v>
      </c>
      <c r="H44" s="22">
        <f>INDEX(Data[],MATCH($A44,Data[Dist],0),MATCH(H$4,Data[#Headers],0))</f>
        <v>1823362</v>
      </c>
      <c r="I44" s="22">
        <f>INDEX(Data[],MATCH($A44,Data[Dist],0),MATCH(I$4,Data[#Headers],0))</f>
        <v>2529692</v>
      </c>
      <c r="J44" s="23"/>
    </row>
    <row r="45" spans="1:10" x14ac:dyDescent="0.2">
      <c r="A45" s="20" t="str">
        <f>Data!B41</f>
        <v>0882</v>
      </c>
      <c r="B45" s="21" t="str">
        <f>INDEX(Data[],MATCH($A45,Data[Dist],0),MATCH(B$4,Data[#Headers],0))</f>
        <v>Burlington</v>
      </c>
      <c r="C45" s="22">
        <f>INDEX(Data[],MATCH($A45,Data[Dist],0),MATCH(C$4,Data[#Headers],0))</f>
        <v>589142</v>
      </c>
      <c r="D45" s="22">
        <f>INDEX(Data[],MATCH($A45,Data[Dist],0),MATCH(D$4,Data[#Headers],0))</f>
        <v>2489289</v>
      </c>
      <c r="E45" s="22">
        <f>INDEX(Data[],MATCH($A45,Data[Dist],0),MATCH(E$4,Data[#Headers],0))</f>
        <v>337150</v>
      </c>
      <c r="F45" s="22">
        <f>INDEX(Data[],MATCH($A45,Data[Dist],0),MATCH(F$4,Data[#Headers],0))</f>
        <v>274615</v>
      </c>
      <c r="G45" s="22">
        <f>INDEX(Data[],MATCH($A45,Data[Dist],0),MATCH(G$4,Data[#Headers],0))</f>
        <v>1422600</v>
      </c>
      <c r="H45" s="22">
        <f>INDEX(Data[],MATCH($A45,Data[Dist],0),MATCH(H$4,Data[#Headers],0))</f>
        <v>26227536</v>
      </c>
      <c r="I45" s="22">
        <f>INDEX(Data[],MATCH($A45,Data[Dist],0),MATCH(I$4,Data[#Headers],0))</f>
        <v>31340332</v>
      </c>
      <c r="J45" s="23"/>
    </row>
    <row r="46" spans="1:10" x14ac:dyDescent="0.2">
      <c r="A46" s="20" t="str">
        <f>Data!B42</f>
        <v>0914</v>
      </c>
      <c r="B46" s="21" t="str">
        <f>INDEX(Data[],MATCH($A46,Data[Dist],0),MATCH(B$4,Data[#Headers],0))</f>
        <v>CAM</v>
      </c>
      <c r="C46" s="22">
        <f>INDEX(Data[],MATCH($A46,Data[Dist],0),MATCH(C$4,Data[#Headers],0))</f>
        <v>95023</v>
      </c>
      <c r="D46" s="22">
        <f>INDEX(Data[],MATCH($A46,Data[Dist],0),MATCH(D$4,Data[#Headers],0))</f>
        <v>326530</v>
      </c>
      <c r="E46" s="22">
        <f>INDEX(Data[],MATCH($A46,Data[Dist],0),MATCH(E$4,Data[#Headers],0))</f>
        <v>34361</v>
      </c>
      <c r="F46" s="22">
        <f>INDEX(Data[],MATCH($A46,Data[Dist],0),MATCH(F$4,Data[#Headers],0))</f>
        <v>33336</v>
      </c>
      <c r="G46" s="22">
        <f>INDEX(Data[],MATCH($A46,Data[Dist],0),MATCH(G$4,Data[#Headers],0))</f>
        <v>170961</v>
      </c>
      <c r="H46" s="22">
        <f>INDEX(Data[],MATCH($A46,Data[Dist],0),MATCH(H$4,Data[#Headers],0))</f>
        <v>1165068</v>
      </c>
      <c r="I46" s="22">
        <f>INDEX(Data[],MATCH($A46,Data[Dist],0),MATCH(I$4,Data[#Headers],0))</f>
        <v>1825279</v>
      </c>
      <c r="J46" s="23"/>
    </row>
    <row r="47" spans="1:10" x14ac:dyDescent="0.2">
      <c r="A47" s="20" t="str">
        <f>Data!B43</f>
        <v>0916</v>
      </c>
      <c r="B47" s="21" t="str">
        <f>INDEX(Data[],MATCH($A47,Data[Dist],0),MATCH(B$4,Data[#Headers],0))</f>
        <v>CAL</v>
      </c>
      <c r="C47" s="22">
        <f>INDEX(Data[],MATCH($A47,Data[Dist],0),MATCH(C$4,Data[#Headers],0))</f>
        <v>53213</v>
      </c>
      <c r="D47" s="22">
        <f>INDEX(Data[],MATCH($A47,Data[Dist],0),MATCH(D$4,Data[#Headers],0))</f>
        <v>205161</v>
      </c>
      <c r="E47" s="22">
        <f>INDEX(Data[],MATCH($A47,Data[Dist],0),MATCH(E$4,Data[#Headers],0))</f>
        <v>23371</v>
      </c>
      <c r="F47" s="22">
        <f>INDEX(Data[],MATCH($A47,Data[Dist],0),MATCH(F$4,Data[#Headers],0))</f>
        <v>22666</v>
      </c>
      <c r="G47" s="22">
        <f>INDEX(Data[],MATCH($A47,Data[Dist],0),MATCH(G$4,Data[#Headers],0))</f>
        <v>103483</v>
      </c>
      <c r="H47" s="22">
        <f>INDEX(Data[],MATCH($A47,Data[Dist],0),MATCH(H$4,Data[#Headers],0))</f>
        <v>1476754</v>
      </c>
      <c r="I47" s="22">
        <f>INDEX(Data[],MATCH($A47,Data[Dist],0),MATCH(I$4,Data[#Headers],0))</f>
        <v>1884648</v>
      </c>
      <c r="J47" s="23"/>
    </row>
    <row r="48" spans="1:10" x14ac:dyDescent="0.2">
      <c r="A48" s="20" t="str">
        <f>Data!B44</f>
        <v>0918</v>
      </c>
      <c r="B48" s="21" t="str">
        <f>INDEX(Data[],MATCH($A48,Data[Dist],0),MATCH(B$4,Data[#Headers],0))</f>
        <v>Calamus-Wheatland</v>
      </c>
      <c r="C48" s="22">
        <f>INDEX(Data[],MATCH($A48,Data[Dist],0),MATCH(C$4,Data[#Headers],0))</f>
        <v>45611</v>
      </c>
      <c r="D48" s="22">
        <f>INDEX(Data[],MATCH($A48,Data[Dist],0),MATCH(D$4,Data[#Headers],0))</f>
        <v>272923</v>
      </c>
      <c r="E48" s="22">
        <f>INDEX(Data[],MATCH($A48,Data[Dist],0),MATCH(E$4,Data[#Headers],0))</f>
        <v>31598</v>
      </c>
      <c r="F48" s="22">
        <f>INDEX(Data[],MATCH($A48,Data[Dist],0),MATCH(F$4,Data[#Headers],0))</f>
        <v>29955</v>
      </c>
      <c r="G48" s="22">
        <f>INDEX(Data[],MATCH($A48,Data[Dist],0),MATCH(G$4,Data[#Headers],0))</f>
        <v>140520</v>
      </c>
      <c r="H48" s="22">
        <f>INDEX(Data[],MATCH($A48,Data[Dist],0),MATCH(H$4,Data[#Headers],0))</f>
        <v>1835887</v>
      </c>
      <c r="I48" s="22">
        <f>INDEX(Data[],MATCH($A48,Data[Dist],0),MATCH(I$4,Data[#Headers],0))</f>
        <v>2356494</v>
      </c>
      <c r="J48" s="23"/>
    </row>
    <row r="49" spans="1:10" x14ac:dyDescent="0.2">
      <c r="A49" s="20" t="str">
        <f>Data!B45</f>
        <v>0936</v>
      </c>
      <c r="B49" s="21" t="str">
        <f>INDEX(Data[],MATCH($A49,Data[Dist],0),MATCH(B$4,Data[#Headers],0))</f>
        <v>Camanche</v>
      </c>
      <c r="C49" s="22">
        <f>INDEX(Data[],MATCH($A49,Data[Dist],0),MATCH(C$4,Data[#Headers],0))</f>
        <v>209051</v>
      </c>
      <c r="D49" s="22">
        <f>INDEX(Data[],MATCH($A49,Data[Dist],0),MATCH(D$4,Data[#Headers],0))</f>
        <v>569921</v>
      </c>
      <c r="E49" s="22">
        <f>INDEX(Data[],MATCH($A49,Data[Dist],0),MATCH(E$4,Data[#Headers],0))</f>
        <v>70933</v>
      </c>
      <c r="F49" s="22">
        <f>INDEX(Data[],MATCH($A49,Data[Dist],0),MATCH(F$4,Data[#Headers],0))</f>
        <v>60288</v>
      </c>
      <c r="G49" s="22">
        <f>INDEX(Data[],MATCH($A49,Data[Dist],0),MATCH(G$4,Data[#Headers],0))</f>
        <v>314835</v>
      </c>
      <c r="H49" s="22">
        <f>INDEX(Data[],MATCH($A49,Data[Dist],0),MATCH(H$4,Data[#Headers],0))</f>
        <v>4494604</v>
      </c>
      <c r="I49" s="22">
        <f>INDEX(Data[],MATCH($A49,Data[Dist],0),MATCH(I$4,Data[#Headers],0))</f>
        <v>5719632</v>
      </c>
      <c r="J49" s="23"/>
    </row>
    <row r="50" spans="1:10" x14ac:dyDescent="0.2">
      <c r="A50" s="20" t="str">
        <f>Data!B46</f>
        <v>0977</v>
      </c>
      <c r="B50" s="21" t="str">
        <f>INDEX(Data[],MATCH($A50,Data[Dist],0),MATCH(B$4,Data[#Headers],0))</f>
        <v>Cardinal</v>
      </c>
      <c r="C50" s="22">
        <f>INDEX(Data[],MATCH($A50,Data[Dist],0),MATCH(C$4,Data[#Headers],0))</f>
        <v>273666</v>
      </c>
      <c r="D50" s="22">
        <f>INDEX(Data[],MATCH($A50,Data[Dist],0),MATCH(D$4,Data[#Headers],0))</f>
        <v>392131</v>
      </c>
      <c r="E50" s="22">
        <f>INDEX(Data[],MATCH($A50,Data[Dist],0),MATCH(E$4,Data[#Headers],0))</f>
        <v>48702</v>
      </c>
      <c r="F50" s="22">
        <f>INDEX(Data[],MATCH($A50,Data[Dist],0),MATCH(F$4,Data[#Headers],0))</f>
        <v>37404</v>
      </c>
      <c r="G50" s="22">
        <f>INDEX(Data[],MATCH($A50,Data[Dist],0),MATCH(G$4,Data[#Headers],0))</f>
        <v>211352</v>
      </c>
      <c r="H50" s="22">
        <f>INDEX(Data[],MATCH($A50,Data[Dist],0),MATCH(H$4,Data[#Headers],0))</f>
        <v>3677273</v>
      </c>
      <c r="I50" s="22">
        <f>INDEX(Data[],MATCH($A50,Data[Dist],0),MATCH(I$4,Data[#Headers],0))</f>
        <v>4640528</v>
      </c>
      <c r="J50" s="23"/>
    </row>
    <row r="51" spans="1:10" x14ac:dyDescent="0.2">
      <c r="A51" s="20" t="str">
        <f>Data!B47</f>
        <v>0981</v>
      </c>
      <c r="B51" s="21" t="str">
        <f>INDEX(Data[],MATCH($A51,Data[Dist],0),MATCH(B$4,Data[#Headers],0))</f>
        <v>Carlisle</v>
      </c>
      <c r="C51" s="22">
        <f>INDEX(Data[],MATCH($A51,Data[Dist],0),MATCH(C$4,Data[#Headers],0))</f>
        <v>437106</v>
      </c>
      <c r="D51" s="22">
        <f>INDEX(Data[],MATCH($A51,Data[Dist],0),MATCH(D$4,Data[#Headers],0))</f>
        <v>1281550</v>
      </c>
      <c r="E51" s="22">
        <f>INDEX(Data[],MATCH($A51,Data[Dist],0),MATCH(E$4,Data[#Headers],0))</f>
        <v>156436</v>
      </c>
      <c r="F51" s="22">
        <f>INDEX(Data[],MATCH($A51,Data[Dist],0),MATCH(F$4,Data[#Headers],0))</f>
        <v>132565</v>
      </c>
      <c r="G51" s="22">
        <f>INDEX(Data[],MATCH($A51,Data[Dist],0),MATCH(G$4,Data[#Headers],0))</f>
        <v>741114</v>
      </c>
      <c r="H51" s="22">
        <f>INDEX(Data[],MATCH($A51,Data[Dist],0),MATCH(H$4,Data[#Headers],0))</f>
        <v>13610160</v>
      </c>
      <c r="I51" s="22">
        <f>INDEX(Data[],MATCH($A51,Data[Dist],0),MATCH(I$4,Data[#Headers],0))</f>
        <v>16358931</v>
      </c>
      <c r="J51" s="23"/>
    </row>
    <row r="52" spans="1:10" x14ac:dyDescent="0.2">
      <c r="A52" s="20" t="str">
        <f>Data!B48</f>
        <v>0999</v>
      </c>
      <c r="B52" s="21" t="str">
        <f>INDEX(Data[],MATCH($A52,Data[Dist],0),MATCH(B$4,Data[#Headers],0))</f>
        <v>Carroll</v>
      </c>
      <c r="C52" s="22">
        <f>INDEX(Data[],MATCH($A52,Data[Dist],0),MATCH(C$4,Data[#Headers],0))</f>
        <v>623350</v>
      </c>
      <c r="D52" s="22">
        <f>INDEX(Data[],MATCH($A52,Data[Dist],0),MATCH(D$4,Data[#Headers],0))</f>
        <v>1047279</v>
      </c>
      <c r="E52" s="22">
        <f>INDEX(Data[],MATCH($A52,Data[Dist],0),MATCH(E$4,Data[#Headers],0))</f>
        <v>122267</v>
      </c>
      <c r="F52" s="22">
        <f>INDEX(Data[],MATCH($A52,Data[Dist],0),MATCH(F$4,Data[#Headers],0))</f>
        <v>120277</v>
      </c>
      <c r="G52" s="22">
        <f>INDEX(Data[],MATCH($A52,Data[Dist],0),MATCH(G$4,Data[#Headers],0))</f>
        <v>606121</v>
      </c>
      <c r="H52" s="22">
        <f>INDEX(Data[],MATCH($A52,Data[Dist],0),MATCH(H$4,Data[#Headers],0))</f>
        <v>7120275</v>
      </c>
      <c r="I52" s="22">
        <f>INDEX(Data[],MATCH($A52,Data[Dist],0),MATCH(I$4,Data[#Headers],0))</f>
        <v>9639569</v>
      </c>
      <c r="J52" s="23"/>
    </row>
    <row r="53" spans="1:10" x14ac:dyDescent="0.2">
      <c r="A53" s="20" t="str">
        <f>Data!B49</f>
        <v>1044</v>
      </c>
      <c r="B53" s="21" t="str">
        <f>INDEX(Data[],MATCH($A53,Data[Dist],0),MATCH(B$4,Data[#Headers],0))</f>
        <v>Cedar Falls</v>
      </c>
      <c r="C53" s="22">
        <f>INDEX(Data[],MATCH($A53,Data[Dist],0),MATCH(C$4,Data[#Headers],0))</f>
        <v>642355</v>
      </c>
      <c r="D53" s="22">
        <f>INDEX(Data[],MATCH($A53,Data[Dist],0),MATCH(D$4,Data[#Headers],0))</f>
        <v>3551743</v>
      </c>
      <c r="E53" s="22">
        <f>INDEX(Data[],MATCH($A53,Data[Dist],0),MATCH(E$4,Data[#Headers],0))</f>
        <v>422840</v>
      </c>
      <c r="F53" s="22">
        <f>INDEX(Data[],MATCH($A53,Data[Dist],0),MATCH(F$4,Data[#Headers],0))</f>
        <v>419472</v>
      </c>
      <c r="G53" s="22">
        <f>INDEX(Data[],MATCH($A53,Data[Dist],0),MATCH(G$4,Data[#Headers],0))</f>
        <v>2034322</v>
      </c>
      <c r="H53" s="22">
        <f>INDEX(Data[],MATCH($A53,Data[Dist],0),MATCH(H$4,Data[#Headers],0))</f>
        <v>31188144</v>
      </c>
      <c r="I53" s="22">
        <f>INDEX(Data[],MATCH($A53,Data[Dist],0),MATCH(I$4,Data[#Headers],0))</f>
        <v>38258876</v>
      </c>
      <c r="J53" s="23"/>
    </row>
    <row r="54" spans="1:10" x14ac:dyDescent="0.2">
      <c r="A54" s="20" t="str">
        <f>Data!B50</f>
        <v>1053</v>
      </c>
      <c r="B54" s="21" t="str">
        <f>INDEX(Data[],MATCH($A54,Data[Dist],0),MATCH(B$4,Data[#Headers],0))</f>
        <v>Cedar Rapids</v>
      </c>
      <c r="C54" s="22">
        <f>INDEX(Data[],MATCH($A54,Data[Dist],0),MATCH(C$4,Data[#Headers],0))</f>
        <v>2668149</v>
      </c>
      <c r="D54" s="22">
        <f>INDEX(Data[],MATCH($A54,Data[Dist],0),MATCH(D$4,Data[#Headers],0))</f>
        <v>10271884</v>
      </c>
      <c r="E54" s="22">
        <f>INDEX(Data[],MATCH($A54,Data[Dist],0),MATCH(E$4,Data[#Headers],0))</f>
        <v>1315844</v>
      </c>
      <c r="F54" s="22">
        <f>INDEX(Data[],MATCH($A54,Data[Dist],0),MATCH(F$4,Data[#Headers],0))</f>
        <v>1206204</v>
      </c>
      <c r="G54" s="22">
        <f>INDEX(Data[],MATCH($A54,Data[Dist],0),MATCH(G$4,Data[#Headers],0))</f>
        <v>5881481</v>
      </c>
      <c r="H54" s="22">
        <f>INDEX(Data[],MATCH($A54,Data[Dist],0),MATCH(H$4,Data[#Headers],0))</f>
        <v>94658429</v>
      </c>
      <c r="I54" s="22">
        <f>INDEX(Data[],MATCH($A54,Data[Dist],0),MATCH(I$4,Data[#Headers],0))</f>
        <v>116001991</v>
      </c>
      <c r="J54" s="23"/>
    </row>
    <row r="55" spans="1:10" x14ac:dyDescent="0.2">
      <c r="A55" s="20" t="str">
        <f>Data!B51</f>
        <v>1062</v>
      </c>
      <c r="B55" s="21" t="str">
        <f>INDEX(Data[],MATCH($A55,Data[Dist],0),MATCH(B$4,Data[#Headers],0))</f>
        <v>Center Point-Urbana</v>
      </c>
      <c r="C55" s="22">
        <f>INDEX(Data[],MATCH($A55,Data[Dist],0),MATCH(C$4,Data[#Headers],0))</f>
        <v>254662</v>
      </c>
      <c r="D55" s="22">
        <f>INDEX(Data[],MATCH($A55,Data[Dist],0),MATCH(D$4,Data[#Headers],0))</f>
        <v>790851</v>
      </c>
      <c r="E55" s="22">
        <f>INDEX(Data[],MATCH($A55,Data[Dist],0),MATCH(E$4,Data[#Headers],0))</f>
        <v>91093</v>
      </c>
      <c r="F55" s="22">
        <f>INDEX(Data[],MATCH($A55,Data[Dist],0),MATCH(F$4,Data[#Headers],0))</f>
        <v>87906</v>
      </c>
      <c r="G55" s="22">
        <f>INDEX(Data[],MATCH($A55,Data[Dist],0),MATCH(G$4,Data[#Headers],0))</f>
        <v>449003</v>
      </c>
      <c r="H55" s="22">
        <f>INDEX(Data[],MATCH($A55,Data[Dist],0),MATCH(H$4,Data[#Headers],0))</f>
        <v>7231485</v>
      </c>
      <c r="I55" s="22">
        <f>INDEX(Data[],MATCH($A55,Data[Dist],0),MATCH(I$4,Data[#Headers],0))</f>
        <v>8905000</v>
      </c>
      <c r="J55" s="23"/>
    </row>
    <row r="56" spans="1:10" x14ac:dyDescent="0.2">
      <c r="A56" s="20" t="str">
        <f>Data!B52</f>
        <v>1071</v>
      </c>
      <c r="B56" s="21" t="str">
        <f>INDEX(Data[],MATCH($A56,Data[Dist],0),MATCH(B$4,Data[#Headers],0))</f>
        <v>Centerville</v>
      </c>
      <c r="C56" s="22">
        <f>INDEX(Data[],MATCH($A56,Data[Dist],0),MATCH(C$4,Data[#Headers],0))</f>
        <v>243259</v>
      </c>
      <c r="D56" s="22">
        <f>INDEX(Data[],MATCH($A56,Data[Dist],0),MATCH(D$4,Data[#Headers],0))</f>
        <v>872449</v>
      </c>
      <c r="E56" s="22">
        <f>INDEX(Data[],MATCH($A56,Data[Dist],0),MATCH(E$4,Data[#Headers],0))</f>
        <v>105945</v>
      </c>
      <c r="F56" s="22">
        <f>INDEX(Data[],MATCH($A56,Data[Dist],0),MATCH(F$4,Data[#Headers],0))</f>
        <v>99898</v>
      </c>
      <c r="G56" s="22">
        <f>INDEX(Data[],MATCH($A56,Data[Dist],0),MATCH(G$4,Data[#Headers],0))</f>
        <v>490808</v>
      </c>
      <c r="H56" s="22">
        <f>INDEX(Data[],MATCH($A56,Data[Dist],0),MATCH(H$4,Data[#Headers],0))</f>
        <v>9098152</v>
      </c>
      <c r="I56" s="22">
        <f>INDEX(Data[],MATCH($A56,Data[Dist],0),MATCH(I$4,Data[#Headers],0))</f>
        <v>10910511</v>
      </c>
      <c r="J56" s="23"/>
    </row>
    <row r="57" spans="1:10" x14ac:dyDescent="0.2">
      <c r="A57" s="20" t="str">
        <f>Data!B53</f>
        <v>1079</v>
      </c>
      <c r="B57" s="21" t="str">
        <f>INDEX(Data[],MATCH($A57,Data[Dist],0),MATCH(B$4,Data[#Headers],0))</f>
        <v>Central Lee</v>
      </c>
      <c r="C57" s="22">
        <f>INDEX(Data[],MATCH($A57,Data[Dist],0),MATCH(C$4,Data[#Headers],0))</f>
        <v>224254</v>
      </c>
      <c r="D57" s="22">
        <f>INDEX(Data[],MATCH($A57,Data[Dist],0),MATCH(D$4,Data[#Headers],0))</f>
        <v>547562</v>
      </c>
      <c r="E57" s="22">
        <f>INDEX(Data[],MATCH($A57,Data[Dist],0),MATCH(E$4,Data[#Headers],0))</f>
        <v>60674</v>
      </c>
      <c r="F57" s="22">
        <f>INDEX(Data[],MATCH($A57,Data[Dist],0),MATCH(F$4,Data[#Headers],0))</f>
        <v>69372</v>
      </c>
      <c r="G57" s="22">
        <f>INDEX(Data[],MATCH($A57,Data[Dist],0),MATCH(G$4,Data[#Headers],0))</f>
        <v>295966</v>
      </c>
      <c r="H57" s="22">
        <f>INDEX(Data[],MATCH($A57,Data[Dist],0),MATCH(H$4,Data[#Headers],0))</f>
        <v>3985978</v>
      </c>
      <c r="I57" s="22">
        <f>INDEX(Data[],MATCH($A57,Data[Dist],0),MATCH(I$4,Data[#Headers],0))</f>
        <v>5183806</v>
      </c>
      <c r="J57" s="23"/>
    </row>
    <row r="58" spans="1:10" x14ac:dyDescent="0.2">
      <c r="A58" s="20" t="str">
        <f>Data!B54</f>
        <v>1080</v>
      </c>
      <c r="B58" s="21" t="str">
        <f>INDEX(Data[],MATCH($A58,Data[Dist],0),MATCH(B$4,Data[#Headers],0))</f>
        <v>Central Clayton</v>
      </c>
      <c r="C58" s="22">
        <f>INDEX(Data[],MATCH($A58,Data[Dist],0),MATCH(C$4,Data[#Headers],0))</f>
        <v>125431</v>
      </c>
      <c r="D58" s="22">
        <f>INDEX(Data[],MATCH($A58,Data[Dist],0),MATCH(D$4,Data[#Headers],0))</f>
        <v>302811</v>
      </c>
      <c r="E58" s="22">
        <f>INDEX(Data[],MATCH($A58,Data[Dist],0),MATCH(E$4,Data[#Headers],0))</f>
        <v>31655</v>
      </c>
      <c r="F58" s="22">
        <f>INDEX(Data[],MATCH($A58,Data[Dist],0),MATCH(F$4,Data[#Headers],0))</f>
        <v>31678</v>
      </c>
      <c r="G58" s="22">
        <f>INDEX(Data[],MATCH($A58,Data[Dist],0),MATCH(G$4,Data[#Headers],0))</f>
        <v>166465</v>
      </c>
      <c r="H58" s="22">
        <f>INDEX(Data[],MATCH($A58,Data[Dist],0),MATCH(H$4,Data[#Headers],0))</f>
        <v>2458760</v>
      </c>
      <c r="I58" s="22">
        <f>INDEX(Data[],MATCH($A58,Data[Dist],0),MATCH(I$4,Data[#Headers],0))</f>
        <v>3116800</v>
      </c>
      <c r="J58" s="23"/>
    </row>
    <row r="59" spans="1:10" x14ac:dyDescent="0.2">
      <c r="A59" s="20" t="str">
        <f>Data!B55</f>
        <v>1082</v>
      </c>
      <c r="B59" s="21" t="str">
        <f>INDEX(Data[],MATCH($A59,Data[Dist],0),MATCH(B$4,Data[#Headers],0))</f>
        <v>Central De Witt</v>
      </c>
      <c r="C59" s="22">
        <f>INDEX(Data[],MATCH($A59,Data[Dist],0),MATCH(C$4,Data[#Headers],0))</f>
        <v>345884</v>
      </c>
      <c r="D59" s="22">
        <f>INDEX(Data[],MATCH($A59,Data[Dist],0),MATCH(D$4,Data[#Headers],0))</f>
        <v>972673</v>
      </c>
      <c r="E59" s="22">
        <f>INDEX(Data[],MATCH($A59,Data[Dist],0),MATCH(E$4,Data[#Headers],0))</f>
        <v>101834</v>
      </c>
      <c r="F59" s="22">
        <f>INDEX(Data[],MATCH($A59,Data[Dist],0),MATCH(F$4,Data[#Headers],0))</f>
        <v>105902</v>
      </c>
      <c r="G59" s="22">
        <f>INDEX(Data[],MATCH($A59,Data[Dist],0),MATCH(G$4,Data[#Headers],0))</f>
        <v>535437</v>
      </c>
      <c r="H59" s="22">
        <f>INDEX(Data[],MATCH($A59,Data[Dist],0),MATCH(H$4,Data[#Headers],0))</f>
        <v>7782121</v>
      </c>
      <c r="I59" s="22">
        <f>INDEX(Data[],MATCH($A59,Data[Dist],0),MATCH(I$4,Data[#Headers],0))</f>
        <v>9843851</v>
      </c>
      <c r="J59" s="23"/>
    </row>
    <row r="60" spans="1:10" x14ac:dyDescent="0.2">
      <c r="A60" s="20" t="str">
        <f>Data!B56</f>
        <v>1089</v>
      </c>
      <c r="B60" s="21" t="str">
        <f>INDEX(Data[],MATCH($A60,Data[Dist],0),MATCH(B$4,Data[#Headers],0))</f>
        <v>Central City</v>
      </c>
      <c r="C60" s="22">
        <f>INDEX(Data[],MATCH($A60,Data[Dist],0),MATCH(C$4,Data[#Headers],0))</f>
        <v>64616</v>
      </c>
      <c r="D60" s="22">
        <f>INDEX(Data[],MATCH($A60,Data[Dist],0),MATCH(D$4,Data[#Headers],0))</f>
        <v>316086</v>
      </c>
      <c r="E60" s="22">
        <f>INDEX(Data[],MATCH($A60,Data[Dist],0),MATCH(E$4,Data[#Headers],0))</f>
        <v>35644</v>
      </c>
      <c r="F60" s="22">
        <f>INDEX(Data[],MATCH($A60,Data[Dist],0),MATCH(F$4,Data[#Headers],0))</f>
        <v>31374</v>
      </c>
      <c r="G60" s="22">
        <f>INDEX(Data[],MATCH($A60,Data[Dist],0),MATCH(G$4,Data[#Headers],0))</f>
        <v>166234</v>
      </c>
      <c r="H60" s="22">
        <f>INDEX(Data[],MATCH($A60,Data[Dist],0),MATCH(H$4,Data[#Headers],0))</f>
        <v>2429529</v>
      </c>
      <c r="I60" s="22">
        <f>INDEX(Data[],MATCH($A60,Data[Dist],0),MATCH(I$4,Data[#Headers],0))</f>
        <v>3043483</v>
      </c>
      <c r="J60" s="23"/>
    </row>
    <row r="61" spans="1:10" x14ac:dyDescent="0.2">
      <c r="A61" s="20" t="str">
        <f>Data!B57</f>
        <v>1093</v>
      </c>
      <c r="B61" s="21" t="str">
        <f>INDEX(Data[],MATCH($A61,Data[Dist],0),MATCH(B$4,Data[#Headers],0))</f>
        <v>Central Decatur</v>
      </c>
      <c r="C61" s="22">
        <f>INDEX(Data[],MATCH($A61,Data[Dist],0),MATCH(C$4,Data[#Headers],0))</f>
        <v>155838</v>
      </c>
      <c r="D61" s="22">
        <f>INDEX(Data[],MATCH($A61,Data[Dist],0),MATCH(D$4,Data[#Headers],0))</f>
        <v>436458</v>
      </c>
      <c r="E61" s="22">
        <f>INDEX(Data[],MATCH($A61,Data[Dist],0),MATCH(E$4,Data[#Headers],0))</f>
        <v>58094</v>
      </c>
      <c r="F61" s="22">
        <f>INDEX(Data[],MATCH($A61,Data[Dist],0),MATCH(F$4,Data[#Headers],0))</f>
        <v>45593</v>
      </c>
      <c r="G61" s="22">
        <f>INDEX(Data[],MATCH($A61,Data[Dist],0),MATCH(G$4,Data[#Headers],0))</f>
        <v>236854</v>
      </c>
      <c r="H61" s="22">
        <f>INDEX(Data[],MATCH($A61,Data[Dist],0),MATCH(H$4,Data[#Headers],0))</f>
        <v>4560291</v>
      </c>
      <c r="I61" s="22">
        <f>INDEX(Data[],MATCH($A61,Data[Dist],0),MATCH(I$4,Data[#Headers],0))</f>
        <v>5493128</v>
      </c>
      <c r="J61" s="23"/>
    </row>
    <row r="62" spans="1:10" x14ac:dyDescent="0.2">
      <c r="A62" s="20" t="str">
        <f>Data!B58</f>
        <v>1095</v>
      </c>
      <c r="B62" s="21" t="str">
        <f>INDEX(Data[],MATCH($A62,Data[Dist],0),MATCH(B$4,Data[#Headers],0))</f>
        <v>Central Lyon</v>
      </c>
      <c r="C62" s="22">
        <f>INDEX(Data[],MATCH($A62,Data[Dist],0),MATCH(C$4,Data[#Headers],0))</f>
        <v>167240</v>
      </c>
      <c r="D62" s="22">
        <f>INDEX(Data[],MATCH($A62,Data[Dist],0),MATCH(D$4,Data[#Headers],0))</f>
        <v>488738</v>
      </c>
      <c r="E62" s="22">
        <f>INDEX(Data[],MATCH($A62,Data[Dist],0),MATCH(E$4,Data[#Headers],0))</f>
        <v>52983</v>
      </c>
      <c r="F62" s="22">
        <f>INDEX(Data[],MATCH($A62,Data[Dist],0),MATCH(F$4,Data[#Headers],0))</f>
        <v>56197</v>
      </c>
      <c r="G62" s="22">
        <f>INDEX(Data[],MATCH($A62,Data[Dist],0),MATCH(G$4,Data[#Headers],0))</f>
        <v>281962</v>
      </c>
      <c r="H62" s="22">
        <f>INDEX(Data[],MATCH($A62,Data[Dist],0),MATCH(H$4,Data[#Headers],0))</f>
        <v>4072228</v>
      </c>
      <c r="I62" s="22">
        <f>INDEX(Data[],MATCH($A62,Data[Dist],0),MATCH(I$4,Data[#Headers],0))</f>
        <v>5119348</v>
      </c>
      <c r="J62" s="23"/>
    </row>
    <row r="63" spans="1:10" x14ac:dyDescent="0.2">
      <c r="A63" s="20" t="str">
        <f>Data!B59</f>
        <v>1107</v>
      </c>
      <c r="B63" s="21" t="str">
        <f>INDEX(Data[],MATCH($A63,Data[Dist],0),MATCH(B$4,Data[#Headers],0))</f>
        <v>Chariton</v>
      </c>
      <c r="C63" s="22">
        <f>INDEX(Data[],MATCH($A63,Data[Dist],0),MATCH(C$4,Data[#Headers],0))</f>
        <v>220453</v>
      </c>
      <c r="D63" s="22">
        <f>INDEX(Data[],MATCH($A63,Data[Dist],0),MATCH(D$4,Data[#Headers],0))</f>
        <v>820154</v>
      </c>
      <c r="E63" s="22">
        <f>INDEX(Data[],MATCH($A63,Data[Dist],0),MATCH(E$4,Data[#Headers],0))</f>
        <v>111760</v>
      </c>
      <c r="F63" s="22">
        <f>INDEX(Data[],MATCH($A63,Data[Dist],0),MATCH(F$4,Data[#Headers],0))</f>
        <v>88292</v>
      </c>
      <c r="G63" s="22">
        <f>INDEX(Data[],MATCH($A63,Data[Dist],0),MATCH(G$4,Data[#Headers],0))</f>
        <v>468512</v>
      </c>
      <c r="H63" s="22">
        <f>INDEX(Data[],MATCH($A63,Data[Dist],0),MATCH(H$4,Data[#Headers],0))</f>
        <v>8033480</v>
      </c>
      <c r="I63" s="22">
        <f>INDEX(Data[],MATCH($A63,Data[Dist],0),MATCH(I$4,Data[#Headers],0))</f>
        <v>9742651</v>
      </c>
      <c r="J63" s="23"/>
    </row>
    <row r="64" spans="1:10" x14ac:dyDescent="0.2">
      <c r="A64" s="20" t="str">
        <f>Data!B60</f>
        <v>1116</v>
      </c>
      <c r="B64" s="21" t="str">
        <f>INDEX(Data[],MATCH($A64,Data[Dist],0),MATCH(B$4,Data[#Headers],0))</f>
        <v>Charles City</v>
      </c>
      <c r="C64" s="22">
        <f>INDEX(Data[],MATCH($A64,Data[Dist],0),MATCH(C$4,Data[#Headers],0))</f>
        <v>284975</v>
      </c>
      <c r="D64" s="22">
        <f>INDEX(Data[],MATCH($A64,Data[Dist],0),MATCH(D$4,Data[#Headers],0))</f>
        <v>985569</v>
      </c>
      <c r="E64" s="22">
        <f>INDEX(Data[],MATCH($A64,Data[Dist],0),MATCH(E$4,Data[#Headers],0))</f>
        <v>115468</v>
      </c>
      <c r="F64" s="22">
        <f>INDEX(Data[],MATCH($A64,Data[Dist],0),MATCH(F$4,Data[#Headers],0))</f>
        <v>116028</v>
      </c>
      <c r="G64" s="22">
        <f>INDEX(Data[],MATCH($A64,Data[Dist],0),MATCH(G$4,Data[#Headers],0))</f>
        <v>556200</v>
      </c>
      <c r="H64" s="22">
        <f>INDEX(Data[],MATCH($A64,Data[Dist],0),MATCH(H$4,Data[#Headers],0))</f>
        <v>9000355</v>
      </c>
      <c r="I64" s="22">
        <f>INDEX(Data[],MATCH($A64,Data[Dist],0),MATCH(I$4,Data[#Headers],0))</f>
        <v>11058595</v>
      </c>
      <c r="J64" s="23"/>
    </row>
    <row r="65" spans="1:10" x14ac:dyDescent="0.2">
      <c r="A65" s="20" t="str">
        <f>Data!B61</f>
        <v>1134</v>
      </c>
      <c r="B65" s="21" t="str">
        <f>INDEX(Data[],MATCH($A65,Data[Dist],0),MATCH(B$4,Data[#Headers],0))</f>
        <v>Charter Oak-Ute</v>
      </c>
      <c r="C65" s="22">
        <f>INDEX(Data[],MATCH($A65,Data[Dist],0),MATCH(C$4,Data[#Headers],0))</f>
        <v>49412</v>
      </c>
      <c r="D65" s="22">
        <f>INDEX(Data[],MATCH($A65,Data[Dist],0),MATCH(D$4,Data[#Headers],0))</f>
        <v>207310</v>
      </c>
      <c r="E65" s="22">
        <f>INDEX(Data[],MATCH($A65,Data[Dist],0),MATCH(E$4,Data[#Headers],0))</f>
        <v>23975</v>
      </c>
      <c r="F65" s="22">
        <f>INDEX(Data[],MATCH($A65,Data[Dist],0),MATCH(F$4,Data[#Headers],0))</f>
        <v>21896</v>
      </c>
      <c r="G65" s="22">
        <f>INDEX(Data[],MATCH($A65,Data[Dist],0),MATCH(G$4,Data[#Headers],0))</f>
        <v>105842</v>
      </c>
      <c r="H65" s="22">
        <f>INDEX(Data[],MATCH($A65,Data[Dist],0),MATCH(H$4,Data[#Headers],0))</f>
        <v>1324161</v>
      </c>
      <c r="I65" s="22">
        <f>INDEX(Data[],MATCH($A65,Data[Dist],0),MATCH(I$4,Data[#Headers],0))</f>
        <v>1732596</v>
      </c>
      <c r="J65" s="23"/>
    </row>
    <row r="66" spans="1:10" x14ac:dyDescent="0.2">
      <c r="A66" s="20" t="str">
        <f>Data!B62</f>
        <v>1152</v>
      </c>
      <c r="B66" s="21" t="str">
        <f>INDEX(Data[],MATCH($A66,Data[Dist],0),MATCH(B$4,Data[#Headers],0))</f>
        <v>Cherokee</v>
      </c>
      <c r="C66" s="22">
        <f>INDEX(Data[],MATCH($A66,Data[Dist],0),MATCH(C$4,Data[#Headers],0))</f>
        <v>144435</v>
      </c>
      <c r="D66" s="22">
        <f>INDEX(Data[],MATCH($A66,Data[Dist],0),MATCH(D$4,Data[#Headers],0))</f>
        <v>691280</v>
      </c>
      <c r="E66" s="22">
        <f>INDEX(Data[],MATCH($A66,Data[Dist],0),MATCH(E$4,Data[#Headers],0))</f>
        <v>83352</v>
      </c>
      <c r="F66" s="22">
        <f>INDEX(Data[],MATCH($A66,Data[Dist],0),MATCH(F$4,Data[#Headers],0))</f>
        <v>77813</v>
      </c>
      <c r="G66" s="22">
        <f>INDEX(Data[],MATCH($A66,Data[Dist],0),MATCH(G$4,Data[#Headers],0))</f>
        <v>381539</v>
      </c>
      <c r="H66" s="22">
        <f>INDEX(Data[],MATCH($A66,Data[Dist],0),MATCH(H$4,Data[#Headers],0))</f>
        <v>6468931</v>
      </c>
      <c r="I66" s="22">
        <f>INDEX(Data[],MATCH($A66,Data[Dist],0),MATCH(I$4,Data[#Headers],0))</f>
        <v>7847350</v>
      </c>
      <c r="J66" s="23"/>
    </row>
    <row r="67" spans="1:10" x14ac:dyDescent="0.2">
      <c r="A67" s="20" t="str">
        <f>Data!B63</f>
        <v>1197</v>
      </c>
      <c r="B67" s="21" t="str">
        <f>INDEX(Data[],MATCH($A67,Data[Dist],0),MATCH(B$4,Data[#Headers],0))</f>
        <v>Clarinda</v>
      </c>
      <c r="C67" s="22">
        <f>INDEX(Data[],MATCH($A67,Data[Dist],0),MATCH(C$4,Data[#Headers],0))</f>
        <v>102625</v>
      </c>
      <c r="D67" s="22">
        <f>INDEX(Data[],MATCH($A67,Data[Dist],0),MATCH(D$4,Data[#Headers],0))</f>
        <v>628069</v>
      </c>
      <c r="E67" s="22">
        <f>INDEX(Data[],MATCH($A67,Data[Dist],0),MATCH(E$4,Data[#Headers],0))</f>
        <v>70216</v>
      </c>
      <c r="F67" s="22">
        <f>INDEX(Data[],MATCH($A67,Data[Dist],0),MATCH(F$4,Data[#Headers],0))</f>
        <v>60652</v>
      </c>
      <c r="G67" s="22">
        <f>INDEX(Data[],MATCH($A67,Data[Dist],0),MATCH(G$4,Data[#Headers],0))</f>
        <v>364513</v>
      </c>
      <c r="H67" s="22">
        <f>INDEX(Data[],MATCH($A67,Data[Dist],0),MATCH(H$4,Data[#Headers],0))</f>
        <v>5772009</v>
      </c>
      <c r="I67" s="22">
        <f>INDEX(Data[],MATCH($A67,Data[Dist],0),MATCH(I$4,Data[#Headers],0))</f>
        <v>6998084</v>
      </c>
      <c r="J67" s="23"/>
    </row>
    <row r="68" spans="1:10" x14ac:dyDescent="0.2">
      <c r="A68" s="20" t="str">
        <f>Data!B64</f>
        <v>1206</v>
      </c>
      <c r="B68" s="21" t="str">
        <f>INDEX(Data[],MATCH($A68,Data[Dist],0),MATCH(B$4,Data[#Headers],0))</f>
        <v>Clarion-Goldfield-Dows</v>
      </c>
      <c r="C68" s="22">
        <f>INDEX(Data[],MATCH($A68,Data[Dist],0),MATCH(C$4,Data[#Headers],0))</f>
        <v>254662</v>
      </c>
      <c r="D68" s="22">
        <f>INDEX(Data[],MATCH($A68,Data[Dist],0),MATCH(D$4,Data[#Headers],0))</f>
        <v>672260</v>
      </c>
      <c r="E68" s="22">
        <f>INDEX(Data[],MATCH($A68,Data[Dist],0),MATCH(E$4,Data[#Headers],0))</f>
        <v>82637</v>
      </c>
      <c r="F68" s="22">
        <f>INDEX(Data[],MATCH($A68,Data[Dist],0),MATCH(F$4,Data[#Headers],0))</f>
        <v>75792</v>
      </c>
      <c r="G68" s="22">
        <f>INDEX(Data[],MATCH($A68,Data[Dist],0),MATCH(G$4,Data[#Headers],0))</f>
        <v>372621</v>
      </c>
      <c r="H68" s="22">
        <f>INDEX(Data[],MATCH($A68,Data[Dist],0),MATCH(H$4,Data[#Headers],0))</f>
        <v>4979645</v>
      </c>
      <c r="I68" s="22">
        <f>INDEX(Data[],MATCH($A68,Data[Dist],0),MATCH(I$4,Data[#Headers],0))</f>
        <v>6437617</v>
      </c>
      <c r="J68" s="23"/>
    </row>
    <row r="69" spans="1:10" x14ac:dyDescent="0.2">
      <c r="A69" s="20" t="str">
        <f>Data!B65</f>
        <v>1211</v>
      </c>
      <c r="B69" s="21" t="str">
        <f>INDEX(Data[],MATCH($A69,Data[Dist],0),MATCH(B$4,Data[#Headers],0))</f>
        <v>Clarke</v>
      </c>
      <c r="C69" s="22">
        <f>INDEX(Data[],MATCH($A69,Data[Dist],0),MATCH(C$4,Data[#Headers],0))</f>
        <v>224254</v>
      </c>
      <c r="D69" s="22">
        <f>INDEX(Data[],MATCH($A69,Data[Dist],0),MATCH(D$4,Data[#Headers],0))</f>
        <v>943958</v>
      </c>
      <c r="E69" s="22">
        <f>INDEX(Data[],MATCH($A69,Data[Dist],0),MATCH(E$4,Data[#Headers],0))</f>
        <v>123016</v>
      </c>
      <c r="F69" s="22">
        <f>INDEX(Data[],MATCH($A69,Data[Dist],0),MATCH(F$4,Data[#Headers],0))</f>
        <v>98595</v>
      </c>
      <c r="G69" s="22">
        <f>INDEX(Data[],MATCH($A69,Data[Dist],0),MATCH(G$4,Data[#Headers],0))</f>
        <v>531605</v>
      </c>
      <c r="H69" s="22">
        <f>INDEX(Data[],MATCH($A69,Data[Dist],0),MATCH(H$4,Data[#Headers],0))</f>
        <v>9427754</v>
      </c>
      <c r="I69" s="22">
        <f>INDEX(Data[],MATCH($A69,Data[Dist],0),MATCH(I$4,Data[#Headers],0))</f>
        <v>11349182</v>
      </c>
      <c r="J69" s="23"/>
    </row>
    <row r="70" spans="1:10" x14ac:dyDescent="0.2">
      <c r="A70" s="20" t="str">
        <f>Data!B66</f>
        <v>1215</v>
      </c>
      <c r="B70" s="21" t="str">
        <f>INDEX(Data[],MATCH($A70,Data[Dist],0),MATCH(B$4,Data[#Headers],0))</f>
        <v>Clarksville</v>
      </c>
      <c r="C70" s="22">
        <f>INDEX(Data[],MATCH($A70,Data[Dist],0),MATCH(C$4,Data[#Headers],0))</f>
        <v>41811</v>
      </c>
      <c r="D70" s="22">
        <f>INDEX(Data[],MATCH($A70,Data[Dist],0),MATCH(D$4,Data[#Headers],0))</f>
        <v>215207</v>
      </c>
      <c r="E70" s="22">
        <f>INDEX(Data[],MATCH($A70,Data[Dist],0),MATCH(E$4,Data[#Headers],0))</f>
        <v>23939</v>
      </c>
      <c r="F70" s="22">
        <f>INDEX(Data[],MATCH($A70,Data[Dist],0),MATCH(F$4,Data[#Headers],0))</f>
        <v>23158</v>
      </c>
      <c r="G70" s="22">
        <f>INDEX(Data[],MATCH($A70,Data[Dist],0),MATCH(G$4,Data[#Headers],0))</f>
        <v>106653</v>
      </c>
      <c r="H70" s="22">
        <f>INDEX(Data[],MATCH($A70,Data[Dist],0),MATCH(H$4,Data[#Headers],0))</f>
        <v>1813262</v>
      </c>
      <c r="I70" s="22">
        <f>INDEX(Data[],MATCH($A70,Data[Dist],0),MATCH(I$4,Data[#Headers],0))</f>
        <v>2224030</v>
      </c>
      <c r="J70" s="23"/>
    </row>
    <row r="71" spans="1:10" x14ac:dyDescent="0.2">
      <c r="A71" s="20" t="str">
        <f>Data!B67</f>
        <v>1218</v>
      </c>
      <c r="B71" s="21" t="str">
        <f>INDEX(Data[],MATCH($A71,Data[Dist],0),MATCH(B$4,Data[#Headers],0))</f>
        <v>Clay Central-Everly</v>
      </c>
      <c r="C71" s="22">
        <f>INDEX(Data[],MATCH($A71,Data[Dist],0),MATCH(C$4,Data[#Headers],0))</f>
        <v>26700</v>
      </c>
      <c r="D71" s="22">
        <f>INDEX(Data[],MATCH($A71,Data[Dist],0),MATCH(D$4,Data[#Headers],0))</f>
        <v>206453</v>
      </c>
      <c r="E71" s="22">
        <f>INDEX(Data[],MATCH($A71,Data[Dist],0),MATCH(E$4,Data[#Headers],0))</f>
        <v>21215</v>
      </c>
      <c r="F71" s="22">
        <f>INDEX(Data[],MATCH($A71,Data[Dist],0),MATCH(F$4,Data[#Headers],0))</f>
        <v>22773</v>
      </c>
      <c r="G71" s="22">
        <f>INDEX(Data[],MATCH($A71,Data[Dist],0),MATCH(G$4,Data[#Headers],0))</f>
        <v>106911</v>
      </c>
      <c r="H71" s="22">
        <f>INDEX(Data[],MATCH($A71,Data[Dist],0),MATCH(H$4,Data[#Headers],0))</f>
        <v>727551</v>
      </c>
      <c r="I71" s="22">
        <f>INDEX(Data[],MATCH($A71,Data[Dist],0),MATCH(I$4,Data[#Headers],0))</f>
        <v>1111603</v>
      </c>
      <c r="J71" s="23"/>
    </row>
    <row r="72" spans="1:10" x14ac:dyDescent="0.2">
      <c r="A72" s="20" t="str">
        <f>Data!B68</f>
        <v>1221</v>
      </c>
      <c r="B72" s="21" t="str">
        <f>INDEX(Data[],MATCH($A72,Data[Dist],0),MATCH(B$4,Data[#Headers],0))</f>
        <v>Clear Creek-Amana</v>
      </c>
      <c r="C72" s="22">
        <f>INDEX(Data[],MATCH($A72,Data[Dist],0),MATCH(C$4,Data[#Headers],0))</f>
        <v>581540</v>
      </c>
      <c r="D72" s="22">
        <f>INDEX(Data[],MATCH($A72,Data[Dist],0),MATCH(D$4,Data[#Headers],0))</f>
        <v>1930700</v>
      </c>
      <c r="E72" s="22">
        <f>INDEX(Data[],MATCH($A72,Data[Dist],0),MATCH(E$4,Data[#Headers],0))</f>
        <v>195458</v>
      </c>
      <c r="F72" s="22">
        <f>INDEX(Data[],MATCH($A72,Data[Dist],0),MATCH(F$4,Data[#Headers],0))</f>
        <v>210912</v>
      </c>
      <c r="G72" s="22">
        <f>INDEX(Data[],MATCH($A72,Data[Dist],0),MATCH(G$4,Data[#Headers],0))</f>
        <v>1082704</v>
      </c>
      <c r="H72" s="22">
        <f>INDEX(Data[],MATCH($A72,Data[Dist],0),MATCH(H$4,Data[#Headers],0))</f>
        <v>15552804</v>
      </c>
      <c r="I72" s="22">
        <f>INDEX(Data[],MATCH($A72,Data[Dist],0),MATCH(I$4,Data[#Headers],0))</f>
        <v>19554118</v>
      </c>
      <c r="J72" s="23"/>
    </row>
    <row r="73" spans="1:10" x14ac:dyDescent="0.2">
      <c r="A73" s="20" t="str">
        <f>Data!B69</f>
        <v>1233</v>
      </c>
      <c r="B73" s="21" t="str">
        <f>INDEX(Data[],MATCH($A73,Data[Dist],0),MATCH(B$4,Data[#Headers],0))</f>
        <v>Clear Lake</v>
      </c>
      <c r="C73" s="22">
        <f>INDEX(Data[],MATCH($A73,Data[Dist],0),MATCH(C$4,Data[#Headers],0))</f>
        <v>205249</v>
      </c>
      <c r="D73" s="22">
        <f>INDEX(Data[],MATCH($A73,Data[Dist],0),MATCH(D$4,Data[#Headers],0))</f>
        <v>742948</v>
      </c>
      <c r="E73" s="22">
        <f>INDEX(Data[],MATCH($A73,Data[Dist],0),MATCH(E$4,Data[#Headers],0))</f>
        <v>85906</v>
      </c>
      <c r="F73" s="22">
        <f>INDEX(Data[],MATCH($A73,Data[Dist],0),MATCH(F$4,Data[#Headers],0))</f>
        <v>81906</v>
      </c>
      <c r="G73" s="22">
        <f>INDEX(Data[],MATCH($A73,Data[Dist],0),MATCH(G$4,Data[#Headers],0))</f>
        <v>432323</v>
      </c>
      <c r="H73" s="22">
        <f>INDEX(Data[],MATCH($A73,Data[Dist],0),MATCH(H$4,Data[#Headers],0))</f>
        <v>3510021</v>
      </c>
      <c r="I73" s="22">
        <f>INDEX(Data[],MATCH($A73,Data[Dist],0),MATCH(I$4,Data[#Headers],0))</f>
        <v>5058353</v>
      </c>
      <c r="J73" s="23"/>
    </row>
    <row r="74" spans="1:10" x14ac:dyDescent="0.2">
      <c r="A74" s="20" t="str">
        <f>Data!B70</f>
        <v>1278</v>
      </c>
      <c r="B74" s="21" t="str">
        <f>INDEX(Data[],MATCH($A74,Data[Dist],0),MATCH(B$4,Data[#Headers],0))</f>
        <v>Clinton</v>
      </c>
      <c r="C74" s="22">
        <f>INDEX(Data[],MATCH($A74,Data[Dist],0),MATCH(C$4,Data[#Headers],0))</f>
        <v>733577</v>
      </c>
      <c r="D74" s="22">
        <f>INDEX(Data[],MATCH($A74,Data[Dist],0),MATCH(D$4,Data[#Headers],0))</f>
        <v>2364571</v>
      </c>
      <c r="E74" s="22">
        <f>INDEX(Data[],MATCH($A74,Data[Dist],0),MATCH(E$4,Data[#Headers],0))</f>
        <v>314575</v>
      </c>
      <c r="F74" s="22">
        <f>INDEX(Data[],MATCH($A74,Data[Dist],0),MATCH(F$4,Data[#Headers],0))</f>
        <v>271973</v>
      </c>
      <c r="G74" s="22">
        <f>INDEX(Data[],MATCH($A74,Data[Dist],0),MATCH(G$4,Data[#Headers],0))</f>
        <v>1328256</v>
      </c>
      <c r="H74" s="22">
        <f>INDEX(Data[],MATCH($A74,Data[Dist],0),MATCH(H$4,Data[#Headers],0))</f>
        <v>26352734</v>
      </c>
      <c r="I74" s="22">
        <f>INDEX(Data[],MATCH($A74,Data[Dist],0),MATCH(I$4,Data[#Headers],0))</f>
        <v>31365686</v>
      </c>
      <c r="J74" s="23"/>
    </row>
    <row r="75" spans="1:10" x14ac:dyDescent="0.2">
      <c r="A75" s="20" t="str">
        <f>Data!B71</f>
        <v>1332</v>
      </c>
      <c r="B75" s="21" t="str">
        <f>INDEX(Data[],MATCH($A75,Data[Dist],0),MATCH(B$4,Data[#Headers],0))</f>
        <v>Colfax-Mingo</v>
      </c>
      <c r="C75" s="22">
        <f>INDEX(Data[],MATCH($A75,Data[Dist],0),MATCH(C$4,Data[#Headers],0))</f>
        <v>144435</v>
      </c>
      <c r="D75" s="22">
        <f>INDEX(Data[],MATCH($A75,Data[Dist],0),MATCH(D$4,Data[#Headers],0))</f>
        <v>462707</v>
      </c>
      <c r="E75" s="22">
        <f>INDEX(Data[],MATCH($A75,Data[Dist],0),MATCH(E$4,Data[#Headers],0))</f>
        <v>53606</v>
      </c>
      <c r="F75" s="22">
        <f>INDEX(Data[],MATCH($A75,Data[Dist],0),MATCH(F$4,Data[#Headers],0))</f>
        <v>46117</v>
      </c>
      <c r="G75" s="22">
        <f>INDEX(Data[],MATCH($A75,Data[Dist],0),MATCH(G$4,Data[#Headers],0))</f>
        <v>260624</v>
      </c>
      <c r="H75" s="22">
        <f>INDEX(Data[],MATCH($A75,Data[Dist],0),MATCH(H$4,Data[#Headers],0))</f>
        <v>4070534</v>
      </c>
      <c r="I75" s="22">
        <f>INDEX(Data[],MATCH($A75,Data[Dist],0),MATCH(I$4,Data[#Headers],0))</f>
        <v>5038023</v>
      </c>
      <c r="J75" s="23"/>
    </row>
    <row r="76" spans="1:10" x14ac:dyDescent="0.2">
      <c r="A76" s="20" t="str">
        <f>Data!B72</f>
        <v>1337</v>
      </c>
      <c r="B76" s="21" t="str">
        <f>INDEX(Data[],MATCH($A76,Data[Dist],0),MATCH(B$4,Data[#Headers],0))</f>
        <v>College Community</v>
      </c>
      <c r="C76" s="22">
        <f>INDEX(Data[],MATCH($A76,Data[Dist],0),MATCH(C$4,Data[#Headers],0))</f>
        <v>927612</v>
      </c>
      <c r="D76" s="22">
        <f>INDEX(Data[],MATCH($A76,Data[Dist],0),MATCH(D$4,Data[#Headers],0))</f>
        <v>3221401</v>
      </c>
      <c r="E76" s="22">
        <f>INDEX(Data[],MATCH($A76,Data[Dist],0),MATCH(E$4,Data[#Headers],0))</f>
        <v>414200</v>
      </c>
      <c r="F76" s="22">
        <f>INDEX(Data[],MATCH($A76,Data[Dist],0),MATCH(F$4,Data[#Headers],0))</f>
        <v>394123</v>
      </c>
      <c r="G76" s="22">
        <f>INDEX(Data[],MATCH($A76,Data[Dist],0),MATCH(G$4,Data[#Headers],0))</f>
        <v>1897156</v>
      </c>
      <c r="H76" s="22">
        <f>INDEX(Data[],MATCH($A76,Data[Dist],0),MATCH(H$4,Data[#Headers],0))</f>
        <v>26687806</v>
      </c>
      <c r="I76" s="22">
        <f>INDEX(Data[],MATCH($A76,Data[Dist],0),MATCH(I$4,Data[#Headers],0))</f>
        <v>33542298</v>
      </c>
      <c r="J76" s="23"/>
    </row>
    <row r="77" spans="1:10" x14ac:dyDescent="0.2">
      <c r="A77" s="20" t="str">
        <f>Data!B73</f>
        <v>1350</v>
      </c>
      <c r="B77" s="21" t="str">
        <f>INDEX(Data[],MATCH($A77,Data[Dist],0),MATCH(B$4,Data[#Headers],0))</f>
        <v>Collins-Maxwell</v>
      </c>
      <c r="C77" s="22">
        <f>INDEX(Data[],MATCH($A77,Data[Dist],0),MATCH(C$4,Data[#Headers],0))</f>
        <v>57014</v>
      </c>
      <c r="D77" s="22">
        <f>INDEX(Data[],MATCH($A77,Data[Dist],0),MATCH(D$4,Data[#Headers],0))</f>
        <v>312381</v>
      </c>
      <c r="E77" s="22">
        <f>INDEX(Data[],MATCH($A77,Data[Dist],0),MATCH(E$4,Data[#Headers],0))</f>
        <v>35261</v>
      </c>
      <c r="F77" s="22">
        <f>INDEX(Data[],MATCH($A77,Data[Dist],0),MATCH(F$4,Data[#Headers],0))</f>
        <v>32292</v>
      </c>
      <c r="G77" s="22">
        <f>INDEX(Data[],MATCH($A77,Data[Dist],0),MATCH(G$4,Data[#Headers],0))</f>
        <v>170961</v>
      </c>
      <c r="H77" s="22">
        <f>INDEX(Data[],MATCH($A77,Data[Dist],0),MATCH(H$4,Data[#Headers],0))</f>
        <v>2563178</v>
      </c>
      <c r="I77" s="22">
        <f>INDEX(Data[],MATCH($A77,Data[Dist],0),MATCH(I$4,Data[#Headers],0))</f>
        <v>3171087</v>
      </c>
      <c r="J77" s="23"/>
    </row>
    <row r="78" spans="1:10" x14ac:dyDescent="0.2">
      <c r="A78" s="20" t="str">
        <f>Data!B74</f>
        <v>1359</v>
      </c>
      <c r="B78" s="21" t="str">
        <f>INDEX(Data[],MATCH($A78,Data[Dist],0),MATCH(B$4,Data[#Headers],0))</f>
        <v>Colo-Nesco</v>
      </c>
      <c r="C78" s="22">
        <f>INDEX(Data[],MATCH($A78,Data[Dist],0),MATCH(C$4,Data[#Headers],0))</f>
        <v>76018</v>
      </c>
      <c r="D78" s="22">
        <f>INDEX(Data[],MATCH($A78,Data[Dist],0),MATCH(D$4,Data[#Headers],0))</f>
        <v>330025</v>
      </c>
      <c r="E78" s="22">
        <f>INDEX(Data[],MATCH($A78,Data[Dist],0),MATCH(E$4,Data[#Headers],0))</f>
        <v>35485</v>
      </c>
      <c r="F78" s="22">
        <f>INDEX(Data[],MATCH($A78,Data[Dist],0),MATCH(F$4,Data[#Headers],0))</f>
        <v>33359</v>
      </c>
      <c r="G78" s="22">
        <f>INDEX(Data[],MATCH($A78,Data[Dist],0),MATCH(G$4,Data[#Headers],0))</f>
        <v>172460</v>
      </c>
      <c r="H78" s="22">
        <f>INDEX(Data[],MATCH($A78,Data[Dist],0),MATCH(H$4,Data[#Headers],0))</f>
        <v>1793791</v>
      </c>
      <c r="I78" s="22">
        <f>INDEX(Data[],MATCH($A78,Data[Dist],0),MATCH(I$4,Data[#Headers],0))</f>
        <v>2441138</v>
      </c>
      <c r="J78" s="23"/>
    </row>
    <row r="79" spans="1:10" x14ac:dyDescent="0.2">
      <c r="A79" s="20" t="str">
        <f>Data!B75</f>
        <v>1368</v>
      </c>
      <c r="B79" s="21" t="str">
        <f>INDEX(Data[],MATCH($A79,Data[Dist],0),MATCH(B$4,Data[#Headers],0))</f>
        <v>Columbus</v>
      </c>
      <c r="C79" s="22">
        <f>INDEX(Data[],MATCH($A79,Data[Dist],0),MATCH(C$4,Data[#Headers],0))</f>
        <v>133033</v>
      </c>
      <c r="D79" s="22">
        <f>INDEX(Data[],MATCH($A79,Data[Dist],0),MATCH(D$4,Data[#Headers],0))</f>
        <v>511792</v>
      </c>
      <c r="E79" s="22">
        <f>INDEX(Data[],MATCH($A79,Data[Dist],0),MATCH(E$4,Data[#Headers],0))</f>
        <v>63180</v>
      </c>
      <c r="F79" s="22">
        <f>INDEX(Data[],MATCH($A79,Data[Dist],0),MATCH(F$4,Data[#Headers],0))</f>
        <v>60621</v>
      </c>
      <c r="G79" s="22">
        <f>INDEX(Data[],MATCH($A79,Data[Dist],0),MATCH(G$4,Data[#Headers],0))</f>
        <v>273412</v>
      </c>
      <c r="H79" s="22">
        <f>INDEX(Data[],MATCH($A79,Data[Dist],0),MATCH(H$4,Data[#Headers],0))</f>
        <v>4588862</v>
      </c>
      <c r="I79" s="22">
        <f>INDEX(Data[],MATCH($A79,Data[Dist],0),MATCH(I$4,Data[#Headers],0))</f>
        <v>5630900</v>
      </c>
      <c r="J79" s="23"/>
    </row>
    <row r="80" spans="1:10" x14ac:dyDescent="0.2">
      <c r="A80" s="20" t="str">
        <f>Data!B76</f>
        <v>1413</v>
      </c>
      <c r="B80" s="21" t="str">
        <f>INDEX(Data[],MATCH($A80,Data[Dist],0),MATCH(B$4,Data[#Headers],0))</f>
        <v>Coon Rapids-Bayard</v>
      </c>
      <c r="C80" s="22">
        <f>INDEX(Data[],MATCH($A80,Data[Dist],0),MATCH(C$4,Data[#Headers],0))</f>
        <v>91222</v>
      </c>
      <c r="D80" s="22">
        <f>INDEX(Data[],MATCH($A80,Data[Dist],0),MATCH(D$4,Data[#Headers],0))</f>
        <v>310803</v>
      </c>
      <c r="E80" s="22">
        <f>INDEX(Data[],MATCH($A80,Data[Dist],0),MATCH(E$4,Data[#Headers],0))</f>
        <v>35951</v>
      </c>
      <c r="F80" s="22">
        <f>INDEX(Data[],MATCH($A80,Data[Dist],0),MATCH(F$4,Data[#Headers],0))</f>
        <v>33435</v>
      </c>
      <c r="G80" s="22">
        <f>INDEX(Data[],MATCH($A80,Data[Dist],0),MATCH(G$4,Data[#Headers],0))</f>
        <v>156625</v>
      </c>
      <c r="H80" s="22">
        <f>INDEX(Data[],MATCH($A80,Data[Dist],0),MATCH(H$4,Data[#Headers],0))</f>
        <v>2295592</v>
      </c>
      <c r="I80" s="22">
        <f>INDEX(Data[],MATCH($A80,Data[Dist],0),MATCH(I$4,Data[#Headers],0))</f>
        <v>2923628</v>
      </c>
      <c r="J80" s="23"/>
    </row>
    <row r="81" spans="1:10" x14ac:dyDescent="0.2">
      <c r="A81" s="20" t="str">
        <f>Data!B77</f>
        <v>1431</v>
      </c>
      <c r="B81" s="21" t="str">
        <f>INDEX(Data[],MATCH($A81,Data[Dist],0),MATCH(B$4,Data[#Headers],0))</f>
        <v>Corning</v>
      </c>
      <c r="C81" s="22">
        <f>INDEX(Data[],MATCH($A81,Data[Dist],0),MATCH(C$4,Data[#Headers],0))</f>
        <v>79820</v>
      </c>
      <c r="D81" s="22">
        <f>INDEX(Data[],MATCH($A81,Data[Dist],0),MATCH(D$4,Data[#Headers],0))</f>
        <v>296359</v>
      </c>
      <c r="E81" s="22">
        <f>INDEX(Data[],MATCH($A81,Data[Dist],0),MATCH(E$4,Data[#Headers],0))</f>
        <v>35479</v>
      </c>
      <c r="F81" s="22">
        <f>INDEX(Data[],MATCH($A81,Data[Dist],0),MATCH(F$4,Data[#Headers],0))</f>
        <v>30192</v>
      </c>
      <c r="G81" s="22">
        <f>INDEX(Data[],MATCH($A81,Data[Dist],0),MATCH(G$4,Data[#Headers],0))</f>
        <v>147557</v>
      </c>
      <c r="H81" s="22">
        <f>INDEX(Data[],MATCH($A81,Data[Dist],0),MATCH(H$4,Data[#Headers],0))</f>
        <v>1220943</v>
      </c>
      <c r="I81" s="22">
        <f>INDEX(Data[],MATCH($A81,Data[Dist],0),MATCH(I$4,Data[#Headers],0))</f>
        <v>1810350</v>
      </c>
      <c r="J81" s="23"/>
    </row>
    <row r="82" spans="1:10" x14ac:dyDescent="0.2">
      <c r="A82" s="20" t="str">
        <f>Data!B78</f>
        <v>1476</v>
      </c>
      <c r="B82" s="21" t="str">
        <f>INDEX(Data[],MATCH($A82,Data[Dist],0),MATCH(B$4,Data[#Headers],0))</f>
        <v>Council Bluffs</v>
      </c>
      <c r="C82" s="22">
        <f>INDEX(Data[],MATCH($A82,Data[Dist],0),MATCH(C$4,Data[#Headers],0))</f>
        <v>1562177</v>
      </c>
      <c r="D82" s="22">
        <f>INDEX(Data[],MATCH($A82,Data[Dist],0),MATCH(D$4,Data[#Headers],0))</f>
        <v>5502047</v>
      </c>
      <c r="E82" s="22">
        <f>INDEX(Data[],MATCH($A82,Data[Dist],0),MATCH(E$4,Data[#Headers],0))</f>
        <v>800934</v>
      </c>
      <c r="F82" s="22">
        <f>INDEX(Data[],MATCH($A82,Data[Dist],0),MATCH(F$4,Data[#Headers],0))</f>
        <v>636881</v>
      </c>
      <c r="G82" s="22">
        <f>INDEX(Data[],MATCH($A82,Data[Dist],0),MATCH(G$4,Data[#Headers],0))</f>
        <v>3209049</v>
      </c>
      <c r="H82" s="22">
        <f>INDEX(Data[],MATCH($A82,Data[Dist],0),MATCH(H$4,Data[#Headers],0))</f>
        <v>64613553</v>
      </c>
      <c r="I82" s="22">
        <f>INDEX(Data[],MATCH($A82,Data[Dist],0),MATCH(I$4,Data[#Headers],0))</f>
        <v>76324641</v>
      </c>
      <c r="J82" s="23"/>
    </row>
    <row r="83" spans="1:10" x14ac:dyDescent="0.2">
      <c r="A83" s="20" t="str">
        <f>Data!B79</f>
        <v>1503</v>
      </c>
      <c r="B83" s="21" t="str">
        <f>INDEX(Data[],MATCH($A83,Data[Dist],0),MATCH(B$4,Data[#Headers],0))</f>
        <v>Creston</v>
      </c>
      <c r="C83" s="22">
        <f>INDEX(Data[],MATCH($A83,Data[Dist],0),MATCH(C$4,Data[#Headers],0))</f>
        <v>326879</v>
      </c>
      <c r="D83" s="22">
        <f>INDEX(Data[],MATCH($A83,Data[Dist],0),MATCH(D$4,Data[#Headers],0))</f>
        <v>933322</v>
      </c>
      <c r="E83" s="22">
        <f>INDEX(Data[],MATCH($A83,Data[Dist],0),MATCH(E$4,Data[#Headers],0))</f>
        <v>116580</v>
      </c>
      <c r="F83" s="22">
        <f>INDEX(Data[],MATCH($A83,Data[Dist],0),MATCH(F$4,Data[#Headers],0))</f>
        <v>102470</v>
      </c>
      <c r="G83" s="22">
        <f>INDEX(Data[],MATCH($A83,Data[Dist],0),MATCH(G$4,Data[#Headers],0))</f>
        <v>514836</v>
      </c>
      <c r="H83" s="22">
        <f>INDEX(Data[],MATCH($A83,Data[Dist],0),MATCH(H$4,Data[#Headers],0))</f>
        <v>8321667</v>
      </c>
      <c r="I83" s="22">
        <f>INDEX(Data[],MATCH($A83,Data[Dist],0),MATCH(I$4,Data[#Headers],0))</f>
        <v>10315754</v>
      </c>
      <c r="J83" s="23"/>
    </row>
    <row r="84" spans="1:10" x14ac:dyDescent="0.2">
      <c r="A84" s="20" t="str">
        <f>Data!B80</f>
        <v>1576</v>
      </c>
      <c r="B84" s="21" t="str">
        <f>INDEX(Data[],MATCH($A84,Data[Dist],0),MATCH(B$4,Data[#Headers],0))</f>
        <v>Dallas Center-Grimes</v>
      </c>
      <c r="C84" s="22">
        <f>INDEX(Data[],MATCH($A84,Data[Dist],0),MATCH(C$4,Data[#Headers],0))</f>
        <v>668961</v>
      </c>
      <c r="D84" s="22">
        <f>INDEX(Data[],MATCH($A84,Data[Dist],0),MATCH(D$4,Data[#Headers],0))</f>
        <v>2185610</v>
      </c>
      <c r="E84" s="22">
        <f>INDEX(Data[],MATCH($A84,Data[Dist],0),MATCH(E$4,Data[#Headers],0))</f>
        <v>260572</v>
      </c>
      <c r="F84" s="22">
        <f>INDEX(Data[],MATCH($A84,Data[Dist],0),MATCH(F$4,Data[#Headers],0))</f>
        <v>232470</v>
      </c>
      <c r="G84" s="22">
        <f>INDEX(Data[],MATCH($A84,Data[Dist],0),MATCH(G$4,Data[#Headers],0))</f>
        <v>1281747</v>
      </c>
      <c r="H84" s="22">
        <f>INDEX(Data[],MATCH($A84,Data[Dist],0),MATCH(H$4,Data[#Headers],0))</f>
        <v>19093440</v>
      </c>
      <c r="I84" s="22">
        <f>INDEX(Data[],MATCH($A84,Data[Dist],0),MATCH(I$4,Data[#Headers],0))</f>
        <v>23722800</v>
      </c>
      <c r="J84" s="23"/>
    </row>
    <row r="85" spans="1:10" x14ac:dyDescent="0.2">
      <c r="A85" s="20" t="str">
        <f>Data!B81</f>
        <v>1602</v>
      </c>
      <c r="B85" s="21" t="str">
        <f>INDEX(Data[],MATCH($A85,Data[Dist],0),MATCH(B$4,Data[#Headers],0))</f>
        <v>Danville</v>
      </c>
      <c r="C85" s="22">
        <f>INDEX(Data[],MATCH($A85,Data[Dist],0),MATCH(C$4,Data[#Headers],0))</f>
        <v>136833</v>
      </c>
      <c r="D85" s="22">
        <f>INDEX(Data[],MATCH($A85,Data[Dist],0),MATCH(D$4,Data[#Headers],0))</f>
        <v>305048</v>
      </c>
      <c r="E85" s="22">
        <f>INDEX(Data[],MATCH($A85,Data[Dist],0),MATCH(E$4,Data[#Headers],0))</f>
        <v>36973</v>
      </c>
      <c r="F85" s="22">
        <f>INDEX(Data[],MATCH($A85,Data[Dist],0),MATCH(F$4,Data[#Headers],0))</f>
        <v>33236</v>
      </c>
      <c r="G85" s="22">
        <f>INDEX(Data[],MATCH($A85,Data[Dist],0),MATCH(G$4,Data[#Headers],0))</f>
        <v>167772</v>
      </c>
      <c r="H85" s="22">
        <f>INDEX(Data[],MATCH($A85,Data[Dist],0),MATCH(H$4,Data[#Headers],0))</f>
        <v>2363557</v>
      </c>
      <c r="I85" s="22">
        <f>INDEX(Data[],MATCH($A85,Data[Dist],0),MATCH(I$4,Data[#Headers],0))</f>
        <v>3043419</v>
      </c>
      <c r="J85" s="23"/>
    </row>
    <row r="86" spans="1:10" x14ac:dyDescent="0.2">
      <c r="A86" s="20" t="str">
        <f>Data!B82</f>
        <v>1611</v>
      </c>
      <c r="B86" s="21" t="str">
        <f>INDEX(Data[],MATCH($A86,Data[Dist],0),MATCH(B$4,Data[#Headers],0))</f>
        <v>Davenport</v>
      </c>
      <c r="C86" s="22">
        <f>INDEX(Data[],MATCH($A86,Data[Dist],0),MATCH(C$4,Data[#Headers],0))</f>
        <v>2572937</v>
      </c>
      <c r="D86" s="22">
        <f>INDEX(Data[],MATCH($A86,Data[Dist],0),MATCH(D$4,Data[#Headers],0))</f>
        <v>9097150</v>
      </c>
      <c r="E86" s="22">
        <f>INDEX(Data[],MATCH($A86,Data[Dist],0),MATCH(E$4,Data[#Headers],0))</f>
        <v>1297327</v>
      </c>
      <c r="F86" s="22">
        <f>INDEX(Data[],MATCH($A86,Data[Dist],0),MATCH(F$4,Data[#Headers],0))</f>
        <v>1110638</v>
      </c>
      <c r="G86" s="22">
        <f>INDEX(Data[],MATCH($A86,Data[Dist],0),MATCH(G$4,Data[#Headers],0))</f>
        <v>5220043</v>
      </c>
      <c r="H86" s="22">
        <f>INDEX(Data[],MATCH($A86,Data[Dist],0),MATCH(H$4,Data[#Headers],0))</f>
        <v>88024841</v>
      </c>
      <c r="I86" s="22">
        <f>INDEX(Data[],MATCH($A86,Data[Dist],0),MATCH(I$4,Data[#Headers],0))</f>
        <v>107322936</v>
      </c>
      <c r="J86" s="23"/>
    </row>
    <row r="87" spans="1:10" x14ac:dyDescent="0.2">
      <c r="A87" s="20" t="str">
        <f>Data!B83</f>
        <v>1619</v>
      </c>
      <c r="B87" s="21" t="str">
        <f>INDEX(Data[],MATCH($A87,Data[Dist],0),MATCH(B$4,Data[#Headers],0))</f>
        <v>Davis County</v>
      </c>
      <c r="C87" s="22">
        <f>INDEX(Data[],MATCH($A87,Data[Dist],0),MATCH(C$4,Data[#Headers],0))</f>
        <v>186245</v>
      </c>
      <c r="D87" s="22">
        <f>INDEX(Data[],MATCH($A87,Data[Dist],0),MATCH(D$4,Data[#Headers],0))</f>
        <v>756855</v>
      </c>
      <c r="E87" s="22">
        <f>INDEX(Data[],MATCH($A87,Data[Dist],0),MATCH(E$4,Data[#Headers],0))</f>
        <v>85176</v>
      </c>
      <c r="F87" s="22">
        <f>INDEX(Data[],MATCH($A87,Data[Dist],0),MATCH(F$4,Data[#Headers],0))</f>
        <v>83637</v>
      </c>
      <c r="G87" s="22">
        <f>INDEX(Data[],MATCH($A87,Data[Dist],0),MATCH(G$4,Data[#Headers],0))</f>
        <v>423330</v>
      </c>
      <c r="H87" s="22">
        <f>INDEX(Data[],MATCH($A87,Data[Dist],0),MATCH(H$4,Data[#Headers],0))</f>
        <v>6515957</v>
      </c>
      <c r="I87" s="22">
        <f>INDEX(Data[],MATCH($A87,Data[Dist],0),MATCH(I$4,Data[#Headers],0))</f>
        <v>8051200</v>
      </c>
      <c r="J87" s="23"/>
    </row>
    <row r="88" spans="1:10" x14ac:dyDescent="0.2">
      <c r="A88" s="20" t="str">
        <f>Data!B84</f>
        <v>1638</v>
      </c>
      <c r="B88" s="21" t="str">
        <f>INDEX(Data[],MATCH($A88,Data[Dist],0),MATCH(B$4,Data[#Headers],0))</f>
        <v>Decorah</v>
      </c>
      <c r="C88" s="22">
        <f>INDEX(Data[],MATCH($A88,Data[Dist],0),MATCH(C$4,Data[#Headers],0))</f>
        <v>368689</v>
      </c>
      <c r="D88" s="22">
        <f>INDEX(Data[],MATCH($A88,Data[Dist],0),MATCH(D$4,Data[#Headers],0))</f>
        <v>997547</v>
      </c>
      <c r="E88" s="22">
        <f>INDEX(Data[],MATCH($A88,Data[Dist],0),MATCH(E$4,Data[#Headers],0))</f>
        <v>113814</v>
      </c>
      <c r="F88" s="22">
        <f>INDEX(Data[],MATCH($A88,Data[Dist],0),MATCH(F$4,Data[#Headers],0))</f>
        <v>116129</v>
      </c>
      <c r="G88" s="22">
        <f>INDEX(Data[],MATCH($A88,Data[Dist],0),MATCH(G$4,Data[#Headers],0))</f>
        <v>561124</v>
      </c>
      <c r="H88" s="22">
        <f>INDEX(Data[],MATCH($A88,Data[Dist],0),MATCH(H$4,Data[#Headers],0))</f>
        <v>6897297</v>
      </c>
      <c r="I88" s="22">
        <f>INDEX(Data[],MATCH($A88,Data[Dist],0),MATCH(I$4,Data[#Headers],0))</f>
        <v>9054600</v>
      </c>
      <c r="J88" s="23"/>
    </row>
    <row r="89" spans="1:10" x14ac:dyDescent="0.2">
      <c r="A89" s="20" t="str">
        <f>Data!B85</f>
        <v>1675</v>
      </c>
      <c r="B89" s="21" t="str">
        <f>INDEX(Data[],MATCH($A89,Data[Dist],0),MATCH(B$4,Data[#Headers],0))</f>
        <v>Delwood</v>
      </c>
      <c r="C89" s="22">
        <f>INDEX(Data[],MATCH($A89,Data[Dist],0),MATCH(C$4,Data[#Headers],0))</f>
        <v>49412</v>
      </c>
      <c r="D89" s="22">
        <f>INDEX(Data[],MATCH($A89,Data[Dist],0),MATCH(D$4,Data[#Headers],0))</f>
        <v>117852</v>
      </c>
      <c r="E89" s="22">
        <f>INDEX(Data[],MATCH($A89,Data[Dist],0),MATCH(E$4,Data[#Headers],0))</f>
        <v>15444</v>
      </c>
      <c r="F89" s="22">
        <f>INDEX(Data[],MATCH($A89,Data[Dist],0),MATCH(F$4,Data[#Headers],0))</f>
        <v>10122</v>
      </c>
      <c r="G89" s="22">
        <f>INDEX(Data[],MATCH($A89,Data[Dist],0),MATCH(G$4,Data[#Headers],0))</f>
        <v>73706</v>
      </c>
      <c r="H89" s="22">
        <f>INDEX(Data[],MATCH($A89,Data[Dist],0),MATCH(H$4,Data[#Headers],0))</f>
        <v>1115188</v>
      </c>
      <c r="I89" s="22">
        <f>INDEX(Data[],MATCH($A89,Data[Dist],0),MATCH(I$4,Data[#Headers],0))</f>
        <v>1381724</v>
      </c>
      <c r="J89" s="23"/>
    </row>
    <row r="90" spans="1:10" x14ac:dyDescent="0.2">
      <c r="A90" s="20" t="str">
        <f>Data!B86</f>
        <v>1701</v>
      </c>
      <c r="B90" s="21" t="str">
        <f>INDEX(Data[],MATCH($A90,Data[Dist],0),MATCH(B$4,Data[#Headers],0))</f>
        <v>Denison</v>
      </c>
      <c r="C90" s="22">
        <f>INDEX(Data[],MATCH($A90,Data[Dist],0),MATCH(C$4,Data[#Headers],0))</f>
        <v>364794</v>
      </c>
      <c r="D90" s="22">
        <f>INDEX(Data[],MATCH($A90,Data[Dist],0),MATCH(D$4,Data[#Headers],0))</f>
        <v>1254523</v>
      </c>
      <c r="E90" s="22">
        <f>INDEX(Data[],MATCH($A90,Data[Dist],0),MATCH(E$4,Data[#Headers],0))</f>
        <v>183421</v>
      </c>
      <c r="F90" s="22">
        <f>INDEX(Data[],MATCH($A90,Data[Dist],0),MATCH(F$4,Data[#Headers],0))</f>
        <v>151993</v>
      </c>
      <c r="G90" s="22">
        <f>INDEX(Data[],MATCH($A90,Data[Dist],0),MATCH(G$4,Data[#Headers],0))</f>
        <v>746752</v>
      </c>
      <c r="H90" s="22">
        <f>INDEX(Data[],MATCH($A90,Data[Dist],0),MATCH(H$4,Data[#Headers],0))</f>
        <v>14781605</v>
      </c>
      <c r="I90" s="22">
        <f>INDEX(Data[],MATCH($A90,Data[Dist],0),MATCH(I$4,Data[#Headers],0))</f>
        <v>17483088</v>
      </c>
      <c r="J90" s="23"/>
    </row>
    <row r="91" spans="1:10" x14ac:dyDescent="0.2">
      <c r="A91" s="20" t="str">
        <f>Data!B87</f>
        <v>1719</v>
      </c>
      <c r="B91" s="21" t="str">
        <f>INDEX(Data[],MATCH($A91,Data[Dist],0),MATCH(B$4,Data[#Headers],0))</f>
        <v>Denver</v>
      </c>
      <c r="C91" s="22">
        <f>INDEX(Data[],MATCH($A91,Data[Dist],0),MATCH(C$4,Data[#Headers],0))</f>
        <v>212851</v>
      </c>
      <c r="D91" s="22">
        <f>INDEX(Data[],MATCH($A91,Data[Dist],0),MATCH(D$4,Data[#Headers],0))</f>
        <v>568332</v>
      </c>
      <c r="E91" s="22">
        <f>INDEX(Data[],MATCH($A91,Data[Dist],0),MATCH(E$4,Data[#Headers],0))</f>
        <v>55174</v>
      </c>
      <c r="F91" s="22">
        <f>INDEX(Data[],MATCH($A91,Data[Dist],0),MATCH(F$4,Data[#Headers],0))</f>
        <v>55174</v>
      </c>
      <c r="G91" s="22">
        <f>INDEX(Data[],MATCH($A91,Data[Dist],0),MATCH(G$4,Data[#Headers],0))</f>
        <v>318005</v>
      </c>
      <c r="H91" s="22">
        <f>INDEX(Data[],MATCH($A91,Data[Dist],0),MATCH(H$4,Data[#Headers],0))</f>
        <v>5237167</v>
      </c>
      <c r="I91" s="22">
        <f>INDEX(Data[],MATCH($A91,Data[Dist],0),MATCH(I$4,Data[#Headers],0))</f>
        <v>6446703</v>
      </c>
      <c r="J91" s="23"/>
    </row>
    <row r="92" spans="1:10" x14ac:dyDescent="0.2">
      <c r="A92" s="20" t="str">
        <f>Data!B88</f>
        <v>1737</v>
      </c>
      <c r="B92" s="21" t="str">
        <f>INDEX(Data[],MATCH($A92,Data[Dist],0),MATCH(B$4,Data[#Headers],0))</f>
        <v>Des Moines</v>
      </c>
      <c r="C92" s="22">
        <f>INDEX(Data[],MATCH($A92,Data[Dist],0),MATCH(C$4,Data[#Headers],0))</f>
        <v>5374494</v>
      </c>
      <c r="D92" s="22">
        <f>INDEX(Data[],MATCH($A92,Data[Dist],0),MATCH(D$4,Data[#Headers],0))</f>
        <v>21013034</v>
      </c>
      <c r="E92" s="22">
        <f>INDEX(Data[],MATCH($A92,Data[Dist],0),MATCH(E$4,Data[#Headers],0))</f>
        <v>3092469</v>
      </c>
      <c r="F92" s="22">
        <f>INDEX(Data[],MATCH($A92,Data[Dist],0),MATCH(F$4,Data[#Headers],0))</f>
        <v>2591162</v>
      </c>
      <c r="G92" s="22">
        <f>INDEX(Data[],MATCH($A92,Data[Dist],0),MATCH(G$4,Data[#Headers],0))</f>
        <v>11341105</v>
      </c>
      <c r="H92" s="22">
        <f>INDEX(Data[],MATCH($A92,Data[Dist],0),MATCH(H$4,Data[#Headers],0))</f>
        <v>219219337</v>
      </c>
      <c r="I92" s="22">
        <f>INDEX(Data[],MATCH($A92,Data[Dist],0),MATCH(I$4,Data[#Headers],0))</f>
        <v>262631601</v>
      </c>
      <c r="J92" s="23"/>
    </row>
    <row r="93" spans="1:10" x14ac:dyDescent="0.2">
      <c r="A93" s="20" t="str">
        <f>Data!B89</f>
        <v>1782</v>
      </c>
      <c r="B93" s="21" t="str">
        <f>INDEX(Data[],MATCH($A93,Data[Dist],0),MATCH(B$4,Data[#Headers],0))</f>
        <v>Diagonal</v>
      </c>
      <c r="C93" s="22">
        <f>INDEX(Data[],MATCH($A93,Data[Dist],0),MATCH(C$4,Data[#Headers],0))</f>
        <v>26607</v>
      </c>
      <c r="D93" s="22">
        <f>INDEX(Data[],MATCH($A93,Data[Dist],0),MATCH(D$4,Data[#Headers],0))</f>
        <v>102795</v>
      </c>
      <c r="E93" s="22">
        <f>INDEX(Data[],MATCH($A93,Data[Dist],0),MATCH(E$4,Data[#Headers],0))</f>
        <v>12678</v>
      </c>
      <c r="F93" s="22">
        <f>INDEX(Data[],MATCH($A93,Data[Dist],0),MATCH(F$4,Data[#Headers],0))</f>
        <v>11519</v>
      </c>
      <c r="G93" s="22">
        <f>INDEX(Data[],MATCH($A93,Data[Dist],0),MATCH(G$4,Data[#Headers],0))</f>
        <v>41275</v>
      </c>
      <c r="H93" s="22">
        <f>INDEX(Data[],MATCH($A93,Data[Dist],0),MATCH(H$4,Data[#Headers],0))</f>
        <v>699450</v>
      </c>
      <c r="I93" s="22">
        <f>INDEX(Data[],MATCH($A93,Data[Dist],0),MATCH(I$4,Data[#Headers],0))</f>
        <v>894324</v>
      </c>
      <c r="J93" s="23"/>
    </row>
    <row r="94" spans="1:10" x14ac:dyDescent="0.2">
      <c r="A94" s="20" t="str">
        <f>Data!B90</f>
        <v>1791</v>
      </c>
      <c r="B94" s="21" t="str">
        <f>INDEX(Data[],MATCH($A94,Data[Dist],0),MATCH(B$4,Data[#Headers],0))</f>
        <v>Dike-New Hartford</v>
      </c>
      <c r="C94" s="22">
        <f>INDEX(Data[],MATCH($A94,Data[Dist],0),MATCH(C$4,Data[#Headers],0))</f>
        <v>133033</v>
      </c>
      <c r="D94" s="22">
        <f>INDEX(Data[],MATCH($A94,Data[Dist],0),MATCH(D$4,Data[#Headers],0))</f>
        <v>593310</v>
      </c>
      <c r="E94" s="22">
        <f>INDEX(Data[],MATCH($A94,Data[Dist],0),MATCH(E$4,Data[#Headers],0))</f>
        <v>60870</v>
      </c>
      <c r="F94" s="22">
        <f>INDEX(Data[],MATCH($A94,Data[Dist],0),MATCH(F$4,Data[#Headers],0))</f>
        <v>63113</v>
      </c>
      <c r="G94" s="22">
        <f>INDEX(Data[],MATCH($A94,Data[Dist],0),MATCH(G$4,Data[#Headers],0))</f>
        <v>322906</v>
      </c>
      <c r="H94" s="22">
        <f>INDEX(Data[],MATCH($A94,Data[Dist],0),MATCH(H$4,Data[#Headers],0))</f>
        <v>5089296</v>
      </c>
      <c r="I94" s="22">
        <f>INDEX(Data[],MATCH($A94,Data[Dist],0),MATCH(I$4,Data[#Headers],0))</f>
        <v>6262528</v>
      </c>
      <c r="J94" s="23"/>
    </row>
    <row r="95" spans="1:10" x14ac:dyDescent="0.2">
      <c r="A95" s="20" t="str">
        <f>Data!B91</f>
        <v>1863</v>
      </c>
      <c r="B95" s="21" t="str">
        <f>INDEX(Data[],MATCH($A95,Data[Dist],0),MATCH(B$4,Data[#Headers],0))</f>
        <v>Dubuque</v>
      </c>
      <c r="C95" s="22">
        <f>INDEX(Data[],MATCH($A95,Data[Dist],0),MATCH(C$4,Data[#Headers],0))</f>
        <v>2527702</v>
      </c>
      <c r="D95" s="22">
        <f>INDEX(Data[],MATCH($A95,Data[Dist],0),MATCH(D$4,Data[#Headers],0))</f>
        <v>6789242</v>
      </c>
      <c r="E95" s="22">
        <f>INDEX(Data[],MATCH($A95,Data[Dist],0),MATCH(E$4,Data[#Headers],0))</f>
        <v>815595</v>
      </c>
      <c r="F95" s="22">
        <f>INDEX(Data[],MATCH($A95,Data[Dist],0),MATCH(F$4,Data[#Headers],0))</f>
        <v>801404</v>
      </c>
      <c r="G95" s="22">
        <f>INDEX(Data[],MATCH($A95,Data[Dist],0),MATCH(G$4,Data[#Headers],0))</f>
        <v>3708923</v>
      </c>
      <c r="H95" s="22">
        <f>INDEX(Data[],MATCH($A95,Data[Dist],0),MATCH(H$4,Data[#Headers],0))</f>
        <v>60739146</v>
      </c>
      <c r="I95" s="22">
        <f>INDEX(Data[],MATCH($A95,Data[Dist],0),MATCH(I$4,Data[#Headers],0))</f>
        <v>75382012</v>
      </c>
      <c r="J95" s="23"/>
    </row>
    <row r="96" spans="1:10" x14ac:dyDescent="0.2">
      <c r="A96" s="20" t="str">
        <f>Data!B92</f>
        <v>1908</v>
      </c>
      <c r="B96" s="21" t="str">
        <f>INDEX(Data[],MATCH($A96,Data[Dist],0),MATCH(B$4,Data[#Headers],0))</f>
        <v>Dunkerton</v>
      </c>
      <c r="C96" s="22">
        <f>INDEX(Data[],MATCH($A96,Data[Dist],0),MATCH(C$4,Data[#Headers],0))</f>
        <v>68416</v>
      </c>
      <c r="D96" s="22">
        <f>INDEX(Data[],MATCH($A96,Data[Dist],0),MATCH(D$4,Data[#Headers],0))</f>
        <v>253462</v>
      </c>
      <c r="E96" s="22">
        <f>INDEX(Data[],MATCH($A96,Data[Dist],0),MATCH(E$4,Data[#Headers],0))</f>
        <v>28659</v>
      </c>
      <c r="F96" s="22">
        <f>INDEX(Data[],MATCH($A96,Data[Dist],0),MATCH(F$4,Data[#Headers],0))</f>
        <v>26624</v>
      </c>
      <c r="G96" s="22">
        <f>INDEX(Data[],MATCH($A96,Data[Dist],0),MATCH(G$4,Data[#Headers],0))</f>
        <v>136358</v>
      </c>
      <c r="H96" s="22">
        <f>INDEX(Data[],MATCH($A96,Data[Dist],0),MATCH(H$4,Data[#Headers],0))</f>
        <v>2033146</v>
      </c>
      <c r="I96" s="22">
        <f>INDEX(Data[],MATCH($A96,Data[Dist],0),MATCH(I$4,Data[#Headers],0))</f>
        <v>2546665</v>
      </c>
      <c r="J96" s="23"/>
    </row>
    <row r="97" spans="1:10" x14ac:dyDescent="0.2">
      <c r="A97" s="20" t="str">
        <f>Data!B93</f>
        <v>1917</v>
      </c>
      <c r="B97" s="21" t="str">
        <f>INDEX(Data[],MATCH($A97,Data[Dist],0),MATCH(B$4,Data[#Headers],0))</f>
        <v>Boyer Valley</v>
      </c>
      <c r="C97" s="22">
        <f>INDEX(Data[],MATCH($A97,Data[Dist],0),MATCH(C$4,Data[#Headers],0))</f>
        <v>110227</v>
      </c>
      <c r="D97" s="22">
        <f>INDEX(Data[],MATCH($A97,Data[Dist],0),MATCH(D$4,Data[#Headers],0))</f>
        <v>280979</v>
      </c>
      <c r="E97" s="22">
        <f>INDEX(Data[],MATCH($A97,Data[Dist],0),MATCH(E$4,Data[#Headers],0))</f>
        <v>32125</v>
      </c>
      <c r="F97" s="22">
        <f>INDEX(Data[],MATCH($A97,Data[Dist],0),MATCH(F$4,Data[#Headers],0))</f>
        <v>33501</v>
      </c>
      <c r="G97" s="22">
        <f>INDEX(Data[],MATCH($A97,Data[Dist],0),MATCH(G$4,Data[#Headers],0))</f>
        <v>141939</v>
      </c>
      <c r="H97" s="22">
        <f>INDEX(Data[],MATCH($A97,Data[Dist],0),MATCH(H$4,Data[#Headers],0))</f>
        <v>1503149</v>
      </c>
      <c r="I97" s="22">
        <f>INDEX(Data[],MATCH($A97,Data[Dist],0),MATCH(I$4,Data[#Headers],0))</f>
        <v>2101920</v>
      </c>
      <c r="J97" s="23"/>
    </row>
    <row r="98" spans="1:10" x14ac:dyDescent="0.2">
      <c r="A98" s="20" t="str">
        <f>Data!B94</f>
        <v>1926</v>
      </c>
      <c r="B98" s="21" t="str">
        <f>INDEX(Data[],MATCH($A98,Data[Dist],0),MATCH(B$4,Data[#Headers],0))</f>
        <v>Durant</v>
      </c>
      <c r="C98" s="22">
        <f>INDEX(Data[],MATCH($A98,Data[Dist],0),MATCH(C$4,Data[#Headers],0))</f>
        <v>136833</v>
      </c>
      <c r="D98" s="22">
        <f>INDEX(Data[],MATCH($A98,Data[Dist],0),MATCH(D$4,Data[#Headers],0))</f>
        <v>392197</v>
      </c>
      <c r="E98" s="22">
        <f>INDEX(Data[],MATCH($A98,Data[Dist],0),MATCH(E$4,Data[#Headers],0))</f>
        <v>36703</v>
      </c>
      <c r="F98" s="22">
        <f>INDEX(Data[],MATCH($A98,Data[Dist],0),MATCH(F$4,Data[#Headers],0))</f>
        <v>44381</v>
      </c>
      <c r="G98" s="22">
        <f>INDEX(Data[],MATCH($A98,Data[Dist],0),MATCH(G$4,Data[#Headers],0))</f>
        <v>189992</v>
      </c>
      <c r="H98" s="22">
        <f>INDEX(Data[],MATCH($A98,Data[Dist],0),MATCH(H$4,Data[#Headers],0))</f>
        <v>2474612</v>
      </c>
      <c r="I98" s="22">
        <f>INDEX(Data[],MATCH($A98,Data[Dist],0),MATCH(I$4,Data[#Headers],0))</f>
        <v>3274718</v>
      </c>
      <c r="J98" s="23"/>
    </row>
    <row r="99" spans="1:10" x14ac:dyDescent="0.2">
      <c r="A99" s="20" t="str">
        <f>Data!B95</f>
        <v>1935</v>
      </c>
      <c r="B99" s="21" t="str">
        <f>INDEX(Data[],MATCH($A99,Data[Dist],0),MATCH(B$4,Data[#Headers],0))</f>
        <v>Union</v>
      </c>
      <c r="C99" s="22">
        <f>INDEX(Data[],MATCH($A99,Data[Dist],0),MATCH(C$4,Data[#Headers],0))</f>
        <v>171042</v>
      </c>
      <c r="D99" s="22">
        <f>INDEX(Data[],MATCH($A99,Data[Dist],0),MATCH(D$4,Data[#Headers],0))</f>
        <v>650042</v>
      </c>
      <c r="E99" s="22">
        <f>INDEX(Data[],MATCH($A99,Data[Dist],0),MATCH(E$4,Data[#Headers],0))</f>
        <v>70008</v>
      </c>
      <c r="F99" s="22">
        <f>INDEX(Data[],MATCH($A99,Data[Dist],0),MATCH(F$4,Data[#Headers],0))</f>
        <v>58673</v>
      </c>
      <c r="G99" s="22">
        <f>INDEX(Data[],MATCH($A99,Data[Dist],0),MATCH(G$4,Data[#Headers],0))</f>
        <v>355816</v>
      </c>
      <c r="H99" s="22">
        <f>INDEX(Data[],MATCH($A99,Data[Dist],0),MATCH(H$4,Data[#Headers],0))</f>
        <v>5164809</v>
      </c>
      <c r="I99" s="22">
        <f>INDEX(Data[],MATCH($A99,Data[Dist],0),MATCH(I$4,Data[#Headers],0))</f>
        <v>6470390</v>
      </c>
      <c r="J99" s="23"/>
    </row>
    <row r="100" spans="1:10" x14ac:dyDescent="0.2">
      <c r="A100" s="20" t="str">
        <f>Data!B96</f>
        <v>1944</v>
      </c>
      <c r="B100" s="21" t="str">
        <f>INDEX(Data[],MATCH($A100,Data[Dist],0),MATCH(B$4,Data[#Headers],0))</f>
        <v>Eagle Grove</v>
      </c>
      <c r="C100" s="22">
        <f>INDEX(Data[],MATCH($A100,Data[Dist],0),MATCH(C$4,Data[#Headers],0))</f>
        <v>190046</v>
      </c>
      <c r="D100" s="22">
        <f>INDEX(Data[],MATCH($A100,Data[Dist],0),MATCH(D$4,Data[#Headers],0))</f>
        <v>637402</v>
      </c>
      <c r="E100" s="22">
        <f>INDEX(Data[],MATCH($A100,Data[Dist],0),MATCH(E$4,Data[#Headers],0))</f>
        <v>78607</v>
      </c>
      <c r="F100" s="22">
        <f>INDEX(Data[],MATCH($A100,Data[Dist],0),MATCH(F$4,Data[#Headers],0))</f>
        <v>70048</v>
      </c>
      <c r="G100" s="22">
        <f>INDEX(Data[],MATCH($A100,Data[Dist],0),MATCH(G$4,Data[#Headers],0))</f>
        <v>350841</v>
      </c>
      <c r="H100" s="22">
        <f>INDEX(Data[],MATCH($A100,Data[Dist],0),MATCH(H$4,Data[#Headers],0))</f>
        <v>6154293</v>
      </c>
      <c r="I100" s="22">
        <f>INDEX(Data[],MATCH($A100,Data[Dist],0),MATCH(I$4,Data[#Headers],0))</f>
        <v>7481237</v>
      </c>
      <c r="J100" s="23"/>
    </row>
    <row r="101" spans="1:10" x14ac:dyDescent="0.2">
      <c r="A101" s="20" t="str">
        <f>Data!B97</f>
        <v>1953</v>
      </c>
      <c r="B101" s="21" t="str">
        <f>INDEX(Data[],MATCH($A101,Data[Dist],0),MATCH(B$4,Data[#Headers],0))</f>
        <v>Earlham</v>
      </c>
      <c r="C101" s="22">
        <f>INDEX(Data[],MATCH($A101,Data[Dist],0),MATCH(C$4,Data[#Headers],0))</f>
        <v>133033</v>
      </c>
      <c r="D101" s="22">
        <f>INDEX(Data[],MATCH($A101,Data[Dist],0),MATCH(D$4,Data[#Headers],0))</f>
        <v>389159</v>
      </c>
      <c r="E101" s="22">
        <f>INDEX(Data[],MATCH($A101,Data[Dist],0),MATCH(E$4,Data[#Headers],0))</f>
        <v>44995</v>
      </c>
      <c r="F101" s="22">
        <f>INDEX(Data[],MATCH($A101,Data[Dist],0),MATCH(F$4,Data[#Headers],0))</f>
        <v>39762</v>
      </c>
      <c r="G101" s="22">
        <f>INDEX(Data[],MATCH($A101,Data[Dist],0),MATCH(G$4,Data[#Headers],0))</f>
        <v>207810</v>
      </c>
      <c r="H101" s="22">
        <f>INDEX(Data[],MATCH($A101,Data[Dist],0),MATCH(H$4,Data[#Headers],0))</f>
        <v>2931233</v>
      </c>
      <c r="I101" s="22">
        <f>INDEX(Data[],MATCH($A101,Data[Dist],0),MATCH(I$4,Data[#Headers],0))</f>
        <v>3745992</v>
      </c>
      <c r="J101" s="23"/>
    </row>
    <row r="102" spans="1:10" x14ac:dyDescent="0.2">
      <c r="A102" s="20" t="str">
        <f>Data!B98</f>
        <v>1963</v>
      </c>
      <c r="B102" s="21" t="str">
        <f>INDEX(Data[],MATCH($A102,Data[Dist],0),MATCH(B$4,Data[#Headers],0))</f>
        <v>East Buchanan</v>
      </c>
      <c r="C102" s="22">
        <f>INDEX(Data[],MATCH($A102,Data[Dist],0),MATCH(C$4,Data[#Headers],0))</f>
        <v>125431</v>
      </c>
      <c r="D102" s="22">
        <f>INDEX(Data[],MATCH($A102,Data[Dist],0),MATCH(D$4,Data[#Headers],0))</f>
        <v>386673</v>
      </c>
      <c r="E102" s="22">
        <f>INDEX(Data[],MATCH($A102,Data[Dist],0),MATCH(E$4,Data[#Headers],0))</f>
        <v>41455</v>
      </c>
      <c r="F102" s="22">
        <f>INDEX(Data[],MATCH($A102,Data[Dist],0),MATCH(F$4,Data[#Headers],0))</f>
        <v>39282</v>
      </c>
      <c r="G102" s="22">
        <f>INDEX(Data[],MATCH($A102,Data[Dist],0),MATCH(G$4,Data[#Headers],0))</f>
        <v>199706</v>
      </c>
      <c r="H102" s="22">
        <f>INDEX(Data[],MATCH($A102,Data[Dist],0),MATCH(H$4,Data[#Headers],0))</f>
        <v>3080223</v>
      </c>
      <c r="I102" s="22">
        <f>INDEX(Data[],MATCH($A102,Data[Dist],0),MATCH(I$4,Data[#Headers],0))</f>
        <v>3872770</v>
      </c>
      <c r="J102" s="23"/>
    </row>
    <row r="103" spans="1:10" x14ac:dyDescent="0.2">
      <c r="A103" s="20" t="str">
        <f>Data!B99</f>
        <v>1965</v>
      </c>
      <c r="B103" s="21" t="str">
        <f>INDEX(Data[],MATCH($A103,Data[Dist],0),MATCH(B$4,Data[#Headers],0))</f>
        <v>Easton Valley</v>
      </c>
      <c r="C103" s="22">
        <f>INDEX(Data[],MATCH($A103,Data[Dist],0),MATCH(C$4,Data[#Headers],0))</f>
        <v>148236</v>
      </c>
      <c r="D103" s="22">
        <f>INDEX(Data[],MATCH($A103,Data[Dist],0),MATCH(D$4,Data[#Headers],0))</f>
        <v>366111</v>
      </c>
      <c r="E103" s="22">
        <f>INDEX(Data[],MATCH($A103,Data[Dist],0),MATCH(E$4,Data[#Headers],0))</f>
        <v>38137</v>
      </c>
      <c r="F103" s="22">
        <f>INDEX(Data[],MATCH($A103,Data[Dist],0),MATCH(F$4,Data[#Headers],0))</f>
        <v>40319</v>
      </c>
      <c r="G103" s="22">
        <f>INDEX(Data[],MATCH($A103,Data[Dist],0),MATCH(G$4,Data[#Headers],0))</f>
        <v>202544</v>
      </c>
      <c r="H103" s="22">
        <f>INDEX(Data[],MATCH($A103,Data[Dist],0),MATCH(H$4,Data[#Headers],0))</f>
        <v>3160295</v>
      </c>
      <c r="I103" s="22">
        <f>INDEX(Data[],MATCH($A103,Data[Dist],0),MATCH(I$4,Data[#Headers],0))</f>
        <v>3955642</v>
      </c>
      <c r="J103" s="23"/>
    </row>
    <row r="104" spans="1:10" x14ac:dyDescent="0.2">
      <c r="A104" s="20" t="str">
        <f>Data!B100</f>
        <v>1970</v>
      </c>
      <c r="B104" s="21" t="str">
        <f>INDEX(Data[],MATCH($A104,Data[Dist],0),MATCH(B$4,Data[#Headers],0))</f>
        <v>East Union</v>
      </c>
      <c r="C104" s="22">
        <f>INDEX(Data[],MATCH($A104,Data[Dist],0),MATCH(C$4,Data[#Headers],0))</f>
        <v>121629</v>
      </c>
      <c r="D104" s="22">
        <f>INDEX(Data[],MATCH($A104,Data[Dist],0),MATCH(D$4,Data[#Headers],0))</f>
        <v>319434</v>
      </c>
      <c r="E104" s="22">
        <f>INDEX(Data[],MATCH($A104,Data[Dist],0),MATCH(E$4,Data[#Headers],0))</f>
        <v>38665</v>
      </c>
      <c r="F104" s="22">
        <f>INDEX(Data[],MATCH($A104,Data[Dist],0),MATCH(F$4,Data[#Headers],0))</f>
        <v>31549</v>
      </c>
      <c r="G104" s="22">
        <f>INDEX(Data[],MATCH($A104,Data[Dist],0),MATCH(G$4,Data[#Headers],0))</f>
        <v>174130</v>
      </c>
      <c r="H104" s="22">
        <f>INDEX(Data[],MATCH($A104,Data[Dist],0),MATCH(H$4,Data[#Headers],0))</f>
        <v>2991620</v>
      </c>
      <c r="I104" s="22">
        <f>INDEX(Data[],MATCH($A104,Data[Dist],0),MATCH(I$4,Data[#Headers],0))</f>
        <v>3677027</v>
      </c>
      <c r="J104" s="23"/>
    </row>
    <row r="105" spans="1:10" x14ac:dyDescent="0.2">
      <c r="A105" s="20" t="str">
        <f>Data!B101</f>
        <v>1972</v>
      </c>
      <c r="B105" s="21" t="str">
        <f>INDEX(Data[],MATCH($A105,Data[Dist],0),MATCH(B$4,Data[#Headers],0))</f>
        <v>Eastern Allamakee</v>
      </c>
      <c r="C105" s="22">
        <f>INDEX(Data[],MATCH($A105,Data[Dist],0),MATCH(C$4,Data[#Headers],0))</f>
        <v>57014</v>
      </c>
      <c r="D105" s="22">
        <f>INDEX(Data[],MATCH($A105,Data[Dist],0),MATCH(D$4,Data[#Headers],0))</f>
        <v>241405</v>
      </c>
      <c r="E105" s="22">
        <f>INDEX(Data[],MATCH($A105,Data[Dist],0),MATCH(E$4,Data[#Headers],0))</f>
        <v>28088</v>
      </c>
      <c r="F105" s="22">
        <f>INDEX(Data[],MATCH($A105,Data[Dist],0),MATCH(F$4,Data[#Headers],0))</f>
        <v>23400</v>
      </c>
      <c r="G105" s="22">
        <f>INDEX(Data[],MATCH($A105,Data[Dist],0),MATCH(G$4,Data[#Headers],0))</f>
        <v>122094</v>
      </c>
      <c r="H105" s="22">
        <f>INDEX(Data[],MATCH($A105,Data[Dist],0),MATCH(H$4,Data[#Headers],0))</f>
        <v>1479872</v>
      </c>
      <c r="I105" s="22">
        <f>INDEX(Data[],MATCH($A105,Data[Dist],0),MATCH(I$4,Data[#Headers],0))</f>
        <v>1951873</v>
      </c>
      <c r="J105" s="23"/>
    </row>
    <row r="106" spans="1:10" x14ac:dyDescent="0.2">
      <c r="A106" s="20" t="str">
        <f>Data!B102</f>
        <v>1975</v>
      </c>
      <c r="B106" s="21" t="str">
        <f>INDEX(Data[],MATCH($A106,Data[Dist],0),MATCH(B$4,Data[#Headers],0))</f>
        <v>River Valley</v>
      </c>
      <c r="C106" s="22">
        <f>INDEX(Data[],MATCH($A106,Data[Dist],0),MATCH(C$4,Data[#Headers],0))</f>
        <v>76018</v>
      </c>
      <c r="D106" s="22">
        <f>INDEX(Data[],MATCH($A106,Data[Dist],0),MATCH(D$4,Data[#Headers],0))</f>
        <v>262825</v>
      </c>
      <c r="E106" s="22">
        <f>INDEX(Data[],MATCH($A106,Data[Dist],0),MATCH(E$4,Data[#Headers],0))</f>
        <v>32298</v>
      </c>
      <c r="F106" s="22">
        <f>INDEX(Data[],MATCH($A106,Data[Dist],0),MATCH(F$4,Data[#Headers],0))</f>
        <v>28809</v>
      </c>
      <c r="G106" s="22">
        <f>INDEX(Data[],MATCH($A106,Data[Dist],0),MATCH(G$4,Data[#Headers],0))</f>
        <v>137241</v>
      </c>
      <c r="H106" s="22">
        <f>INDEX(Data[],MATCH($A106,Data[Dist],0),MATCH(H$4,Data[#Headers],0))</f>
        <v>1685225</v>
      </c>
      <c r="I106" s="22">
        <f>INDEX(Data[],MATCH($A106,Data[Dist],0),MATCH(I$4,Data[#Headers],0))</f>
        <v>2222416</v>
      </c>
      <c r="J106" s="23"/>
    </row>
    <row r="107" spans="1:10" x14ac:dyDescent="0.2">
      <c r="A107" s="20" t="str">
        <f>Data!B103</f>
        <v>1989</v>
      </c>
      <c r="B107" s="21" t="str">
        <f>INDEX(Data[],MATCH($A107,Data[Dist],0),MATCH(B$4,Data[#Headers],0))</f>
        <v>Edgewood-Colesburg</v>
      </c>
      <c r="C107" s="22">
        <f>INDEX(Data[],MATCH($A107,Data[Dist],0),MATCH(C$4,Data[#Headers],0))</f>
        <v>136833</v>
      </c>
      <c r="D107" s="22">
        <f>INDEX(Data[],MATCH($A107,Data[Dist],0),MATCH(D$4,Data[#Headers],0))</f>
        <v>285107</v>
      </c>
      <c r="E107" s="22">
        <f>INDEX(Data[],MATCH($A107,Data[Dist],0),MATCH(E$4,Data[#Headers],0))</f>
        <v>34257</v>
      </c>
      <c r="F107" s="22">
        <f>INDEX(Data[],MATCH($A107,Data[Dist],0),MATCH(F$4,Data[#Headers],0))</f>
        <v>31867</v>
      </c>
      <c r="G107" s="22">
        <f>INDEX(Data[],MATCH($A107,Data[Dist],0),MATCH(G$4,Data[#Headers],0))</f>
        <v>147781</v>
      </c>
      <c r="H107" s="22">
        <f>INDEX(Data[],MATCH($A107,Data[Dist],0),MATCH(H$4,Data[#Headers],0))</f>
        <v>1975671</v>
      </c>
      <c r="I107" s="22">
        <f>INDEX(Data[],MATCH($A107,Data[Dist],0),MATCH(I$4,Data[#Headers],0))</f>
        <v>2611516</v>
      </c>
      <c r="J107" s="23"/>
    </row>
    <row r="108" spans="1:10" x14ac:dyDescent="0.2">
      <c r="A108" s="20" t="str">
        <f>Data!B104</f>
        <v>2007</v>
      </c>
      <c r="B108" s="21" t="str">
        <f>INDEX(Data[],MATCH($A108,Data[Dist],0),MATCH(B$4,Data[#Headers],0))</f>
        <v>Eldora-New Providence</v>
      </c>
      <c r="C108" s="22">
        <f>INDEX(Data[],MATCH($A108,Data[Dist],0),MATCH(C$4,Data[#Headers],0))</f>
        <v>152037</v>
      </c>
      <c r="D108" s="22">
        <f>INDEX(Data[],MATCH($A108,Data[Dist],0),MATCH(D$4,Data[#Headers],0))</f>
        <v>383300</v>
      </c>
      <c r="E108" s="22">
        <f>INDEX(Data[],MATCH($A108,Data[Dist],0),MATCH(E$4,Data[#Headers],0))</f>
        <v>44654</v>
      </c>
      <c r="F108" s="22">
        <f>INDEX(Data[],MATCH($A108,Data[Dist],0),MATCH(F$4,Data[#Headers],0))</f>
        <v>44497</v>
      </c>
      <c r="G108" s="22">
        <f>INDEX(Data[],MATCH($A108,Data[Dist],0),MATCH(G$4,Data[#Headers],0))</f>
        <v>206635</v>
      </c>
      <c r="H108" s="22">
        <f>INDEX(Data[],MATCH($A108,Data[Dist],0),MATCH(H$4,Data[#Headers],0))</f>
        <v>3457630</v>
      </c>
      <c r="I108" s="22">
        <f>INDEX(Data[],MATCH($A108,Data[Dist],0),MATCH(I$4,Data[#Headers],0))</f>
        <v>4288753</v>
      </c>
      <c r="J108" s="23"/>
    </row>
    <row r="109" spans="1:10" x14ac:dyDescent="0.2">
      <c r="A109" s="20" t="str">
        <f>Data!B105</f>
        <v>2088</v>
      </c>
      <c r="B109" s="21" t="str">
        <f>INDEX(Data[],MATCH($A109,Data[Dist],0),MATCH(B$4,Data[#Headers],0))</f>
        <v>Emmetsburg</v>
      </c>
      <c r="C109" s="22">
        <f>INDEX(Data[],MATCH($A109,Data[Dist],0),MATCH(C$4,Data[#Headers],0))</f>
        <v>205249</v>
      </c>
      <c r="D109" s="22">
        <f>INDEX(Data[],MATCH($A109,Data[Dist],0),MATCH(D$4,Data[#Headers],0))</f>
        <v>435919</v>
      </c>
      <c r="E109" s="22">
        <f>INDEX(Data[],MATCH($A109,Data[Dist],0),MATCH(E$4,Data[#Headers],0))</f>
        <v>52411</v>
      </c>
      <c r="F109" s="22">
        <f>INDEX(Data[],MATCH($A109,Data[Dist],0),MATCH(F$4,Data[#Headers],0))</f>
        <v>50788</v>
      </c>
      <c r="G109" s="22">
        <f>INDEX(Data[],MATCH($A109,Data[Dist],0),MATCH(G$4,Data[#Headers],0))</f>
        <v>245146</v>
      </c>
      <c r="H109" s="22">
        <f>INDEX(Data[],MATCH($A109,Data[Dist],0),MATCH(H$4,Data[#Headers],0))</f>
        <v>3141582</v>
      </c>
      <c r="I109" s="22">
        <f>INDEX(Data[],MATCH($A109,Data[Dist],0),MATCH(I$4,Data[#Headers],0))</f>
        <v>4131095</v>
      </c>
      <c r="J109" s="23"/>
    </row>
    <row r="110" spans="1:10" x14ac:dyDescent="0.2">
      <c r="A110" s="20" t="str">
        <f>Data!B106</f>
        <v>2097</v>
      </c>
      <c r="B110" s="21" t="str">
        <f>INDEX(Data[],MATCH($A110,Data[Dist],0),MATCH(B$4,Data[#Headers],0))</f>
        <v>English Valleys</v>
      </c>
      <c r="C110" s="22">
        <f>INDEX(Data[],MATCH($A110,Data[Dist],0),MATCH(C$4,Data[#Headers],0))</f>
        <v>91222</v>
      </c>
      <c r="D110" s="22">
        <f>INDEX(Data[],MATCH($A110,Data[Dist],0),MATCH(D$4,Data[#Headers],0))</f>
        <v>354176</v>
      </c>
      <c r="E110" s="22">
        <f>INDEX(Data[],MATCH($A110,Data[Dist],0),MATCH(E$4,Data[#Headers],0))</f>
        <v>38733</v>
      </c>
      <c r="F110" s="22">
        <f>INDEX(Data[],MATCH($A110,Data[Dist],0),MATCH(F$4,Data[#Headers],0))</f>
        <v>37573</v>
      </c>
      <c r="G110" s="22">
        <f>INDEX(Data[],MATCH($A110,Data[Dist],0),MATCH(G$4,Data[#Headers],0))</f>
        <v>172245</v>
      </c>
      <c r="H110" s="22">
        <f>INDEX(Data[],MATCH($A110,Data[Dist],0),MATCH(H$4,Data[#Headers],0))</f>
        <v>2367784</v>
      </c>
      <c r="I110" s="22">
        <f>INDEX(Data[],MATCH($A110,Data[Dist],0),MATCH(I$4,Data[#Headers],0))</f>
        <v>3061733</v>
      </c>
      <c r="J110" s="23"/>
    </row>
    <row r="111" spans="1:10" x14ac:dyDescent="0.2">
      <c r="A111" s="20" t="str">
        <f>Data!B107</f>
        <v>2113</v>
      </c>
      <c r="B111" s="21" t="str">
        <f>INDEX(Data[],MATCH($A111,Data[Dist],0),MATCH(B$4,Data[#Headers],0))</f>
        <v>Essex</v>
      </c>
      <c r="C111" s="22">
        <f>INDEX(Data[],MATCH($A111,Data[Dist],0),MATCH(C$4,Data[#Headers],0))</f>
        <v>30407</v>
      </c>
      <c r="D111" s="22">
        <f>INDEX(Data[],MATCH($A111,Data[Dist],0),MATCH(D$4,Data[#Headers],0))</f>
        <v>136764</v>
      </c>
      <c r="E111" s="22">
        <f>INDEX(Data[],MATCH($A111,Data[Dist],0),MATCH(E$4,Data[#Headers],0))</f>
        <v>19272</v>
      </c>
      <c r="F111" s="22">
        <f>INDEX(Data[],MATCH($A111,Data[Dist],0),MATCH(F$4,Data[#Headers],0))</f>
        <v>13486</v>
      </c>
      <c r="G111" s="22">
        <f>INDEX(Data[],MATCH($A111,Data[Dist],0),MATCH(G$4,Data[#Headers],0))</f>
        <v>68362</v>
      </c>
      <c r="H111" s="22">
        <f>INDEX(Data[],MATCH($A111,Data[Dist],0),MATCH(H$4,Data[#Headers],0))</f>
        <v>1027083</v>
      </c>
      <c r="I111" s="22">
        <f>INDEX(Data[],MATCH($A111,Data[Dist],0),MATCH(I$4,Data[#Headers],0))</f>
        <v>1295374</v>
      </c>
      <c r="J111" s="23"/>
    </row>
    <row r="112" spans="1:10" x14ac:dyDescent="0.2">
      <c r="A112" s="20" t="str">
        <f>Data!B108</f>
        <v>2124</v>
      </c>
      <c r="B112" s="21" t="str">
        <f>INDEX(Data[],MATCH($A112,Data[Dist],0),MATCH(B$4,Data[#Headers],0))</f>
        <v>Estherville-Lincoln Central</v>
      </c>
      <c r="C112" s="22">
        <f>INDEX(Data[],MATCH($A112,Data[Dist],0),MATCH(C$4,Data[#Headers],0))</f>
        <v>235657</v>
      </c>
      <c r="D112" s="22">
        <f>INDEX(Data[],MATCH($A112,Data[Dist],0),MATCH(D$4,Data[#Headers],0))</f>
        <v>794738</v>
      </c>
      <c r="E112" s="22">
        <f>INDEX(Data[],MATCH($A112,Data[Dist],0),MATCH(E$4,Data[#Headers],0))</f>
        <v>100812</v>
      </c>
      <c r="F112" s="22">
        <f>INDEX(Data[],MATCH($A112,Data[Dist],0),MATCH(F$4,Data[#Headers],0))</f>
        <v>89152</v>
      </c>
      <c r="G112" s="22">
        <f>INDEX(Data[],MATCH($A112,Data[Dist],0),MATCH(G$4,Data[#Headers],0))</f>
        <v>442973</v>
      </c>
      <c r="H112" s="22">
        <f>INDEX(Data[],MATCH($A112,Data[Dist],0),MATCH(H$4,Data[#Headers],0))</f>
        <v>7295064</v>
      </c>
      <c r="I112" s="22">
        <f>INDEX(Data[],MATCH($A112,Data[Dist],0),MATCH(I$4,Data[#Headers],0))</f>
        <v>8958396</v>
      </c>
      <c r="J112" s="23"/>
    </row>
    <row r="113" spans="1:10" x14ac:dyDescent="0.2">
      <c r="A113" s="20" t="str">
        <f>Data!B109</f>
        <v>2151</v>
      </c>
      <c r="B113" s="21" t="str">
        <f>INDEX(Data[],MATCH($A113,Data[Dist],0),MATCH(B$4,Data[#Headers],0))</f>
        <v>Exira-Elk Horn-Kimballton</v>
      </c>
      <c r="C113" s="22">
        <f>INDEX(Data[],MATCH($A113,Data[Dist],0),MATCH(C$4,Data[#Headers],0))</f>
        <v>76018</v>
      </c>
      <c r="D113" s="22">
        <f>INDEX(Data[],MATCH($A113,Data[Dist],0),MATCH(D$4,Data[#Headers],0))</f>
        <v>316327</v>
      </c>
      <c r="E113" s="22">
        <f>INDEX(Data[],MATCH($A113,Data[Dist],0),MATCH(E$4,Data[#Headers],0))</f>
        <v>32653</v>
      </c>
      <c r="F113" s="22">
        <f>INDEX(Data[],MATCH($A113,Data[Dist],0),MATCH(F$4,Data[#Headers],0))</f>
        <v>33595</v>
      </c>
      <c r="G113" s="22">
        <f>INDEX(Data[],MATCH($A113,Data[Dist],0),MATCH(G$4,Data[#Headers],0))</f>
        <v>157178</v>
      </c>
      <c r="H113" s="22">
        <f>INDEX(Data[],MATCH($A113,Data[Dist],0),MATCH(H$4,Data[#Headers],0))</f>
        <v>2020577</v>
      </c>
      <c r="I113" s="22">
        <f>INDEX(Data[],MATCH($A113,Data[Dist],0),MATCH(I$4,Data[#Headers],0))</f>
        <v>2636348</v>
      </c>
      <c r="J113" s="23"/>
    </row>
    <row r="114" spans="1:10" x14ac:dyDescent="0.2">
      <c r="A114" s="20" t="str">
        <f>Data!B110</f>
        <v>2169</v>
      </c>
      <c r="B114" s="21" t="str">
        <f>INDEX(Data[],MATCH($A114,Data[Dist],0),MATCH(B$4,Data[#Headers],0))</f>
        <v>Fairfield</v>
      </c>
      <c r="C114" s="22">
        <f>INDEX(Data[],MATCH($A114,Data[Dist],0),MATCH(C$4,Data[#Headers],0))</f>
        <v>190046</v>
      </c>
      <c r="D114" s="22">
        <f>INDEX(Data[],MATCH($A114,Data[Dist],0),MATCH(D$4,Data[#Headers],0))</f>
        <v>1053129</v>
      </c>
      <c r="E114" s="22">
        <f>INDEX(Data[],MATCH($A114,Data[Dist],0),MATCH(E$4,Data[#Headers],0))</f>
        <v>121951</v>
      </c>
      <c r="F114" s="22">
        <f>INDEX(Data[],MATCH($A114,Data[Dist],0),MATCH(F$4,Data[#Headers],0))</f>
        <v>111224</v>
      </c>
      <c r="G114" s="22">
        <f>INDEX(Data[],MATCH($A114,Data[Dist],0),MATCH(G$4,Data[#Headers],0))</f>
        <v>577966</v>
      </c>
      <c r="H114" s="22">
        <f>INDEX(Data[],MATCH($A114,Data[Dist],0),MATCH(H$4,Data[#Headers],0))</f>
        <v>7727669</v>
      </c>
      <c r="I114" s="22">
        <f>INDEX(Data[],MATCH($A114,Data[Dist],0),MATCH(I$4,Data[#Headers],0))</f>
        <v>9781985</v>
      </c>
      <c r="J114" s="23"/>
    </row>
    <row r="115" spans="1:10" x14ac:dyDescent="0.2">
      <c r="A115" s="20" t="str">
        <f>Data!B111</f>
        <v>2295</v>
      </c>
      <c r="B115" s="21" t="str">
        <f>INDEX(Data[],MATCH($A115,Data[Dist],0),MATCH(B$4,Data[#Headers],0))</f>
        <v>Forest City</v>
      </c>
      <c r="C115" s="22">
        <f>INDEX(Data[],MATCH($A115,Data[Dist],0),MATCH(C$4,Data[#Headers],0))</f>
        <v>212851</v>
      </c>
      <c r="D115" s="22">
        <f>INDEX(Data[],MATCH($A115,Data[Dist],0),MATCH(D$4,Data[#Headers],0))</f>
        <v>726981</v>
      </c>
      <c r="E115" s="22">
        <f>INDEX(Data[],MATCH($A115,Data[Dist],0),MATCH(E$4,Data[#Headers],0))</f>
        <v>82659</v>
      </c>
      <c r="F115" s="22">
        <f>INDEX(Data[],MATCH($A115,Data[Dist],0),MATCH(F$4,Data[#Headers],0))</f>
        <v>84390</v>
      </c>
      <c r="G115" s="22">
        <f>INDEX(Data[],MATCH($A115,Data[Dist],0),MATCH(G$4,Data[#Headers],0))</f>
        <v>388947</v>
      </c>
      <c r="H115" s="22">
        <f>INDEX(Data[],MATCH($A115,Data[Dist],0),MATCH(H$4,Data[#Headers],0))</f>
        <v>5831714</v>
      </c>
      <c r="I115" s="22">
        <f>INDEX(Data[],MATCH($A115,Data[Dist],0),MATCH(I$4,Data[#Headers],0))</f>
        <v>7327542</v>
      </c>
      <c r="J115" s="23"/>
    </row>
    <row r="116" spans="1:10" x14ac:dyDescent="0.2">
      <c r="A116" s="20" t="str">
        <f>Data!B112</f>
        <v>2313</v>
      </c>
      <c r="B116" s="21" t="str">
        <f>INDEX(Data[],MATCH($A116,Data[Dist],0),MATCH(B$4,Data[#Headers],0))</f>
        <v>Fort Dodge</v>
      </c>
      <c r="C116" s="22">
        <f>INDEX(Data[],MATCH($A116,Data[Dist],0),MATCH(C$4,Data[#Headers],0))</f>
        <v>832494</v>
      </c>
      <c r="D116" s="22">
        <f>INDEX(Data[],MATCH($A116,Data[Dist],0),MATCH(D$4,Data[#Headers],0))</f>
        <v>2373727</v>
      </c>
      <c r="E116" s="22">
        <f>INDEX(Data[],MATCH($A116,Data[Dist],0),MATCH(E$4,Data[#Headers],0))</f>
        <v>310982</v>
      </c>
      <c r="F116" s="22">
        <f>INDEX(Data[],MATCH($A116,Data[Dist],0),MATCH(F$4,Data[#Headers],0))</f>
        <v>275408</v>
      </c>
      <c r="G116" s="22">
        <f>INDEX(Data[],MATCH($A116,Data[Dist],0),MATCH(G$4,Data[#Headers],0))</f>
        <v>1312335</v>
      </c>
      <c r="H116" s="22">
        <f>INDEX(Data[],MATCH($A116,Data[Dist],0),MATCH(H$4,Data[#Headers],0))</f>
        <v>22961853</v>
      </c>
      <c r="I116" s="22">
        <f>INDEX(Data[],MATCH($A116,Data[Dist],0),MATCH(I$4,Data[#Headers],0))</f>
        <v>28066799</v>
      </c>
      <c r="J116" s="23"/>
    </row>
    <row r="117" spans="1:10" x14ac:dyDescent="0.2">
      <c r="A117" s="20" t="str">
        <f>Data!B113</f>
        <v>2322</v>
      </c>
      <c r="B117" s="21" t="str">
        <f>INDEX(Data[],MATCH($A117,Data[Dist],0),MATCH(B$4,Data[#Headers],0))</f>
        <v>Fort Madison</v>
      </c>
      <c r="C117" s="22">
        <f>INDEX(Data[],MATCH($A117,Data[Dist],0),MATCH(C$4,Data[#Headers],0))</f>
        <v>220453</v>
      </c>
      <c r="D117" s="22">
        <f>INDEX(Data[],MATCH($A117,Data[Dist],0),MATCH(D$4,Data[#Headers],0))</f>
        <v>1320960</v>
      </c>
      <c r="E117" s="22">
        <f>INDEX(Data[],MATCH($A117,Data[Dist],0),MATCH(E$4,Data[#Headers],0))</f>
        <v>164847</v>
      </c>
      <c r="F117" s="22">
        <f>INDEX(Data[],MATCH($A117,Data[Dist],0),MATCH(F$4,Data[#Headers],0))</f>
        <v>148240</v>
      </c>
      <c r="G117" s="22">
        <f>INDEX(Data[],MATCH($A117,Data[Dist],0),MATCH(G$4,Data[#Headers],0))</f>
        <v>774687</v>
      </c>
      <c r="H117" s="22">
        <f>INDEX(Data[],MATCH($A117,Data[Dist],0),MATCH(H$4,Data[#Headers],0))</f>
        <v>12523399</v>
      </c>
      <c r="I117" s="22">
        <f>INDEX(Data[],MATCH($A117,Data[Dist],0),MATCH(I$4,Data[#Headers],0))</f>
        <v>15152586</v>
      </c>
      <c r="J117" s="23"/>
    </row>
    <row r="118" spans="1:10" x14ac:dyDescent="0.2">
      <c r="A118" s="20" t="str">
        <f>Data!B114</f>
        <v>2369</v>
      </c>
      <c r="B118" s="21" t="str">
        <f>INDEX(Data[],MATCH($A118,Data[Dist],0),MATCH(B$4,Data[#Headers],0))</f>
        <v>Fremont-Mills</v>
      </c>
      <c r="C118" s="22">
        <f>INDEX(Data[],MATCH($A118,Data[Dist],0),MATCH(C$4,Data[#Headers],0))</f>
        <v>91222</v>
      </c>
      <c r="D118" s="22">
        <f>INDEX(Data[],MATCH($A118,Data[Dist],0),MATCH(D$4,Data[#Headers],0))</f>
        <v>284635</v>
      </c>
      <c r="E118" s="22">
        <f>INDEX(Data[],MATCH($A118,Data[Dist],0),MATCH(E$4,Data[#Headers],0))</f>
        <v>36465</v>
      </c>
      <c r="F118" s="22">
        <f>INDEX(Data[],MATCH($A118,Data[Dist],0),MATCH(F$4,Data[#Headers],0))</f>
        <v>28180</v>
      </c>
      <c r="G118" s="22">
        <f>INDEX(Data[],MATCH($A118,Data[Dist],0),MATCH(G$4,Data[#Headers],0))</f>
        <v>159942</v>
      </c>
      <c r="H118" s="22">
        <f>INDEX(Data[],MATCH($A118,Data[Dist],0),MATCH(H$4,Data[#Headers],0))</f>
        <v>2428785</v>
      </c>
      <c r="I118" s="22">
        <f>INDEX(Data[],MATCH($A118,Data[Dist],0),MATCH(I$4,Data[#Headers],0))</f>
        <v>3029229</v>
      </c>
      <c r="J118" s="23"/>
    </row>
    <row r="119" spans="1:10" x14ac:dyDescent="0.2">
      <c r="A119" s="20" t="str">
        <f>Data!B115</f>
        <v>2376</v>
      </c>
      <c r="B119" s="21" t="str">
        <f>INDEX(Data[],MATCH($A119,Data[Dist],0),MATCH(B$4,Data[#Headers],0))</f>
        <v>Galva-Holstein</v>
      </c>
      <c r="C119" s="22">
        <f>INDEX(Data[],MATCH($A119,Data[Dist],0),MATCH(C$4,Data[#Headers],0))</f>
        <v>95023</v>
      </c>
      <c r="D119" s="22">
        <f>INDEX(Data[],MATCH($A119,Data[Dist],0),MATCH(D$4,Data[#Headers],0))</f>
        <v>325988</v>
      </c>
      <c r="E119" s="22">
        <f>INDEX(Data[],MATCH($A119,Data[Dist],0),MATCH(E$4,Data[#Headers],0))</f>
        <v>35881</v>
      </c>
      <c r="F119" s="22">
        <f>INDEX(Data[],MATCH($A119,Data[Dist],0),MATCH(F$4,Data[#Headers],0))</f>
        <v>34206</v>
      </c>
      <c r="G119" s="22">
        <f>INDEX(Data[],MATCH($A119,Data[Dist],0),MATCH(G$4,Data[#Headers],0))</f>
        <v>170998</v>
      </c>
      <c r="H119" s="22">
        <f>INDEX(Data[],MATCH($A119,Data[Dist],0),MATCH(H$4,Data[#Headers],0))</f>
        <v>1939571</v>
      </c>
      <c r="I119" s="22">
        <f>INDEX(Data[],MATCH($A119,Data[Dist],0),MATCH(I$4,Data[#Headers],0))</f>
        <v>2601667</v>
      </c>
      <c r="J119" s="23"/>
    </row>
    <row r="120" spans="1:10" x14ac:dyDescent="0.2">
      <c r="A120" s="20" t="str">
        <f>Data!B116</f>
        <v>2403</v>
      </c>
      <c r="B120" s="21" t="str">
        <f>INDEX(Data[],MATCH($A120,Data[Dist],0),MATCH(B$4,Data[#Headers],0))</f>
        <v>Garner-Hayfield-Ventura</v>
      </c>
      <c r="C120" s="22">
        <f>INDEX(Data[],MATCH($A120,Data[Dist],0),MATCH(C$4,Data[#Headers],0))</f>
        <v>281268</v>
      </c>
      <c r="D120" s="22">
        <f>INDEX(Data[],MATCH($A120,Data[Dist],0),MATCH(D$4,Data[#Headers],0))</f>
        <v>586721</v>
      </c>
      <c r="E120" s="22">
        <f>INDEX(Data[],MATCH($A120,Data[Dist],0),MATCH(E$4,Data[#Headers],0))</f>
        <v>68026</v>
      </c>
      <c r="F120" s="22">
        <f>INDEX(Data[],MATCH($A120,Data[Dist],0),MATCH(F$4,Data[#Headers],0))</f>
        <v>65272</v>
      </c>
      <c r="G120" s="22">
        <f>INDEX(Data[],MATCH($A120,Data[Dist],0),MATCH(G$4,Data[#Headers],0))</f>
        <v>313251</v>
      </c>
      <c r="H120" s="22">
        <f>INDEX(Data[],MATCH($A120,Data[Dist],0),MATCH(H$4,Data[#Headers],0))</f>
        <v>2911437</v>
      </c>
      <c r="I120" s="22">
        <f>INDEX(Data[],MATCH($A120,Data[Dist],0),MATCH(I$4,Data[#Headers],0))</f>
        <v>4225975</v>
      </c>
      <c r="J120" s="23"/>
    </row>
    <row r="121" spans="1:10" x14ac:dyDescent="0.2">
      <c r="A121" s="20" t="str">
        <f>Data!B117</f>
        <v>2457</v>
      </c>
      <c r="B121" s="21" t="str">
        <f>INDEX(Data[],MATCH($A121,Data[Dist],0),MATCH(B$4,Data[#Headers],0))</f>
        <v>George-Little Rock</v>
      </c>
      <c r="C121" s="22">
        <f>INDEX(Data[],MATCH($A121,Data[Dist],0),MATCH(C$4,Data[#Headers],0))</f>
        <v>87422</v>
      </c>
      <c r="D121" s="22">
        <f>INDEX(Data[],MATCH($A121,Data[Dist],0),MATCH(D$4,Data[#Headers],0))</f>
        <v>308837</v>
      </c>
      <c r="E121" s="22">
        <f>INDEX(Data[],MATCH($A121,Data[Dist],0),MATCH(E$4,Data[#Headers],0))</f>
        <v>35307</v>
      </c>
      <c r="F121" s="22">
        <f>INDEX(Data[],MATCH($A121,Data[Dist],0),MATCH(F$4,Data[#Headers],0))</f>
        <v>34407</v>
      </c>
      <c r="G121" s="22">
        <f>INDEX(Data[],MATCH($A121,Data[Dist],0),MATCH(G$4,Data[#Headers],0))</f>
        <v>167571</v>
      </c>
      <c r="H121" s="22">
        <f>INDEX(Data[],MATCH($A121,Data[Dist],0),MATCH(H$4,Data[#Headers],0))</f>
        <v>2109046</v>
      </c>
      <c r="I121" s="22">
        <f>INDEX(Data[],MATCH($A121,Data[Dist],0),MATCH(I$4,Data[#Headers],0))</f>
        <v>2742590</v>
      </c>
      <c r="J121" s="23"/>
    </row>
    <row r="122" spans="1:10" x14ac:dyDescent="0.2">
      <c r="A122" s="20" t="str">
        <f>Data!B118</f>
        <v>2466</v>
      </c>
      <c r="B122" s="21" t="str">
        <f>INDEX(Data[],MATCH($A122,Data[Dist],0),MATCH(B$4,Data[#Headers],0))</f>
        <v>Gilbert</v>
      </c>
      <c r="C122" s="22">
        <f>INDEX(Data[],MATCH($A122,Data[Dist],0),MATCH(C$4,Data[#Headers],0))</f>
        <v>285069</v>
      </c>
      <c r="D122" s="22">
        <f>INDEX(Data[],MATCH($A122,Data[Dist],0),MATCH(D$4,Data[#Headers],0))</f>
        <v>989879</v>
      </c>
      <c r="E122" s="22">
        <f>INDEX(Data[],MATCH($A122,Data[Dist],0),MATCH(E$4,Data[#Headers],0))</f>
        <v>98693</v>
      </c>
      <c r="F122" s="22">
        <f>INDEX(Data[],MATCH($A122,Data[Dist],0),MATCH(F$4,Data[#Headers],0))</f>
        <v>110022</v>
      </c>
      <c r="G122" s="22">
        <f>INDEX(Data[],MATCH($A122,Data[Dist],0),MATCH(G$4,Data[#Headers],0))</f>
        <v>584747</v>
      </c>
      <c r="H122" s="22">
        <f>INDEX(Data[],MATCH($A122,Data[Dist],0),MATCH(H$4,Data[#Headers],0))</f>
        <v>7946434</v>
      </c>
      <c r="I122" s="22">
        <f>INDEX(Data[],MATCH($A122,Data[Dist],0),MATCH(I$4,Data[#Headers],0))</f>
        <v>10014844</v>
      </c>
      <c r="J122" s="23"/>
    </row>
    <row r="123" spans="1:10" x14ac:dyDescent="0.2">
      <c r="A123" s="20" t="str">
        <f>Data!B119</f>
        <v>2493</v>
      </c>
      <c r="B123" s="21" t="str">
        <f>INDEX(Data[],MATCH($A123,Data[Dist],0),MATCH(B$4,Data[#Headers],0))</f>
        <v>Gilmore City-Bradgate</v>
      </c>
      <c r="C123" s="22">
        <f>INDEX(Data[],MATCH($A123,Data[Dist],0),MATCH(C$4,Data[#Headers],0))</f>
        <v>60815</v>
      </c>
      <c r="D123" s="22">
        <f>INDEX(Data[],MATCH($A123,Data[Dist],0),MATCH(D$4,Data[#Headers],0))</f>
        <v>126877</v>
      </c>
      <c r="E123" s="22">
        <f>INDEX(Data[],MATCH($A123,Data[Dist],0),MATCH(E$4,Data[#Headers],0))</f>
        <v>10812</v>
      </c>
      <c r="F123" s="22">
        <f>INDEX(Data[],MATCH($A123,Data[Dist],0),MATCH(F$4,Data[#Headers],0))</f>
        <v>14919</v>
      </c>
      <c r="G123" s="22">
        <f>INDEX(Data[],MATCH($A123,Data[Dist],0),MATCH(G$4,Data[#Headers],0))</f>
        <v>64124</v>
      </c>
      <c r="H123" s="22">
        <f>INDEX(Data[],MATCH($A123,Data[Dist],0),MATCH(H$4,Data[#Headers],0))</f>
        <v>934374</v>
      </c>
      <c r="I123" s="22">
        <f>INDEX(Data[],MATCH($A123,Data[Dist],0),MATCH(I$4,Data[#Headers],0))</f>
        <v>1211921</v>
      </c>
      <c r="J123" s="23"/>
    </row>
    <row r="124" spans="1:10" x14ac:dyDescent="0.2">
      <c r="A124" s="20" t="str">
        <f>Data!B120</f>
        <v>2502</v>
      </c>
      <c r="B124" s="21" t="str">
        <f>INDEX(Data[],MATCH($A124,Data[Dist],0),MATCH(B$4,Data[#Headers],0))</f>
        <v>Gladbrook-Reinbeck</v>
      </c>
      <c r="C124" s="22">
        <f>INDEX(Data[],MATCH($A124,Data[Dist],0),MATCH(C$4,Data[#Headers],0))</f>
        <v>106426</v>
      </c>
      <c r="D124" s="22">
        <f>INDEX(Data[],MATCH($A124,Data[Dist],0),MATCH(D$4,Data[#Headers],0))</f>
        <v>434789</v>
      </c>
      <c r="E124" s="22">
        <f>INDEX(Data[],MATCH($A124,Data[Dist],0),MATCH(E$4,Data[#Headers],0))</f>
        <v>39871</v>
      </c>
      <c r="F124" s="22">
        <f>INDEX(Data[],MATCH($A124,Data[Dist],0),MATCH(F$4,Data[#Headers],0))</f>
        <v>45273</v>
      </c>
      <c r="G124" s="22">
        <f>INDEX(Data[],MATCH($A124,Data[Dist],0),MATCH(G$4,Data[#Headers],0))</f>
        <v>227494</v>
      </c>
      <c r="H124" s="22">
        <f>INDEX(Data[],MATCH($A124,Data[Dist],0),MATCH(H$4,Data[#Headers],0))</f>
        <v>2970436</v>
      </c>
      <c r="I124" s="22">
        <f>INDEX(Data[],MATCH($A124,Data[Dist],0),MATCH(I$4,Data[#Headers],0))</f>
        <v>3824289</v>
      </c>
      <c r="J124" s="23"/>
    </row>
    <row r="125" spans="1:10" x14ac:dyDescent="0.2">
      <c r="A125" s="20" t="str">
        <f>Data!B121</f>
        <v>2511</v>
      </c>
      <c r="B125" s="21" t="str">
        <f>INDEX(Data[],MATCH($A125,Data[Dist],0),MATCH(B$4,Data[#Headers],0))</f>
        <v>Glenwood</v>
      </c>
      <c r="C125" s="22">
        <f>INDEX(Data[],MATCH($A125,Data[Dist],0),MATCH(C$4,Data[#Headers],0))</f>
        <v>182444</v>
      </c>
      <c r="D125" s="22">
        <f>INDEX(Data[],MATCH($A125,Data[Dist],0),MATCH(D$4,Data[#Headers],0))</f>
        <v>1209540</v>
      </c>
      <c r="E125" s="22">
        <f>INDEX(Data[],MATCH($A125,Data[Dist],0),MATCH(E$4,Data[#Headers],0))</f>
        <v>149655</v>
      </c>
      <c r="F125" s="22">
        <f>INDEX(Data[],MATCH($A125,Data[Dist],0),MATCH(F$4,Data[#Headers],0))</f>
        <v>131617</v>
      </c>
      <c r="G125" s="22">
        <f>INDEX(Data[],MATCH($A125,Data[Dist],0),MATCH(G$4,Data[#Headers],0))</f>
        <v>707172</v>
      </c>
      <c r="H125" s="22">
        <f>INDEX(Data[],MATCH($A125,Data[Dist],0),MATCH(H$4,Data[#Headers],0))</f>
        <v>11109214</v>
      </c>
      <c r="I125" s="22">
        <f>INDEX(Data[],MATCH($A125,Data[Dist],0),MATCH(I$4,Data[#Headers],0))</f>
        <v>13489642</v>
      </c>
      <c r="J125" s="23"/>
    </row>
    <row r="126" spans="1:10" x14ac:dyDescent="0.2">
      <c r="A126" s="20" t="str">
        <f>Data!B122</f>
        <v>2520</v>
      </c>
      <c r="B126" s="21" t="str">
        <f>INDEX(Data[],MATCH($A126,Data[Dist],0),MATCH(B$4,Data[#Headers],0))</f>
        <v>Glidden-Ralston</v>
      </c>
      <c r="C126" s="22">
        <f>INDEX(Data[],MATCH($A126,Data[Dist],0),MATCH(C$4,Data[#Headers],0))</f>
        <v>133033</v>
      </c>
      <c r="D126" s="22">
        <f>INDEX(Data[],MATCH($A126,Data[Dist],0),MATCH(D$4,Data[#Headers],0))</f>
        <v>209195</v>
      </c>
      <c r="E126" s="22">
        <f>INDEX(Data[],MATCH($A126,Data[Dist],0),MATCH(E$4,Data[#Headers],0))</f>
        <v>22976</v>
      </c>
      <c r="F126" s="22">
        <f>INDEX(Data[],MATCH($A126,Data[Dist],0),MATCH(F$4,Data[#Headers],0))</f>
        <v>22304</v>
      </c>
      <c r="G126" s="22">
        <f>INDEX(Data[],MATCH($A126,Data[Dist],0),MATCH(G$4,Data[#Headers],0))</f>
        <v>109085</v>
      </c>
      <c r="H126" s="22">
        <f>INDEX(Data[],MATCH($A126,Data[Dist],0),MATCH(H$4,Data[#Headers],0))</f>
        <v>1350139</v>
      </c>
      <c r="I126" s="22">
        <f>INDEX(Data[],MATCH($A126,Data[Dist],0),MATCH(I$4,Data[#Headers],0))</f>
        <v>1846732</v>
      </c>
      <c r="J126" s="23"/>
    </row>
    <row r="127" spans="1:10" x14ac:dyDescent="0.2">
      <c r="A127" s="20" t="str">
        <f>Data!B123</f>
        <v>2556</v>
      </c>
      <c r="B127" s="21" t="str">
        <f>INDEX(Data[],MATCH($A127,Data[Dist],0),MATCH(B$4,Data[#Headers],0))</f>
        <v>Graettinger-Terril</v>
      </c>
      <c r="C127" s="22">
        <f>INDEX(Data[],MATCH($A127,Data[Dist],0),MATCH(C$4,Data[#Headers],0))</f>
        <v>98824</v>
      </c>
      <c r="D127" s="22">
        <f>INDEX(Data[],MATCH($A127,Data[Dist],0),MATCH(D$4,Data[#Headers],0))</f>
        <v>260846</v>
      </c>
      <c r="E127" s="22">
        <f>INDEX(Data[],MATCH($A127,Data[Dist],0),MATCH(E$4,Data[#Headers],0))</f>
        <v>30471</v>
      </c>
      <c r="F127" s="22">
        <f>INDEX(Data[],MATCH($A127,Data[Dist],0),MATCH(F$4,Data[#Headers],0))</f>
        <v>25228</v>
      </c>
      <c r="G127" s="22">
        <f>INDEX(Data[],MATCH($A127,Data[Dist],0),MATCH(G$4,Data[#Headers],0))</f>
        <v>139304</v>
      </c>
      <c r="H127" s="22">
        <f>INDEX(Data[],MATCH($A127,Data[Dist],0),MATCH(H$4,Data[#Headers],0))</f>
        <v>1442396</v>
      </c>
      <c r="I127" s="22">
        <f>INDEX(Data[],MATCH($A127,Data[Dist],0),MATCH(I$4,Data[#Headers],0))</f>
        <v>1997069</v>
      </c>
      <c r="J127" s="23"/>
    </row>
    <row r="128" spans="1:10" x14ac:dyDescent="0.2">
      <c r="A128" s="20" t="str">
        <f>Data!B124</f>
        <v>2673</v>
      </c>
      <c r="B128" s="21" t="str">
        <f>INDEX(Data[],MATCH($A128,Data[Dist],0),MATCH(B$4,Data[#Headers],0))</f>
        <v>Nodaway Valley</v>
      </c>
      <c r="C128" s="22">
        <f>INDEX(Data[],MATCH($A128,Data[Dist],0),MATCH(C$4,Data[#Headers],0))</f>
        <v>83620</v>
      </c>
      <c r="D128" s="22">
        <f>INDEX(Data[],MATCH($A128,Data[Dist],0),MATCH(D$4,Data[#Headers],0))</f>
        <v>434196</v>
      </c>
      <c r="E128" s="22">
        <f>INDEX(Data[],MATCH($A128,Data[Dist],0),MATCH(E$4,Data[#Headers],0))</f>
        <v>49412</v>
      </c>
      <c r="F128" s="22">
        <f>INDEX(Data[],MATCH($A128,Data[Dist],0),MATCH(F$4,Data[#Headers],0))</f>
        <v>49669</v>
      </c>
      <c r="G128" s="22">
        <f>INDEX(Data[],MATCH($A128,Data[Dist],0),MATCH(G$4,Data[#Headers],0))</f>
        <v>230884</v>
      </c>
      <c r="H128" s="22">
        <f>INDEX(Data[],MATCH($A128,Data[Dist],0),MATCH(H$4,Data[#Headers],0))</f>
        <v>3279989</v>
      </c>
      <c r="I128" s="22">
        <f>INDEX(Data[],MATCH($A128,Data[Dist],0),MATCH(I$4,Data[#Headers],0))</f>
        <v>4127770</v>
      </c>
      <c r="J128" s="23"/>
    </row>
    <row r="129" spans="1:10" x14ac:dyDescent="0.2">
      <c r="A129" s="20" t="str">
        <f>Data!B125</f>
        <v>2682</v>
      </c>
      <c r="B129" s="21" t="str">
        <f>INDEX(Data[],MATCH($A129,Data[Dist],0),MATCH(B$4,Data[#Headers],0))</f>
        <v>GMG</v>
      </c>
      <c r="C129" s="22">
        <f>INDEX(Data[],MATCH($A129,Data[Dist],0),MATCH(C$4,Data[#Headers],0))</f>
        <v>95023</v>
      </c>
      <c r="D129" s="22">
        <f>INDEX(Data[],MATCH($A129,Data[Dist],0),MATCH(D$4,Data[#Headers],0))</f>
        <v>191547</v>
      </c>
      <c r="E129" s="22">
        <f>INDEX(Data[],MATCH($A129,Data[Dist],0),MATCH(E$4,Data[#Headers],0))</f>
        <v>22834</v>
      </c>
      <c r="F129" s="22">
        <f>INDEX(Data[],MATCH($A129,Data[Dist],0),MATCH(F$4,Data[#Headers],0))</f>
        <v>22561</v>
      </c>
      <c r="G129" s="22">
        <f>INDEX(Data[],MATCH($A129,Data[Dist],0),MATCH(G$4,Data[#Headers],0))</f>
        <v>93791</v>
      </c>
      <c r="H129" s="22">
        <f>INDEX(Data[],MATCH($A129,Data[Dist],0),MATCH(H$4,Data[#Headers],0))</f>
        <v>912083</v>
      </c>
      <c r="I129" s="22">
        <f>INDEX(Data[],MATCH($A129,Data[Dist],0),MATCH(I$4,Data[#Headers],0))</f>
        <v>1337839</v>
      </c>
      <c r="J129" s="23"/>
    </row>
    <row r="130" spans="1:10" x14ac:dyDescent="0.2">
      <c r="A130" s="20" t="str">
        <f>Data!B126</f>
        <v>2709</v>
      </c>
      <c r="B130" s="21" t="str">
        <f>INDEX(Data[],MATCH($A130,Data[Dist],0),MATCH(B$4,Data[#Headers],0))</f>
        <v>Grinnell-Newburg</v>
      </c>
      <c r="C130" s="22">
        <f>INDEX(Data[],MATCH($A130,Data[Dist],0),MATCH(C$4,Data[#Headers],0))</f>
        <v>273666</v>
      </c>
      <c r="D130" s="22">
        <f>INDEX(Data[],MATCH($A130,Data[Dist],0),MATCH(D$4,Data[#Headers],0))</f>
        <v>967048</v>
      </c>
      <c r="E130" s="22">
        <f>INDEX(Data[],MATCH($A130,Data[Dist],0),MATCH(E$4,Data[#Headers],0))</f>
        <v>117886</v>
      </c>
      <c r="F130" s="22">
        <f>INDEX(Data[],MATCH($A130,Data[Dist],0),MATCH(F$4,Data[#Headers],0))</f>
        <v>106229</v>
      </c>
      <c r="G130" s="22">
        <f>INDEX(Data[],MATCH($A130,Data[Dist],0),MATCH(G$4,Data[#Headers],0))</f>
        <v>552168</v>
      </c>
      <c r="H130" s="22">
        <f>INDEX(Data[],MATCH($A130,Data[Dist],0),MATCH(H$4,Data[#Headers],0))</f>
        <v>8058581</v>
      </c>
      <c r="I130" s="22">
        <f>INDEX(Data[],MATCH($A130,Data[Dist],0),MATCH(I$4,Data[#Headers],0))</f>
        <v>10075578</v>
      </c>
      <c r="J130" s="23"/>
    </row>
    <row r="131" spans="1:10" x14ac:dyDescent="0.2">
      <c r="A131" s="20" t="str">
        <f>Data!B127</f>
        <v>2718</v>
      </c>
      <c r="B131" s="21" t="str">
        <f>INDEX(Data[],MATCH($A131,Data[Dist],0),MATCH(B$4,Data[#Headers],0))</f>
        <v>Griswold</v>
      </c>
      <c r="C131" s="22">
        <f>INDEX(Data[],MATCH($A131,Data[Dist],0),MATCH(C$4,Data[#Headers],0))</f>
        <v>114027</v>
      </c>
      <c r="D131" s="22">
        <f>INDEX(Data[],MATCH($A131,Data[Dist],0),MATCH(D$4,Data[#Headers],0))</f>
        <v>288137</v>
      </c>
      <c r="E131" s="22">
        <f>INDEX(Data[],MATCH($A131,Data[Dist],0),MATCH(E$4,Data[#Headers],0))</f>
        <v>30880</v>
      </c>
      <c r="F131" s="22">
        <f>INDEX(Data[],MATCH($A131,Data[Dist],0),MATCH(F$4,Data[#Headers],0))</f>
        <v>30289</v>
      </c>
      <c r="G131" s="22">
        <f>INDEX(Data[],MATCH($A131,Data[Dist],0),MATCH(G$4,Data[#Headers],0))</f>
        <v>165028</v>
      </c>
      <c r="H131" s="22">
        <f>INDEX(Data[],MATCH($A131,Data[Dist],0),MATCH(H$4,Data[#Headers],0))</f>
        <v>2162437</v>
      </c>
      <c r="I131" s="22">
        <f>INDEX(Data[],MATCH($A131,Data[Dist],0),MATCH(I$4,Data[#Headers],0))</f>
        <v>2790798</v>
      </c>
      <c r="J131" s="23"/>
    </row>
    <row r="132" spans="1:10" x14ac:dyDescent="0.2">
      <c r="A132" s="20" t="str">
        <f>Data!B128</f>
        <v>2727</v>
      </c>
      <c r="B132" s="21" t="str">
        <f>INDEX(Data[],MATCH($A132,Data[Dist],0),MATCH(B$4,Data[#Headers],0))</f>
        <v>Grundy Center</v>
      </c>
      <c r="C132" s="22">
        <f>INDEX(Data[],MATCH($A132,Data[Dist],0),MATCH(C$4,Data[#Headers],0))</f>
        <v>178644</v>
      </c>
      <c r="D132" s="22">
        <f>INDEX(Data[],MATCH($A132,Data[Dist],0),MATCH(D$4,Data[#Headers],0))</f>
        <v>480523</v>
      </c>
      <c r="E132" s="22">
        <f>INDEX(Data[],MATCH($A132,Data[Dist],0),MATCH(E$4,Data[#Headers],0))</f>
        <v>47707</v>
      </c>
      <c r="F132" s="22">
        <f>INDEX(Data[],MATCH($A132,Data[Dist],0),MATCH(F$4,Data[#Headers],0))</f>
        <v>51722</v>
      </c>
      <c r="G132" s="22">
        <f>INDEX(Data[],MATCH($A132,Data[Dist],0),MATCH(G$4,Data[#Headers],0))</f>
        <v>250342</v>
      </c>
      <c r="H132" s="22">
        <f>INDEX(Data[],MATCH($A132,Data[Dist],0),MATCH(H$4,Data[#Headers],0))</f>
        <v>3807988</v>
      </c>
      <c r="I132" s="22">
        <f>INDEX(Data[],MATCH($A132,Data[Dist],0),MATCH(I$4,Data[#Headers],0))</f>
        <v>4816926</v>
      </c>
      <c r="J132" s="23"/>
    </row>
    <row r="133" spans="1:10" x14ac:dyDescent="0.2">
      <c r="A133" s="20" t="str">
        <f>Data!B129</f>
        <v>2754</v>
      </c>
      <c r="B133" s="21" t="str">
        <f>INDEX(Data[],MATCH($A133,Data[Dist],0),MATCH(B$4,Data[#Headers],0))</f>
        <v>Guthrie Center</v>
      </c>
      <c r="C133" s="22">
        <f>INDEX(Data[],MATCH($A133,Data[Dist],0),MATCH(C$4,Data[#Headers],0))</f>
        <v>129231</v>
      </c>
      <c r="D133" s="22">
        <f>INDEX(Data[],MATCH($A133,Data[Dist],0),MATCH(D$4,Data[#Headers],0))</f>
        <v>273060</v>
      </c>
      <c r="E133" s="22">
        <f>INDEX(Data[],MATCH($A133,Data[Dist],0),MATCH(E$4,Data[#Headers],0))</f>
        <v>33276</v>
      </c>
      <c r="F133" s="22">
        <f>INDEX(Data[],MATCH($A133,Data[Dist],0),MATCH(F$4,Data[#Headers],0))</f>
        <v>28219</v>
      </c>
      <c r="G133" s="22">
        <f>INDEX(Data[],MATCH($A133,Data[Dist],0),MATCH(G$4,Data[#Headers],0))</f>
        <v>147449</v>
      </c>
      <c r="H133" s="22">
        <f>INDEX(Data[],MATCH($A133,Data[Dist],0),MATCH(H$4,Data[#Headers],0))</f>
        <v>1936990</v>
      </c>
      <c r="I133" s="22">
        <f>INDEX(Data[],MATCH($A133,Data[Dist],0),MATCH(I$4,Data[#Headers],0))</f>
        <v>2548225</v>
      </c>
      <c r="J133" s="23"/>
    </row>
    <row r="134" spans="1:10" x14ac:dyDescent="0.2">
      <c r="A134" s="20" t="str">
        <f>Data!B130</f>
        <v>2763</v>
      </c>
      <c r="B134" s="21" t="str">
        <f>INDEX(Data[],MATCH($A134,Data[Dist],0),MATCH(B$4,Data[#Headers],0))</f>
        <v>Clayton Ridge</v>
      </c>
      <c r="C134" s="22">
        <f>INDEX(Data[],MATCH($A134,Data[Dist],0),MATCH(C$4,Data[#Headers],0))</f>
        <v>91222</v>
      </c>
      <c r="D134" s="22">
        <f>INDEX(Data[],MATCH($A134,Data[Dist],0),MATCH(D$4,Data[#Headers],0))</f>
        <v>422999</v>
      </c>
      <c r="E134" s="22">
        <f>INDEX(Data[],MATCH($A134,Data[Dist],0),MATCH(E$4,Data[#Headers],0))</f>
        <v>44028</v>
      </c>
      <c r="F134" s="22">
        <f>INDEX(Data[],MATCH($A134,Data[Dist],0),MATCH(F$4,Data[#Headers],0))</f>
        <v>47879</v>
      </c>
      <c r="G134" s="22">
        <f>INDEX(Data[],MATCH($A134,Data[Dist],0),MATCH(G$4,Data[#Headers],0))</f>
        <v>236559</v>
      </c>
      <c r="H134" s="22">
        <f>INDEX(Data[],MATCH($A134,Data[Dist],0),MATCH(H$4,Data[#Headers],0))</f>
        <v>2748138</v>
      </c>
      <c r="I134" s="22">
        <f>INDEX(Data[],MATCH($A134,Data[Dist],0),MATCH(I$4,Data[#Headers],0))</f>
        <v>3590825</v>
      </c>
      <c r="J134" s="23"/>
    </row>
    <row r="135" spans="1:10" x14ac:dyDescent="0.2">
      <c r="A135" s="20" t="str">
        <f>Data!B131</f>
        <v>2766</v>
      </c>
      <c r="B135" s="21" t="str">
        <f>INDEX(Data[],MATCH($A135,Data[Dist],0),MATCH(B$4,Data[#Headers],0))</f>
        <v>HLV</v>
      </c>
      <c r="C135" s="22">
        <f>INDEX(Data[],MATCH($A135,Data[Dist],0),MATCH(C$4,Data[#Headers],0))</f>
        <v>64616</v>
      </c>
      <c r="D135" s="22">
        <f>INDEX(Data[],MATCH($A135,Data[Dist],0),MATCH(D$4,Data[#Headers],0))</f>
        <v>215688</v>
      </c>
      <c r="E135" s="22">
        <f>INDEX(Data[],MATCH($A135,Data[Dist],0),MATCH(E$4,Data[#Headers],0))</f>
        <v>22943</v>
      </c>
      <c r="F135" s="22">
        <f>INDEX(Data[],MATCH($A135,Data[Dist],0),MATCH(F$4,Data[#Headers],0))</f>
        <v>22440</v>
      </c>
      <c r="G135" s="22">
        <f>INDEX(Data[],MATCH($A135,Data[Dist],0),MATCH(G$4,Data[#Headers],0))</f>
        <v>116786</v>
      </c>
      <c r="H135" s="22">
        <f>INDEX(Data[],MATCH($A135,Data[Dist],0),MATCH(H$4,Data[#Headers],0))</f>
        <v>1508498</v>
      </c>
      <c r="I135" s="22">
        <f>INDEX(Data[],MATCH($A135,Data[Dist],0),MATCH(I$4,Data[#Headers],0))</f>
        <v>1950971</v>
      </c>
      <c r="J135" s="23"/>
    </row>
    <row r="136" spans="1:10" x14ac:dyDescent="0.2">
      <c r="A136" s="20" t="str">
        <f>Data!B132</f>
        <v>2772</v>
      </c>
      <c r="B136" s="21" t="str">
        <f>INDEX(Data[],MATCH($A136,Data[Dist],0),MATCH(B$4,Data[#Headers],0))</f>
        <v>Hamburg</v>
      </c>
      <c r="C136" s="22">
        <f>INDEX(Data[],MATCH($A136,Data[Dist],0),MATCH(C$4,Data[#Headers],0))</f>
        <v>41811</v>
      </c>
      <c r="D136" s="22">
        <f>INDEX(Data[],MATCH($A136,Data[Dist],0),MATCH(D$4,Data[#Headers],0))</f>
        <v>151036</v>
      </c>
      <c r="E136" s="22">
        <f>INDEX(Data[],MATCH($A136,Data[Dist],0),MATCH(E$4,Data[#Headers],0))</f>
        <v>17736</v>
      </c>
      <c r="F136" s="22">
        <f>INDEX(Data[],MATCH($A136,Data[Dist],0),MATCH(F$4,Data[#Headers],0))</f>
        <v>15761</v>
      </c>
      <c r="G136" s="22">
        <f>INDEX(Data[],MATCH($A136,Data[Dist],0),MATCH(G$4,Data[#Headers],0))</f>
        <v>83288</v>
      </c>
      <c r="H136" s="22">
        <f>INDEX(Data[],MATCH($A136,Data[Dist],0),MATCH(H$4,Data[#Headers],0))</f>
        <v>912291</v>
      </c>
      <c r="I136" s="22">
        <f>INDEX(Data[],MATCH($A136,Data[Dist],0),MATCH(I$4,Data[#Headers],0))</f>
        <v>1221923</v>
      </c>
      <c r="J136" s="23"/>
    </row>
    <row r="137" spans="1:10" x14ac:dyDescent="0.2">
      <c r="A137" s="20" t="str">
        <f>Data!B133</f>
        <v>2781</v>
      </c>
      <c r="B137" s="21" t="str">
        <f>INDEX(Data[],MATCH($A137,Data[Dist],0),MATCH(B$4,Data[#Headers],0))</f>
        <v>Hampton-Dumont</v>
      </c>
      <c r="C137" s="22">
        <f>INDEX(Data[],MATCH($A137,Data[Dist],0),MATCH(C$4,Data[#Headers],0))</f>
        <v>205249</v>
      </c>
      <c r="D137" s="22">
        <f>INDEX(Data[],MATCH($A137,Data[Dist],0),MATCH(D$4,Data[#Headers],0))</f>
        <v>760599</v>
      </c>
      <c r="E137" s="22">
        <f>INDEX(Data[],MATCH($A137,Data[Dist],0),MATCH(E$4,Data[#Headers],0))</f>
        <v>97598</v>
      </c>
      <c r="F137" s="22">
        <f>INDEX(Data[],MATCH($A137,Data[Dist],0),MATCH(F$4,Data[#Headers],0))</f>
        <v>82798</v>
      </c>
      <c r="G137" s="22">
        <f>INDEX(Data[],MATCH($A137,Data[Dist],0),MATCH(G$4,Data[#Headers],0))</f>
        <v>412569</v>
      </c>
      <c r="H137" s="22">
        <f>INDEX(Data[],MATCH($A137,Data[Dist],0),MATCH(H$4,Data[#Headers],0))</f>
        <v>6448518</v>
      </c>
      <c r="I137" s="22">
        <f>INDEX(Data[],MATCH($A137,Data[Dist],0),MATCH(I$4,Data[#Headers],0))</f>
        <v>8007331</v>
      </c>
      <c r="J137" s="23"/>
    </row>
    <row r="138" spans="1:10" x14ac:dyDescent="0.2">
      <c r="A138" s="20" t="str">
        <f>Data!B134</f>
        <v>2826</v>
      </c>
      <c r="B138" s="21" t="str">
        <f>INDEX(Data[],MATCH($A138,Data[Dist],0),MATCH(B$4,Data[#Headers],0))</f>
        <v>Harlan</v>
      </c>
      <c r="C138" s="22">
        <f>INDEX(Data[],MATCH($A138,Data[Dist],0),MATCH(C$4,Data[#Headers],0))</f>
        <v>311675</v>
      </c>
      <c r="D138" s="22">
        <f>INDEX(Data[],MATCH($A138,Data[Dist],0),MATCH(D$4,Data[#Headers],0))</f>
        <v>900643</v>
      </c>
      <c r="E138" s="22">
        <f>INDEX(Data[],MATCH($A138,Data[Dist],0),MATCH(E$4,Data[#Headers],0))</f>
        <v>105472</v>
      </c>
      <c r="F138" s="22">
        <f>INDEX(Data[],MATCH($A138,Data[Dist],0),MATCH(F$4,Data[#Headers],0))</f>
        <v>105334</v>
      </c>
      <c r="G138" s="22">
        <f>INDEX(Data[],MATCH($A138,Data[Dist],0),MATCH(G$4,Data[#Headers],0))</f>
        <v>506839</v>
      </c>
      <c r="H138" s="22">
        <f>INDEX(Data[],MATCH($A138,Data[Dist],0),MATCH(H$4,Data[#Headers],0))</f>
        <v>7591869</v>
      </c>
      <c r="I138" s="22">
        <f>INDEX(Data[],MATCH($A138,Data[Dist],0),MATCH(I$4,Data[#Headers],0))</f>
        <v>9521832</v>
      </c>
      <c r="J138" s="23"/>
    </row>
    <row r="139" spans="1:10" x14ac:dyDescent="0.2">
      <c r="A139" s="20" t="str">
        <f>Data!B135</f>
        <v>2846</v>
      </c>
      <c r="B139" s="21" t="str">
        <f>INDEX(Data[],MATCH($A139,Data[Dist],0),MATCH(B$4,Data[#Headers],0))</f>
        <v>Harris-Lake Park</v>
      </c>
      <c r="C139" s="22">
        <f>INDEX(Data[],MATCH($A139,Data[Dist],0),MATCH(C$4,Data[#Headers],0))</f>
        <v>57014</v>
      </c>
      <c r="D139" s="22">
        <f>INDEX(Data[],MATCH($A139,Data[Dist],0),MATCH(D$4,Data[#Headers],0))</f>
        <v>200490</v>
      </c>
      <c r="E139" s="22">
        <f>INDEX(Data[],MATCH($A139,Data[Dist],0),MATCH(E$4,Data[#Headers],0))</f>
        <v>26863</v>
      </c>
      <c r="F139" s="22">
        <f>INDEX(Data[],MATCH($A139,Data[Dist],0),MATCH(F$4,Data[#Headers],0))</f>
        <v>21103</v>
      </c>
      <c r="G139" s="22">
        <f>INDEX(Data[],MATCH($A139,Data[Dist],0),MATCH(G$4,Data[#Headers],0))</f>
        <v>108348</v>
      </c>
      <c r="H139" s="22">
        <f>INDEX(Data[],MATCH($A139,Data[Dist],0),MATCH(H$4,Data[#Headers],0))</f>
        <v>727639</v>
      </c>
      <c r="I139" s="22">
        <f>INDEX(Data[],MATCH($A139,Data[Dist],0),MATCH(I$4,Data[#Headers],0))</f>
        <v>1141457</v>
      </c>
      <c r="J139" s="23"/>
    </row>
    <row r="140" spans="1:10" x14ac:dyDescent="0.2">
      <c r="A140" s="20" t="str">
        <f>Data!B136</f>
        <v>2862</v>
      </c>
      <c r="B140" s="21" t="str">
        <f>INDEX(Data[],MATCH($A140,Data[Dist],0),MATCH(B$4,Data[#Headers],0))</f>
        <v>Hartley-Melvin-Sanborn</v>
      </c>
      <c r="C140" s="22">
        <f>INDEX(Data[],MATCH($A140,Data[Dist],0),MATCH(C$4,Data[#Headers],0))</f>
        <v>140634</v>
      </c>
      <c r="D140" s="22">
        <f>INDEX(Data[],MATCH($A140,Data[Dist],0),MATCH(D$4,Data[#Headers],0))</f>
        <v>441977</v>
      </c>
      <c r="E140" s="22">
        <f>INDEX(Data[],MATCH($A140,Data[Dist],0),MATCH(E$4,Data[#Headers],0))</f>
        <v>45548</v>
      </c>
      <c r="F140" s="22">
        <f>INDEX(Data[],MATCH($A140,Data[Dist],0),MATCH(F$4,Data[#Headers],0))</f>
        <v>47941</v>
      </c>
      <c r="G140" s="22">
        <f>INDEX(Data[],MATCH($A140,Data[Dist],0),MATCH(G$4,Data[#Headers],0))</f>
        <v>236486</v>
      </c>
      <c r="H140" s="22">
        <f>INDEX(Data[],MATCH($A140,Data[Dist],0),MATCH(H$4,Data[#Headers],0))</f>
        <v>2341377</v>
      </c>
      <c r="I140" s="22">
        <f>INDEX(Data[],MATCH($A140,Data[Dist],0),MATCH(I$4,Data[#Headers],0))</f>
        <v>3253963</v>
      </c>
      <c r="J140" s="23"/>
    </row>
    <row r="141" spans="1:10" x14ac:dyDescent="0.2">
      <c r="A141" s="20" t="str">
        <f>Data!B137</f>
        <v>2977</v>
      </c>
      <c r="B141" s="21" t="str">
        <f>INDEX(Data[],MATCH($A141,Data[Dist],0),MATCH(B$4,Data[#Headers],0))</f>
        <v>Highland</v>
      </c>
      <c r="C141" s="22">
        <f>INDEX(Data[],MATCH($A141,Data[Dist],0),MATCH(C$4,Data[#Headers],0))</f>
        <v>129326</v>
      </c>
      <c r="D141" s="22">
        <f>INDEX(Data[],MATCH($A141,Data[Dist],0),MATCH(D$4,Data[#Headers],0))</f>
        <v>400643</v>
      </c>
      <c r="E141" s="22">
        <f>INDEX(Data[],MATCH($A141,Data[Dist],0),MATCH(E$4,Data[#Headers],0))</f>
        <v>47485</v>
      </c>
      <c r="F141" s="22">
        <f>INDEX(Data[],MATCH($A141,Data[Dist],0),MATCH(F$4,Data[#Headers],0))</f>
        <v>42681</v>
      </c>
      <c r="G141" s="22">
        <f>INDEX(Data[],MATCH($A141,Data[Dist],0),MATCH(G$4,Data[#Headers],0))</f>
        <v>214853</v>
      </c>
      <c r="H141" s="22">
        <f>INDEX(Data[],MATCH($A141,Data[Dist],0),MATCH(H$4,Data[#Headers],0))</f>
        <v>2646100</v>
      </c>
      <c r="I141" s="22">
        <f>INDEX(Data[],MATCH($A141,Data[Dist],0),MATCH(I$4,Data[#Headers],0))</f>
        <v>3481088</v>
      </c>
      <c r="J141" s="23"/>
    </row>
    <row r="142" spans="1:10" x14ac:dyDescent="0.2">
      <c r="A142" s="20" t="str">
        <f>Data!B138</f>
        <v>2988</v>
      </c>
      <c r="B142" s="21" t="str">
        <f>INDEX(Data[],MATCH($A142,Data[Dist],0),MATCH(B$4,Data[#Headers],0))</f>
        <v>Hinton</v>
      </c>
      <c r="C142" s="22">
        <f>INDEX(Data[],MATCH($A142,Data[Dist],0),MATCH(C$4,Data[#Headers],0))</f>
        <v>133033</v>
      </c>
      <c r="D142" s="22">
        <f>INDEX(Data[],MATCH($A142,Data[Dist],0),MATCH(D$4,Data[#Headers],0))</f>
        <v>377708</v>
      </c>
      <c r="E142" s="22">
        <f>INDEX(Data[],MATCH($A142,Data[Dist],0),MATCH(E$4,Data[#Headers],0))</f>
        <v>45760</v>
      </c>
      <c r="F142" s="22">
        <f>INDEX(Data[],MATCH($A142,Data[Dist],0),MATCH(F$4,Data[#Headers],0))</f>
        <v>42451</v>
      </c>
      <c r="G142" s="22">
        <f>INDEX(Data[],MATCH($A142,Data[Dist],0),MATCH(G$4,Data[#Headers],0))</f>
        <v>205308</v>
      </c>
      <c r="H142" s="22">
        <f>INDEX(Data[],MATCH($A142,Data[Dist],0),MATCH(H$4,Data[#Headers],0))</f>
        <v>2890438</v>
      </c>
      <c r="I142" s="22">
        <f>INDEX(Data[],MATCH($A142,Data[Dist],0),MATCH(I$4,Data[#Headers],0))</f>
        <v>3694698</v>
      </c>
      <c r="J142" s="23"/>
    </row>
    <row r="143" spans="1:10" x14ac:dyDescent="0.2">
      <c r="A143" s="20" t="str">
        <f>Data!B139</f>
        <v>3029</v>
      </c>
      <c r="B143" s="21" t="str">
        <f>INDEX(Data[],MATCH($A143,Data[Dist],0),MATCH(B$4,Data[#Headers],0))</f>
        <v>Howard-Winneshiek</v>
      </c>
      <c r="C143" s="22">
        <f>INDEX(Data[],MATCH($A143,Data[Dist],0),MATCH(C$4,Data[#Headers],0))</f>
        <v>239458</v>
      </c>
      <c r="D143" s="22">
        <f>INDEX(Data[],MATCH($A143,Data[Dist],0),MATCH(D$4,Data[#Headers],0))</f>
        <v>779655</v>
      </c>
      <c r="E143" s="22">
        <f>INDEX(Data[],MATCH($A143,Data[Dist],0),MATCH(E$4,Data[#Headers],0))</f>
        <v>83982</v>
      </c>
      <c r="F143" s="22">
        <f>INDEX(Data[],MATCH($A143,Data[Dist],0),MATCH(F$4,Data[#Headers],0))</f>
        <v>84408</v>
      </c>
      <c r="G143" s="22">
        <f>INDEX(Data[],MATCH($A143,Data[Dist],0),MATCH(G$4,Data[#Headers],0))</f>
        <v>424436</v>
      </c>
      <c r="H143" s="22">
        <f>INDEX(Data[],MATCH($A143,Data[Dist],0),MATCH(H$4,Data[#Headers],0))</f>
        <v>5862320</v>
      </c>
      <c r="I143" s="22">
        <f>INDEX(Data[],MATCH($A143,Data[Dist],0),MATCH(I$4,Data[#Headers],0))</f>
        <v>7474259</v>
      </c>
      <c r="J143" s="23"/>
    </row>
    <row r="144" spans="1:10" x14ac:dyDescent="0.2">
      <c r="A144" s="20" t="str">
        <f>Data!B140</f>
        <v>3033</v>
      </c>
      <c r="B144" s="21" t="str">
        <f>INDEX(Data[],MATCH($A144,Data[Dist],0),MATCH(B$4,Data[#Headers],0))</f>
        <v>Hubbard-Radcliffe</v>
      </c>
      <c r="C144" s="22">
        <f>INDEX(Data[],MATCH($A144,Data[Dist],0),MATCH(C$4,Data[#Headers],0))</f>
        <v>98824</v>
      </c>
      <c r="D144" s="22">
        <f>INDEX(Data[],MATCH($A144,Data[Dist],0),MATCH(D$4,Data[#Headers],0))</f>
        <v>267526</v>
      </c>
      <c r="E144" s="22">
        <f>INDEX(Data[],MATCH($A144,Data[Dist],0),MATCH(E$4,Data[#Headers],0))</f>
        <v>27294</v>
      </c>
      <c r="F144" s="22">
        <f>INDEX(Data[],MATCH($A144,Data[Dist],0),MATCH(F$4,Data[#Headers],0))</f>
        <v>23732</v>
      </c>
      <c r="G144" s="22">
        <f>INDEX(Data[],MATCH($A144,Data[Dist],0),MATCH(G$4,Data[#Headers],0))</f>
        <v>151761</v>
      </c>
      <c r="H144" s="22">
        <f>INDEX(Data[],MATCH($A144,Data[Dist],0),MATCH(H$4,Data[#Headers],0))</f>
        <v>1393469</v>
      </c>
      <c r="I144" s="22">
        <f>INDEX(Data[],MATCH($A144,Data[Dist],0),MATCH(I$4,Data[#Headers],0))</f>
        <v>1962606</v>
      </c>
      <c r="J144" s="23"/>
    </row>
    <row r="145" spans="1:10" x14ac:dyDescent="0.2">
      <c r="A145" s="20" t="str">
        <f>Data!B141</f>
        <v>3042</v>
      </c>
      <c r="B145" s="21" t="str">
        <f>INDEX(Data[],MATCH($A145,Data[Dist],0),MATCH(B$4,Data[#Headers],0))</f>
        <v>Hudson</v>
      </c>
      <c r="C145" s="22">
        <f>INDEX(Data[],MATCH($A145,Data[Dist],0),MATCH(C$4,Data[#Headers],0))</f>
        <v>155838</v>
      </c>
      <c r="D145" s="22">
        <f>INDEX(Data[],MATCH($A145,Data[Dist],0),MATCH(D$4,Data[#Headers],0))</f>
        <v>501291</v>
      </c>
      <c r="E145" s="22">
        <f>INDEX(Data[],MATCH($A145,Data[Dist],0),MATCH(E$4,Data[#Headers],0))</f>
        <v>46062</v>
      </c>
      <c r="F145" s="22">
        <f>INDEX(Data[],MATCH($A145,Data[Dist],0),MATCH(F$4,Data[#Headers],0))</f>
        <v>56747</v>
      </c>
      <c r="G145" s="22">
        <f>INDEX(Data[],MATCH($A145,Data[Dist],0),MATCH(G$4,Data[#Headers],0))</f>
        <v>263388</v>
      </c>
      <c r="H145" s="22">
        <f>INDEX(Data[],MATCH($A145,Data[Dist],0),MATCH(H$4,Data[#Headers],0))</f>
        <v>4566889</v>
      </c>
      <c r="I145" s="22">
        <f>INDEX(Data[],MATCH($A145,Data[Dist],0),MATCH(I$4,Data[#Headers],0))</f>
        <v>5590215</v>
      </c>
      <c r="J145" s="23"/>
    </row>
    <row r="146" spans="1:10" x14ac:dyDescent="0.2">
      <c r="A146" s="20" t="str">
        <f>Data!B142</f>
        <v>3060</v>
      </c>
      <c r="B146" s="21" t="str">
        <f>INDEX(Data[],MATCH($A146,Data[Dist],0),MATCH(B$4,Data[#Headers],0))</f>
        <v>Humboldt</v>
      </c>
      <c r="C146" s="22">
        <f>INDEX(Data[],MATCH($A146,Data[Dist],0),MATCH(C$4,Data[#Headers],0))</f>
        <v>273666</v>
      </c>
      <c r="D146" s="22">
        <f>INDEX(Data[],MATCH($A146,Data[Dist],0),MATCH(D$4,Data[#Headers],0))</f>
        <v>835094</v>
      </c>
      <c r="E146" s="22">
        <f>INDEX(Data[],MATCH($A146,Data[Dist],0),MATCH(E$4,Data[#Headers],0))</f>
        <v>101677</v>
      </c>
      <c r="F146" s="22">
        <f>INDEX(Data[],MATCH($A146,Data[Dist],0),MATCH(F$4,Data[#Headers],0))</f>
        <v>91764</v>
      </c>
      <c r="G146" s="22">
        <f>INDEX(Data[],MATCH($A146,Data[Dist],0),MATCH(G$4,Data[#Headers],0))</f>
        <v>459483</v>
      </c>
      <c r="H146" s="22">
        <f>INDEX(Data[],MATCH($A146,Data[Dist],0),MATCH(H$4,Data[#Headers],0))</f>
        <v>6617816</v>
      </c>
      <c r="I146" s="22">
        <f>INDEX(Data[],MATCH($A146,Data[Dist],0),MATCH(I$4,Data[#Headers],0))</f>
        <v>8379500</v>
      </c>
      <c r="J146" s="23"/>
    </row>
    <row r="147" spans="1:10" x14ac:dyDescent="0.2">
      <c r="A147" s="20" t="str">
        <f>Data!B143</f>
        <v>3105</v>
      </c>
      <c r="B147" s="21" t="str">
        <f>INDEX(Data[],MATCH($A147,Data[Dist],0),MATCH(B$4,Data[#Headers],0))</f>
        <v>Independence</v>
      </c>
      <c r="C147" s="22">
        <f>INDEX(Data[],MATCH($A147,Data[Dist],0),MATCH(C$4,Data[#Headers],0))</f>
        <v>395295</v>
      </c>
      <c r="D147" s="22">
        <f>INDEX(Data[],MATCH($A147,Data[Dist],0),MATCH(D$4,Data[#Headers],0))</f>
        <v>942922</v>
      </c>
      <c r="E147" s="22">
        <f>INDEX(Data[],MATCH($A147,Data[Dist],0),MATCH(E$4,Data[#Headers],0))</f>
        <v>106254</v>
      </c>
      <c r="F147" s="22">
        <f>INDEX(Data[],MATCH($A147,Data[Dist],0),MATCH(F$4,Data[#Headers],0))</f>
        <v>110530</v>
      </c>
      <c r="G147" s="22">
        <f>INDEX(Data[],MATCH($A147,Data[Dist],0),MATCH(G$4,Data[#Headers],0))</f>
        <v>509935</v>
      </c>
      <c r="H147" s="22">
        <f>INDEX(Data[],MATCH($A147,Data[Dist],0),MATCH(H$4,Data[#Headers],0))</f>
        <v>8165808</v>
      </c>
      <c r="I147" s="22">
        <f>INDEX(Data[],MATCH($A147,Data[Dist],0),MATCH(I$4,Data[#Headers],0))</f>
        <v>10230744</v>
      </c>
      <c r="J147" s="23"/>
    </row>
    <row r="148" spans="1:10" x14ac:dyDescent="0.2">
      <c r="A148" s="20" t="str">
        <f>Data!B144</f>
        <v>3114</v>
      </c>
      <c r="B148" s="21" t="str">
        <f>INDEX(Data[],MATCH($A148,Data[Dist],0),MATCH(B$4,Data[#Headers],0))</f>
        <v>Indianola</v>
      </c>
      <c r="C148" s="22">
        <f>INDEX(Data[],MATCH($A148,Data[Dist],0),MATCH(C$4,Data[#Headers],0))</f>
        <v>459911</v>
      </c>
      <c r="D148" s="22">
        <f>INDEX(Data[],MATCH($A148,Data[Dist],0),MATCH(D$4,Data[#Headers],0))</f>
        <v>2106636</v>
      </c>
      <c r="E148" s="22">
        <f>INDEX(Data[],MATCH($A148,Data[Dist],0),MATCH(E$4,Data[#Headers],0))</f>
        <v>241765</v>
      </c>
      <c r="F148" s="22">
        <f>INDEX(Data[],MATCH($A148,Data[Dist],0),MATCH(F$4,Data[#Headers],0))</f>
        <v>248363</v>
      </c>
      <c r="G148" s="22">
        <f>INDEX(Data[],MATCH($A148,Data[Dist],0),MATCH(G$4,Data[#Headers],0))</f>
        <v>1266490</v>
      </c>
      <c r="H148" s="22">
        <f>INDEX(Data[],MATCH($A148,Data[Dist],0),MATCH(H$4,Data[#Headers],0))</f>
        <v>21792170</v>
      </c>
      <c r="I148" s="22">
        <f>INDEX(Data[],MATCH($A148,Data[Dist],0),MATCH(I$4,Data[#Headers],0))</f>
        <v>26115335</v>
      </c>
      <c r="J148" s="23"/>
    </row>
    <row r="149" spans="1:10" x14ac:dyDescent="0.2">
      <c r="A149" s="20" t="str">
        <f>Data!B145</f>
        <v>3119</v>
      </c>
      <c r="B149" s="21" t="str">
        <f>INDEX(Data[],MATCH($A149,Data[Dist],0),MATCH(B$4,Data[#Headers],0))</f>
        <v>Interstate 35</v>
      </c>
      <c r="C149" s="22">
        <f>INDEX(Data[],MATCH($A149,Data[Dist],0),MATCH(C$4,Data[#Headers],0))</f>
        <v>148236</v>
      </c>
      <c r="D149" s="22">
        <f>INDEX(Data[],MATCH($A149,Data[Dist],0),MATCH(D$4,Data[#Headers],0))</f>
        <v>557643</v>
      </c>
      <c r="E149" s="22">
        <f>INDEX(Data[],MATCH($A149,Data[Dist],0),MATCH(E$4,Data[#Headers],0))</f>
        <v>60050</v>
      </c>
      <c r="F149" s="22">
        <f>INDEX(Data[],MATCH($A149,Data[Dist],0),MATCH(F$4,Data[#Headers],0))</f>
        <v>52953</v>
      </c>
      <c r="G149" s="22">
        <f>INDEX(Data[],MATCH($A149,Data[Dist],0),MATCH(G$4,Data[#Headers],0))</f>
        <v>309123</v>
      </c>
      <c r="H149" s="22">
        <f>INDEX(Data[],MATCH($A149,Data[Dist],0),MATCH(H$4,Data[#Headers],0))</f>
        <v>4886070</v>
      </c>
      <c r="I149" s="22">
        <f>INDEX(Data[],MATCH($A149,Data[Dist],0),MATCH(I$4,Data[#Headers],0))</f>
        <v>6014075</v>
      </c>
      <c r="J149" s="23"/>
    </row>
    <row r="150" spans="1:10" x14ac:dyDescent="0.2">
      <c r="A150" s="20" t="str">
        <f>Data!B146</f>
        <v>3141</v>
      </c>
      <c r="B150" s="21" t="str">
        <f>INDEX(Data[],MATCH($A150,Data[Dist],0),MATCH(B$4,Data[#Headers],0))</f>
        <v>Iowa City</v>
      </c>
      <c r="C150" s="22">
        <f>INDEX(Data[],MATCH($A150,Data[Dist],0),MATCH(C$4,Data[#Headers],0))</f>
        <v>1748799</v>
      </c>
      <c r="D150" s="22">
        <f>INDEX(Data[],MATCH($A150,Data[Dist],0),MATCH(D$4,Data[#Headers],0))</f>
        <v>9132885</v>
      </c>
      <c r="E150" s="22">
        <f>INDEX(Data[],MATCH($A150,Data[Dist],0),MATCH(E$4,Data[#Headers],0))</f>
        <v>1153740</v>
      </c>
      <c r="F150" s="22">
        <f>INDEX(Data[],MATCH($A150,Data[Dist],0),MATCH(F$4,Data[#Headers],0))</f>
        <v>1117641</v>
      </c>
      <c r="G150" s="22">
        <f>INDEX(Data[],MATCH($A150,Data[Dist],0),MATCH(G$4,Data[#Headers],0))</f>
        <v>5321499</v>
      </c>
      <c r="H150" s="22">
        <f>INDEX(Data[],MATCH($A150,Data[Dist],0),MATCH(H$4,Data[#Headers],0))</f>
        <v>73339686</v>
      </c>
      <c r="I150" s="22">
        <f>INDEX(Data[],MATCH($A150,Data[Dist],0),MATCH(I$4,Data[#Headers],0))</f>
        <v>91814250</v>
      </c>
      <c r="J150" s="23"/>
    </row>
    <row r="151" spans="1:10" x14ac:dyDescent="0.2">
      <c r="A151" s="20" t="str">
        <f>Data!B147</f>
        <v>3150</v>
      </c>
      <c r="B151" s="21" t="str">
        <f>INDEX(Data[],MATCH($A151,Data[Dist],0),MATCH(B$4,Data[#Headers],0))</f>
        <v>Iowa Falls</v>
      </c>
      <c r="C151" s="22">
        <f>INDEX(Data[],MATCH($A151,Data[Dist],0),MATCH(C$4,Data[#Headers],0))</f>
        <v>235657</v>
      </c>
      <c r="D151" s="22">
        <f>INDEX(Data[],MATCH($A151,Data[Dist],0),MATCH(D$4,Data[#Headers],0))</f>
        <v>665908</v>
      </c>
      <c r="E151" s="22">
        <f>INDEX(Data[],MATCH($A151,Data[Dist],0),MATCH(E$4,Data[#Headers],0))</f>
        <v>83361</v>
      </c>
      <c r="F151" s="22">
        <f>INDEX(Data[],MATCH($A151,Data[Dist],0),MATCH(F$4,Data[#Headers],0))</f>
        <v>77207</v>
      </c>
      <c r="G151" s="22">
        <f>INDEX(Data[],MATCH($A151,Data[Dist],0),MATCH(G$4,Data[#Headers],0))</f>
        <v>369378</v>
      </c>
      <c r="H151" s="22">
        <f>INDEX(Data[],MATCH($A151,Data[Dist],0),MATCH(H$4,Data[#Headers],0))</f>
        <v>5560730</v>
      </c>
      <c r="I151" s="22">
        <f>INDEX(Data[],MATCH($A151,Data[Dist],0),MATCH(I$4,Data[#Headers],0))</f>
        <v>6992241</v>
      </c>
      <c r="J151" s="23"/>
    </row>
    <row r="152" spans="1:10" x14ac:dyDescent="0.2">
      <c r="A152" s="20" t="str">
        <f>Data!B148</f>
        <v>3154</v>
      </c>
      <c r="B152" s="21" t="str">
        <f>INDEX(Data[],MATCH($A152,Data[Dist],0),MATCH(B$4,Data[#Headers],0))</f>
        <v>Iowa Valley</v>
      </c>
      <c r="C152" s="22">
        <f>INDEX(Data[],MATCH($A152,Data[Dist],0),MATCH(C$4,Data[#Headers],0))</f>
        <v>117829</v>
      </c>
      <c r="D152" s="22">
        <f>INDEX(Data[],MATCH($A152,Data[Dist],0),MATCH(D$4,Data[#Headers],0))</f>
        <v>313770</v>
      </c>
      <c r="E152" s="22">
        <f>INDEX(Data[],MATCH($A152,Data[Dist],0),MATCH(E$4,Data[#Headers],0))</f>
        <v>31905</v>
      </c>
      <c r="F152" s="22">
        <f>INDEX(Data[],MATCH($A152,Data[Dist],0),MATCH(F$4,Data[#Headers],0))</f>
        <v>36460</v>
      </c>
      <c r="G152" s="22">
        <f>INDEX(Data[],MATCH($A152,Data[Dist],0),MATCH(G$4,Data[#Headers],0))</f>
        <v>184265</v>
      </c>
      <c r="H152" s="22">
        <f>INDEX(Data[],MATCH($A152,Data[Dist],0),MATCH(H$4,Data[#Headers],0))</f>
        <v>2917433</v>
      </c>
      <c r="I152" s="22">
        <f>INDEX(Data[],MATCH($A152,Data[Dist],0),MATCH(I$4,Data[#Headers],0))</f>
        <v>3601662</v>
      </c>
      <c r="J152" s="23"/>
    </row>
    <row r="153" spans="1:10" x14ac:dyDescent="0.2">
      <c r="A153" s="20" t="str">
        <f>Data!B149</f>
        <v>3168</v>
      </c>
      <c r="B153" s="21" t="str">
        <f>INDEX(Data[],MATCH($A153,Data[Dist],0),MATCH(B$4,Data[#Headers],0))</f>
        <v>IKM-Manning</v>
      </c>
      <c r="C153" s="22">
        <f>INDEX(Data[],MATCH($A153,Data[Dist],0),MATCH(C$4,Data[#Headers],0))</f>
        <v>182444</v>
      </c>
      <c r="D153" s="22">
        <f>INDEX(Data[],MATCH($A153,Data[Dist],0),MATCH(D$4,Data[#Headers],0))</f>
        <v>470353</v>
      </c>
      <c r="E153" s="22">
        <f>INDEX(Data[],MATCH($A153,Data[Dist],0),MATCH(E$4,Data[#Headers],0))</f>
        <v>49525</v>
      </c>
      <c r="F153" s="22">
        <f>INDEX(Data[],MATCH($A153,Data[Dist],0),MATCH(F$4,Data[#Headers],0))</f>
        <v>53801</v>
      </c>
      <c r="G153" s="22">
        <f>INDEX(Data[],MATCH($A153,Data[Dist],0),MATCH(G$4,Data[#Headers],0))</f>
        <v>245478</v>
      </c>
      <c r="H153" s="22">
        <f>INDEX(Data[],MATCH($A153,Data[Dist],0),MATCH(H$4,Data[#Headers],0))</f>
        <v>2843031</v>
      </c>
      <c r="I153" s="22">
        <f>INDEX(Data[],MATCH($A153,Data[Dist],0),MATCH(I$4,Data[#Headers],0))</f>
        <v>3844632</v>
      </c>
      <c r="J153" s="23"/>
    </row>
    <row r="154" spans="1:10" x14ac:dyDescent="0.2">
      <c r="A154" s="20" t="str">
        <f>Data!B150</f>
        <v>3186</v>
      </c>
      <c r="B154" s="21" t="str">
        <f>INDEX(Data[],MATCH($A154,Data[Dist],0),MATCH(B$4,Data[#Headers],0))</f>
        <v>Janesville</v>
      </c>
      <c r="C154" s="22">
        <f>INDEX(Data[],MATCH($A154,Data[Dist],0),MATCH(C$4,Data[#Headers],0))</f>
        <v>148236</v>
      </c>
      <c r="D154" s="22">
        <f>INDEX(Data[],MATCH($A154,Data[Dist],0),MATCH(D$4,Data[#Headers],0))</f>
        <v>284116</v>
      </c>
      <c r="E154" s="22">
        <f>INDEX(Data[],MATCH($A154,Data[Dist],0),MATCH(E$4,Data[#Headers],0))</f>
        <v>25383</v>
      </c>
      <c r="F154" s="22">
        <f>INDEX(Data[],MATCH($A154,Data[Dist],0),MATCH(F$4,Data[#Headers],0))</f>
        <v>27825</v>
      </c>
      <c r="G154" s="22">
        <f>INDEX(Data[],MATCH($A154,Data[Dist],0),MATCH(G$4,Data[#Headers],0))</f>
        <v>162485</v>
      </c>
      <c r="H154" s="22">
        <f>INDEX(Data[],MATCH($A154,Data[Dist],0),MATCH(H$4,Data[#Headers],0))</f>
        <v>2629499</v>
      </c>
      <c r="I154" s="22">
        <f>INDEX(Data[],MATCH($A154,Data[Dist],0),MATCH(I$4,Data[#Headers],0))</f>
        <v>3277544</v>
      </c>
      <c r="J154" s="23"/>
    </row>
    <row r="155" spans="1:10" x14ac:dyDescent="0.2">
      <c r="A155" s="20" t="str">
        <f>Data!B151</f>
        <v>3195</v>
      </c>
      <c r="B155" s="21" t="str">
        <f>INDEX(Data[],MATCH($A155,Data[Dist],0),MATCH(B$4,Data[#Headers],0))</f>
        <v>Greene County</v>
      </c>
      <c r="C155" s="22">
        <f>INDEX(Data[],MATCH($A155,Data[Dist],0),MATCH(C$4,Data[#Headers],0))</f>
        <v>296471</v>
      </c>
      <c r="D155" s="22">
        <f>INDEX(Data[],MATCH($A155,Data[Dist],0),MATCH(D$4,Data[#Headers],0))</f>
        <v>787350</v>
      </c>
      <c r="E155" s="22">
        <f>INDEX(Data[],MATCH($A155,Data[Dist],0),MATCH(E$4,Data[#Headers],0))</f>
        <v>97004</v>
      </c>
      <c r="F155" s="22">
        <f>INDEX(Data[],MATCH($A155,Data[Dist],0),MATCH(F$4,Data[#Headers],0))</f>
        <v>89527</v>
      </c>
      <c r="G155" s="22">
        <f>INDEX(Data[],MATCH($A155,Data[Dist],0),MATCH(G$4,Data[#Headers],0))</f>
        <v>436708</v>
      </c>
      <c r="H155" s="22">
        <f>INDEX(Data[],MATCH($A155,Data[Dist],0),MATCH(H$4,Data[#Headers],0))</f>
        <v>5910520</v>
      </c>
      <c r="I155" s="22">
        <f>INDEX(Data[],MATCH($A155,Data[Dist],0),MATCH(I$4,Data[#Headers],0))</f>
        <v>7617580</v>
      </c>
      <c r="J155" s="23"/>
    </row>
    <row r="156" spans="1:10" x14ac:dyDescent="0.2">
      <c r="A156" s="20" t="str">
        <f>Data!B152</f>
        <v>3204</v>
      </c>
      <c r="B156" s="21" t="str">
        <f>INDEX(Data[],MATCH($A156,Data[Dist],0),MATCH(B$4,Data[#Headers],0))</f>
        <v>Jesup</v>
      </c>
      <c r="C156" s="22">
        <f>INDEX(Data[],MATCH($A156,Data[Dist],0),MATCH(C$4,Data[#Headers],0))</f>
        <v>231856</v>
      </c>
      <c r="D156" s="22">
        <f>INDEX(Data[],MATCH($A156,Data[Dist],0),MATCH(D$4,Data[#Headers],0))</f>
        <v>538043</v>
      </c>
      <c r="E156" s="22">
        <f>INDEX(Data[],MATCH($A156,Data[Dist],0),MATCH(E$4,Data[#Headers],0))</f>
        <v>70634</v>
      </c>
      <c r="F156" s="22">
        <f>INDEX(Data[],MATCH($A156,Data[Dist],0),MATCH(F$4,Data[#Headers],0))</f>
        <v>58671</v>
      </c>
      <c r="G156" s="22">
        <f>INDEX(Data[],MATCH($A156,Data[Dist],0),MATCH(G$4,Data[#Headers],0))</f>
        <v>329503</v>
      </c>
      <c r="H156" s="22">
        <f>INDEX(Data[],MATCH($A156,Data[Dist],0),MATCH(H$4,Data[#Headers],0))</f>
        <v>5261695</v>
      </c>
      <c r="I156" s="22">
        <f>INDEX(Data[],MATCH($A156,Data[Dist],0),MATCH(I$4,Data[#Headers],0))</f>
        <v>6490402</v>
      </c>
      <c r="J156" s="23"/>
    </row>
    <row r="157" spans="1:10" x14ac:dyDescent="0.2">
      <c r="A157" s="20" t="str">
        <f>Data!B153</f>
        <v>3231</v>
      </c>
      <c r="B157" s="21" t="str">
        <f>INDEX(Data[],MATCH($A157,Data[Dist],0),MATCH(B$4,Data[#Headers],0))</f>
        <v>Johnston</v>
      </c>
      <c r="C157" s="22">
        <f>INDEX(Data[],MATCH($A157,Data[Dist],0),MATCH(C$4,Data[#Headers],0))</f>
        <v>923623</v>
      </c>
      <c r="D157" s="22">
        <f>INDEX(Data[],MATCH($A157,Data[Dist],0),MATCH(D$4,Data[#Headers],0))</f>
        <v>4296490</v>
      </c>
      <c r="E157" s="22">
        <f>INDEX(Data[],MATCH($A157,Data[Dist],0),MATCH(E$4,Data[#Headers],0))</f>
        <v>474966</v>
      </c>
      <c r="F157" s="22">
        <f>INDEX(Data[],MATCH($A157,Data[Dist],0),MATCH(F$4,Data[#Headers],0))</f>
        <v>477970</v>
      </c>
      <c r="G157" s="22">
        <f>INDEX(Data[],MATCH($A157,Data[Dist],0),MATCH(G$4,Data[#Headers],0))</f>
        <v>2574108</v>
      </c>
      <c r="H157" s="22">
        <f>INDEX(Data[],MATCH($A157,Data[Dist],0),MATCH(H$4,Data[#Headers],0))</f>
        <v>39572250</v>
      </c>
      <c r="I157" s="22">
        <f>INDEX(Data[],MATCH($A157,Data[Dist],0),MATCH(I$4,Data[#Headers],0))</f>
        <v>48319407</v>
      </c>
      <c r="J157" s="23"/>
    </row>
    <row r="158" spans="1:10" x14ac:dyDescent="0.2">
      <c r="A158" s="20" t="str">
        <f>Data!B154</f>
        <v>3312</v>
      </c>
      <c r="B158" s="21" t="str">
        <f>INDEX(Data[],MATCH($A158,Data[Dist],0),MATCH(B$4,Data[#Headers],0))</f>
        <v>Keokuk</v>
      </c>
      <c r="C158" s="22">
        <f>INDEX(Data[],MATCH($A158,Data[Dist],0),MATCH(C$4,Data[#Headers],0))</f>
        <v>353486</v>
      </c>
      <c r="D158" s="22">
        <f>INDEX(Data[],MATCH($A158,Data[Dist],0),MATCH(D$4,Data[#Headers],0))</f>
        <v>1191900</v>
      </c>
      <c r="E158" s="22">
        <f>INDEX(Data[],MATCH($A158,Data[Dist],0),MATCH(E$4,Data[#Headers],0))</f>
        <v>152237</v>
      </c>
      <c r="F158" s="22">
        <f>INDEX(Data[],MATCH($A158,Data[Dist],0),MATCH(F$4,Data[#Headers],0))</f>
        <v>140933</v>
      </c>
      <c r="G158" s="22">
        <f>INDEX(Data[],MATCH($A158,Data[Dist],0),MATCH(G$4,Data[#Headers],0))</f>
        <v>681781</v>
      </c>
      <c r="H158" s="22">
        <f>INDEX(Data[],MATCH($A158,Data[Dist],0),MATCH(H$4,Data[#Headers],0))</f>
        <v>13494674</v>
      </c>
      <c r="I158" s="22">
        <f>INDEX(Data[],MATCH($A158,Data[Dist],0),MATCH(I$4,Data[#Headers],0))</f>
        <v>16015011</v>
      </c>
      <c r="J158" s="23"/>
    </row>
    <row r="159" spans="1:10" x14ac:dyDescent="0.2">
      <c r="A159" s="20" t="str">
        <f>Data!B155</f>
        <v>3330</v>
      </c>
      <c r="B159" s="21" t="str">
        <f>INDEX(Data[],MATCH($A159,Data[Dist],0),MATCH(B$4,Data[#Headers],0))</f>
        <v>Keota</v>
      </c>
      <c r="C159" s="22">
        <f>INDEX(Data[],MATCH($A159,Data[Dist],0),MATCH(C$4,Data[#Headers],0))</f>
        <v>72218</v>
      </c>
      <c r="D159" s="22">
        <f>INDEX(Data[],MATCH($A159,Data[Dist],0),MATCH(D$4,Data[#Headers],0))</f>
        <v>251419</v>
      </c>
      <c r="E159" s="22">
        <f>INDEX(Data[],MATCH($A159,Data[Dist],0),MATCH(E$4,Data[#Headers],0))</f>
        <v>24953</v>
      </c>
      <c r="F159" s="22">
        <f>INDEX(Data[],MATCH($A159,Data[Dist],0),MATCH(F$4,Data[#Headers],0))</f>
        <v>26566</v>
      </c>
      <c r="G159" s="22">
        <f>INDEX(Data[],MATCH($A159,Data[Dist],0),MATCH(G$4,Data[#Headers],0))</f>
        <v>132929</v>
      </c>
      <c r="H159" s="22">
        <f>INDEX(Data[],MATCH($A159,Data[Dist],0),MATCH(H$4,Data[#Headers],0))</f>
        <v>1750089</v>
      </c>
      <c r="I159" s="22">
        <f>INDEX(Data[],MATCH($A159,Data[Dist],0),MATCH(I$4,Data[#Headers],0))</f>
        <v>2258174</v>
      </c>
      <c r="J159" s="23"/>
    </row>
    <row r="160" spans="1:10" x14ac:dyDescent="0.2">
      <c r="A160" s="20" t="str">
        <f>Data!B156</f>
        <v>3348</v>
      </c>
      <c r="B160" s="21" t="str">
        <f>INDEX(Data[],MATCH($A160,Data[Dist],0),MATCH(B$4,Data[#Headers],0))</f>
        <v>Kingsley-Pierson</v>
      </c>
      <c r="C160" s="22">
        <f>INDEX(Data[],MATCH($A160,Data[Dist],0),MATCH(C$4,Data[#Headers],0))</f>
        <v>0</v>
      </c>
      <c r="D160" s="22">
        <f>INDEX(Data[],MATCH($A160,Data[Dist],0),MATCH(D$4,Data[#Headers],0))</f>
        <v>327033</v>
      </c>
      <c r="E160" s="22">
        <f>INDEX(Data[],MATCH($A160,Data[Dist],0),MATCH(E$4,Data[#Headers],0))</f>
        <v>41226</v>
      </c>
      <c r="F160" s="22">
        <f>INDEX(Data[],MATCH($A160,Data[Dist],0),MATCH(F$4,Data[#Headers],0))</f>
        <v>37815</v>
      </c>
      <c r="G160" s="22">
        <f>INDEX(Data[],MATCH($A160,Data[Dist],0),MATCH(G$4,Data[#Headers],0))</f>
        <v>173614</v>
      </c>
      <c r="H160" s="22">
        <f>INDEX(Data[],MATCH($A160,Data[Dist],0),MATCH(H$4,Data[#Headers],0))</f>
        <v>2593441</v>
      </c>
      <c r="I160" s="22">
        <f>INDEX(Data[],MATCH($A160,Data[Dist],0),MATCH(I$4,Data[#Headers],0))</f>
        <v>3173129</v>
      </c>
      <c r="J160" s="23"/>
    </row>
    <row r="161" spans="1:10" x14ac:dyDescent="0.2">
      <c r="A161" s="20" t="str">
        <f>Data!B157</f>
        <v>3375</v>
      </c>
      <c r="B161" s="21" t="str">
        <f>INDEX(Data[],MATCH($A161,Data[Dist],0),MATCH(B$4,Data[#Headers],0))</f>
        <v>Knoxville</v>
      </c>
      <c r="C161" s="22">
        <f>INDEX(Data[],MATCH($A161,Data[Dist],0),MATCH(C$4,Data[#Headers],0))</f>
        <v>273760</v>
      </c>
      <c r="D161" s="22">
        <f>INDEX(Data[],MATCH($A161,Data[Dist],0),MATCH(D$4,Data[#Headers],0))</f>
        <v>1158500</v>
      </c>
      <c r="E161" s="22">
        <f>INDEX(Data[],MATCH($A161,Data[Dist],0),MATCH(E$4,Data[#Headers],0))</f>
        <v>137726</v>
      </c>
      <c r="F161" s="22">
        <f>INDEX(Data[],MATCH($A161,Data[Dist],0),MATCH(F$4,Data[#Headers],0))</f>
        <v>124763</v>
      </c>
      <c r="G161" s="22">
        <f>INDEX(Data[],MATCH($A161,Data[Dist],0),MATCH(G$4,Data[#Headers],0))</f>
        <v>649055</v>
      </c>
      <c r="H161" s="22">
        <f>INDEX(Data[],MATCH($A161,Data[Dist],0),MATCH(H$4,Data[#Headers],0))</f>
        <v>11317523</v>
      </c>
      <c r="I161" s="22">
        <f>INDEX(Data[],MATCH($A161,Data[Dist],0),MATCH(I$4,Data[#Headers],0))</f>
        <v>13661327</v>
      </c>
      <c r="J161" s="23"/>
    </row>
    <row r="162" spans="1:10" x14ac:dyDescent="0.2">
      <c r="A162" s="20" t="str">
        <f>Data!B158</f>
        <v>3420</v>
      </c>
      <c r="B162" s="21" t="str">
        <f>INDEX(Data[],MATCH($A162,Data[Dist],0),MATCH(B$4,Data[#Headers],0))</f>
        <v>Lake Mills</v>
      </c>
      <c r="C162" s="22">
        <f>INDEX(Data[],MATCH($A162,Data[Dist],0),MATCH(C$4,Data[#Headers],0))</f>
        <v>106426</v>
      </c>
      <c r="D162" s="22">
        <f>INDEX(Data[],MATCH($A162,Data[Dist],0),MATCH(D$4,Data[#Headers],0))</f>
        <v>390473</v>
      </c>
      <c r="E162" s="22">
        <f>INDEX(Data[],MATCH($A162,Data[Dist],0),MATCH(E$4,Data[#Headers],0))</f>
        <v>46203</v>
      </c>
      <c r="F162" s="22">
        <f>INDEX(Data[],MATCH($A162,Data[Dist],0),MATCH(F$4,Data[#Headers],0))</f>
        <v>40563</v>
      </c>
      <c r="G162" s="22">
        <f>INDEX(Data[],MATCH($A162,Data[Dist],0),MATCH(G$4,Data[#Headers],0))</f>
        <v>208256</v>
      </c>
      <c r="H162" s="22">
        <f>INDEX(Data[],MATCH($A162,Data[Dist],0),MATCH(H$4,Data[#Headers],0))</f>
        <v>2668453</v>
      </c>
      <c r="I162" s="22">
        <f>INDEX(Data[],MATCH($A162,Data[Dist],0),MATCH(I$4,Data[#Headers],0))</f>
        <v>3460374</v>
      </c>
      <c r="J162" s="23"/>
    </row>
    <row r="163" spans="1:10" x14ac:dyDescent="0.2">
      <c r="A163" s="20" t="str">
        <f>Data!B159</f>
        <v>3465</v>
      </c>
      <c r="B163" s="21" t="str">
        <f>INDEX(Data[],MATCH($A163,Data[Dist],0),MATCH(B$4,Data[#Headers],0))</f>
        <v>Lamoni</v>
      </c>
      <c r="C163" s="22">
        <f>INDEX(Data[],MATCH($A163,Data[Dist],0),MATCH(C$4,Data[#Headers],0))</f>
        <v>91222</v>
      </c>
      <c r="D163" s="22">
        <f>INDEX(Data[],MATCH($A163,Data[Dist],0),MATCH(D$4,Data[#Headers],0))</f>
        <v>247639</v>
      </c>
      <c r="E163" s="22">
        <f>INDEX(Data[],MATCH($A163,Data[Dist],0),MATCH(E$4,Data[#Headers],0))</f>
        <v>27190</v>
      </c>
      <c r="F163" s="22">
        <f>INDEX(Data[],MATCH($A163,Data[Dist],0),MATCH(F$4,Data[#Headers],0))</f>
        <v>26823</v>
      </c>
      <c r="G163" s="22">
        <f>INDEX(Data[],MATCH($A163,Data[Dist],0),MATCH(G$4,Data[#Headers],0))</f>
        <v>124121</v>
      </c>
      <c r="H163" s="22">
        <f>INDEX(Data[],MATCH($A163,Data[Dist],0),MATCH(H$4,Data[#Headers],0))</f>
        <v>2437509</v>
      </c>
      <c r="I163" s="22">
        <f>INDEX(Data[],MATCH($A163,Data[Dist],0),MATCH(I$4,Data[#Headers],0))</f>
        <v>2954504</v>
      </c>
      <c r="J163" s="23"/>
    </row>
    <row r="164" spans="1:10" x14ac:dyDescent="0.2">
      <c r="A164" s="20" t="str">
        <f>Data!B160</f>
        <v>3537</v>
      </c>
      <c r="B164" s="21" t="str">
        <f>INDEX(Data[],MATCH($A164,Data[Dist],0),MATCH(B$4,Data[#Headers],0))</f>
        <v>Laurens-Marathon</v>
      </c>
      <c r="C164" s="22">
        <f>INDEX(Data[],MATCH($A164,Data[Dist],0),MATCH(C$4,Data[#Headers],0))</f>
        <v>76018</v>
      </c>
      <c r="D164" s="22">
        <f>INDEX(Data[],MATCH($A164,Data[Dist],0),MATCH(D$4,Data[#Headers],0))</f>
        <v>216101</v>
      </c>
      <c r="E164" s="22">
        <f>INDEX(Data[],MATCH($A164,Data[Dist],0),MATCH(E$4,Data[#Headers],0))</f>
        <v>22660</v>
      </c>
      <c r="F164" s="22">
        <f>INDEX(Data[],MATCH($A164,Data[Dist],0),MATCH(F$4,Data[#Headers],0))</f>
        <v>23666</v>
      </c>
      <c r="G164" s="22">
        <f>INDEX(Data[],MATCH($A164,Data[Dist],0),MATCH(G$4,Data[#Headers],0))</f>
        <v>110301</v>
      </c>
      <c r="H164" s="22">
        <f>INDEX(Data[],MATCH($A164,Data[Dist],0),MATCH(H$4,Data[#Headers],0))</f>
        <v>1516655</v>
      </c>
      <c r="I164" s="22">
        <f>INDEX(Data[],MATCH($A164,Data[Dist],0),MATCH(I$4,Data[#Headers],0))</f>
        <v>1965401</v>
      </c>
      <c r="J164" s="23"/>
    </row>
    <row r="165" spans="1:10" x14ac:dyDescent="0.2">
      <c r="A165" s="20" t="str">
        <f>Data!B161</f>
        <v>3555</v>
      </c>
      <c r="B165" s="21" t="str">
        <f>INDEX(Data[],MATCH($A165,Data[Dist],0),MATCH(B$4,Data[#Headers],0))</f>
        <v>Lawton-Bronson</v>
      </c>
      <c r="C165" s="22">
        <f>INDEX(Data[],MATCH($A165,Data[Dist],0),MATCH(C$4,Data[#Headers],0))</f>
        <v>117829</v>
      </c>
      <c r="D165" s="22">
        <f>INDEX(Data[],MATCH($A165,Data[Dist],0),MATCH(D$4,Data[#Headers],0))</f>
        <v>394858</v>
      </c>
      <c r="E165" s="22">
        <f>INDEX(Data[],MATCH($A165,Data[Dist],0),MATCH(E$4,Data[#Headers],0))</f>
        <v>41295</v>
      </c>
      <c r="F165" s="22">
        <f>INDEX(Data[],MATCH($A165,Data[Dist],0),MATCH(F$4,Data[#Headers],0))</f>
        <v>42224</v>
      </c>
      <c r="G165" s="22">
        <f>INDEX(Data[],MATCH($A165,Data[Dist],0),MATCH(G$4,Data[#Headers],0))</f>
        <v>225356</v>
      </c>
      <c r="H165" s="22">
        <f>INDEX(Data[],MATCH($A165,Data[Dist],0),MATCH(H$4,Data[#Headers],0))</f>
        <v>3179012</v>
      </c>
      <c r="I165" s="22">
        <f>INDEX(Data[],MATCH($A165,Data[Dist],0),MATCH(I$4,Data[#Headers],0))</f>
        <v>4000574</v>
      </c>
      <c r="J165" s="23"/>
    </row>
    <row r="166" spans="1:10" x14ac:dyDescent="0.2">
      <c r="A166" s="20" t="str">
        <f>Data!B162</f>
        <v>3582</v>
      </c>
      <c r="B166" s="21" t="str">
        <f>INDEX(Data[],MATCH($A166,Data[Dist],0),MATCH(B$4,Data[#Headers],0))</f>
        <v>East Marshall</v>
      </c>
      <c r="C166" s="22">
        <f>INDEX(Data[],MATCH($A166,Data[Dist],0),MATCH(C$4,Data[#Headers],0))</f>
        <v>87422</v>
      </c>
      <c r="D166" s="22">
        <f>INDEX(Data[],MATCH($A166,Data[Dist],0),MATCH(D$4,Data[#Headers],0))</f>
        <v>388186</v>
      </c>
      <c r="E166" s="22">
        <f>INDEX(Data[],MATCH($A166,Data[Dist],0),MATCH(E$4,Data[#Headers],0))</f>
        <v>44707</v>
      </c>
      <c r="F166" s="22">
        <f>INDEX(Data[],MATCH($A166,Data[Dist],0),MATCH(F$4,Data[#Headers],0))</f>
        <v>44111</v>
      </c>
      <c r="G166" s="22">
        <f>INDEX(Data[],MATCH($A166,Data[Dist],0),MATCH(G$4,Data[#Headers],0))</f>
        <v>202944</v>
      </c>
      <c r="H166" s="22">
        <f>INDEX(Data[],MATCH($A166,Data[Dist],0),MATCH(H$4,Data[#Headers],0))</f>
        <v>2358911</v>
      </c>
      <c r="I166" s="22">
        <f>INDEX(Data[],MATCH($A166,Data[Dist],0),MATCH(I$4,Data[#Headers],0))</f>
        <v>3126281</v>
      </c>
      <c r="J166" s="23"/>
    </row>
    <row r="167" spans="1:10" x14ac:dyDescent="0.2">
      <c r="A167" s="20" t="str">
        <f>Data!B163</f>
        <v>3600</v>
      </c>
      <c r="B167" s="21" t="str">
        <f>INDEX(Data[],MATCH($A167,Data[Dist],0),MATCH(B$4,Data[#Headers],0))</f>
        <v>Le Mars</v>
      </c>
      <c r="C167" s="22">
        <f>INDEX(Data[],MATCH($A167,Data[Dist],0),MATCH(C$4,Data[#Headers],0))</f>
        <v>399097</v>
      </c>
      <c r="D167" s="22">
        <f>INDEX(Data[],MATCH($A167,Data[Dist],0),MATCH(D$4,Data[#Headers],0))</f>
        <v>1414610</v>
      </c>
      <c r="E167" s="22">
        <f>INDEX(Data[],MATCH($A167,Data[Dist],0),MATCH(E$4,Data[#Headers],0))</f>
        <v>157320</v>
      </c>
      <c r="F167" s="22">
        <f>INDEX(Data[],MATCH($A167,Data[Dist],0),MATCH(F$4,Data[#Headers],0))</f>
        <v>163892</v>
      </c>
      <c r="G167" s="22">
        <f>INDEX(Data[],MATCH($A167,Data[Dist],0),MATCH(G$4,Data[#Headers],0))</f>
        <v>823775</v>
      </c>
      <c r="H167" s="22">
        <f>INDEX(Data[],MATCH($A167,Data[Dist],0),MATCH(H$4,Data[#Headers],0))</f>
        <v>12613287</v>
      </c>
      <c r="I167" s="22">
        <f>INDEX(Data[],MATCH($A167,Data[Dist],0),MATCH(I$4,Data[#Headers],0))</f>
        <v>15571981</v>
      </c>
      <c r="J167" s="23"/>
    </row>
    <row r="168" spans="1:10" x14ac:dyDescent="0.2">
      <c r="A168" s="20" t="str">
        <f>Data!B164</f>
        <v>3609</v>
      </c>
      <c r="B168" s="21" t="str">
        <f>INDEX(Data[],MATCH($A168,Data[Dist],0),MATCH(B$4,Data[#Headers],0))</f>
        <v>Lenox</v>
      </c>
      <c r="C168" s="22">
        <f>INDEX(Data[],MATCH($A168,Data[Dist],0),MATCH(C$4,Data[#Headers],0))</f>
        <v>129231</v>
      </c>
      <c r="D168" s="22">
        <f>INDEX(Data[],MATCH($A168,Data[Dist],0),MATCH(D$4,Data[#Headers],0))</f>
        <v>322437</v>
      </c>
      <c r="E168" s="22">
        <f>INDEX(Data[],MATCH($A168,Data[Dist],0),MATCH(E$4,Data[#Headers],0))</f>
        <v>42360</v>
      </c>
      <c r="F168" s="22">
        <f>INDEX(Data[],MATCH($A168,Data[Dist],0),MATCH(F$4,Data[#Headers],0))</f>
        <v>37140</v>
      </c>
      <c r="G168" s="22">
        <f>INDEX(Data[],MATCH($A168,Data[Dist],0),MATCH(G$4,Data[#Headers],0))</f>
        <v>165986</v>
      </c>
      <c r="H168" s="22">
        <f>INDEX(Data[],MATCH($A168,Data[Dist],0),MATCH(H$4,Data[#Headers],0))</f>
        <v>2601716</v>
      </c>
      <c r="I168" s="22">
        <f>INDEX(Data[],MATCH($A168,Data[Dist],0),MATCH(I$4,Data[#Headers],0))</f>
        <v>3298870</v>
      </c>
      <c r="J168" s="23"/>
    </row>
    <row r="169" spans="1:10" x14ac:dyDescent="0.2">
      <c r="A169" s="20" t="str">
        <f>Data!B165</f>
        <v>3645</v>
      </c>
      <c r="B169" s="21" t="str">
        <f>INDEX(Data[],MATCH($A169,Data[Dist],0),MATCH(B$4,Data[#Headers],0))</f>
        <v>Lewis Central</v>
      </c>
      <c r="C169" s="22">
        <f>INDEX(Data[],MATCH($A169,Data[Dist],0),MATCH(C$4,Data[#Headers],0))</f>
        <v>243165</v>
      </c>
      <c r="D169" s="22">
        <f>INDEX(Data[],MATCH($A169,Data[Dist],0),MATCH(D$4,Data[#Headers],0))</f>
        <v>1692281</v>
      </c>
      <c r="E169" s="22">
        <f>INDEX(Data[],MATCH($A169,Data[Dist],0),MATCH(E$4,Data[#Headers],0))</f>
        <v>247475</v>
      </c>
      <c r="F169" s="22">
        <f>INDEX(Data[],MATCH($A169,Data[Dist],0),MATCH(F$4,Data[#Headers],0))</f>
        <v>197470</v>
      </c>
      <c r="G169" s="22">
        <f>INDEX(Data[],MATCH($A169,Data[Dist],0),MATCH(G$4,Data[#Headers],0))</f>
        <v>978668</v>
      </c>
      <c r="H169" s="22">
        <f>INDEX(Data[],MATCH($A169,Data[Dist],0),MATCH(H$4,Data[#Headers],0))</f>
        <v>12347889</v>
      </c>
      <c r="I169" s="22">
        <f>INDEX(Data[],MATCH($A169,Data[Dist],0),MATCH(I$4,Data[#Headers],0))</f>
        <v>15706948</v>
      </c>
      <c r="J169" s="23"/>
    </row>
    <row r="170" spans="1:10" x14ac:dyDescent="0.2">
      <c r="A170" s="20" t="str">
        <f>Data!B166</f>
        <v>3691</v>
      </c>
      <c r="B170" s="21" t="str">
        <f>INDEX(Data[],MATCH($A170,Data[Dist],0),MATCH(B$4,Data[#Headers],0))</f>
        <v>North Cedar</v>
      </c>
      <c r="C170" s="22">
        <f>INDEX(Data[],MATCH($A170,Data[Dist],0),MATCH(C$4,Data[#Headers],0))</f>
        <v>140634</v>
      </c>
      <c r="D170" s="22">
        <f>INDEX(Data[],MATCH($A170,Data[Dist],0),MATCH(D$4,Data[#Headers],0))</f>
        <v>473875</v>
      </c>
      <c r="E170" s="22">
        <f>INDEX(Data[],MATCH($A170,Data[Dist],0),MATCH(E$4,Data[#Headers],0))</f>
        <v>50537</v>
      </c>
      <c r="F170" s="22">
        <f>INDEX(Data[],MATCH($A170,Data[Dist],0),MATCH(F$4,Data[#Headers],0))</f>
        <v>51089</v>
      </c>
      <c r="G170" s="22">
        <f>INDEX(Data[],MATCH($A170,Data[Dist],0),MATCH(G$4,Data[#Headers],0))</f>
        <v>267479</v>
      </c>
      <c r="H170" s="22">
        <f>INDEX(Data[],MATCH($A170,Data[Dist],0),MATCH(H$4,Data[#Headers],0))</f>
        <v>3795620</v>
      </c>
      <c r="I170" s="22">
        <f>INDEX(Data[],MATCH($A170,Data[Dist],0),MATCH(I$4,Data[#Headers],0))</f>
        <v>4779234</v>
      </c>
      <c r="J170" s="23"/>
    </row>
    <row r="171" spans="1:10" x14ac:dyDescent="0.2">
      <c r="A171" s="20" t="str">
        <f>Data!B167</f>
        <v>3715</v>
      </c>
      <c r="B171" s="21" t="str">
        <f>INDEX(Data[],MATCH($A171,Data[Dist],0),MATCH(B$4,Data[#Headers],0))</f>
        <v>Linn-Mar</v>
      </c>
      <c r="C171" s="22">
        <f>INDEX(Data[],MATCH($A171,Data[Dist],0),MATCH(C$4,Data[#Headers],0))</f>
        <v>976175</v>
      </c>
      <c r="D171" s="22">
        <f>INDEX(Data[],MATCH($A171,Data[Dist],0),MATCH(D$4,Data[#Headers],0))</f>
        <v>4745335</v>
      </c>
      <c r="E171" s="22">
        <f>INDEX(Data[],MATCH($A171,Data[Dist],0),MATCH(E$4,Data[#Headers],0))</f>
        <v>530300</v>
      </c>
      <c r="F171" s="22">
        <f>INDEX(Data[],MATCH($A171,Data[Dist],0),MATCH(F$4,Data[#Headers],0))</f>
        <v>531145</v>
      </c>
      <c r="G171" s="22">
        <f>INDEX(Data[],MATCH($A171,Data[Dist],0),MATCH(G$4,Data[#Headers],0))</f>
        <v>2832337</v>
      </c>
      <c r="H171" s="22">
        <f>INDEX(Data[],MATCH($A171,Data[Dist],0),MATCH(H$4,Data[#Headers],0))</f>
        <v>45400837</v>
      </c>
      <c r="I171" s="22">
        <f>INDEX(Data[],MATCH($A171,Data[Dist],0),MATCH(I$4,Data[#Headers],0))</f>
        <v>55016129</v>
      </c>
      <c r="J171" s="23"/>
    </row>
    <row r="172" spans="1:10" x14ac:dyDescent="0.2">
      <c r="A172" s="20" t="str">
        <f>Data!B168</f>
        <v>3744</v>
      </c>
      <c r="B172" s="21" t="str">
        <f>INDEX(Data[],MATCH($A172,Data[Dist],0),MATCH(B$4,Data[#Headers],0))</f>
        <v>Lisbon</v>
      </c>
      <c r="C172" s="22">
        <f>INDEX(Data[],MATCH($A172,Data[Dist],0),MATCH(C$4,Data[#Headers],0))</f>
        <v>182444</v>
      </c>
      <c r="D172" s="22">
        <f>INDEX(Data[],MATCH($A172,Data[Dist],0),MATCH(D$4,Data[#Headers],0))</f>
        <v>417847</v>
      </c>
      <c r="E172" s="22">
        <f>INDEX(Data[],MATCH($A172,Data[Dist],0),MATCH(E$4,Data[#Headers],0))</f>
        <v>42044</v>
      </c>
      <c r="F172" s="22">
        <f>INDEX(Data[],MATCH($A172,Data[Dist],0),MATCH(F$4,Data[#Headers],0))</f>
        <v>42159</v>
      </c>
      <c r="G172" s="22">
        <f>INDEX(Data[],MATCH($A172,Data[Dist],0),MATCH(G$4,Data[#Headers],0))</f>
        <v>247320</v>
      </c>
      <c r="H172" s="22">
        <f>INDEX(Data[],MATCH($A172,Data[Dist],0),MATCH(H$4,Data[#Headers],0))</f>
        <v>4153657</v>
      </c>
      <c r="I172" s="22">
        <f>INDEX(Data[],MATCH($A172,Data[Dist],0),MATCH(I$4,Data[#Headers],0))</f>
        <v>5085471</v>
      </c>
      <c r="J172" s="23"/>
    </row>
    <row r="173" spans="1:10" x14ac:dyDescent="0.2">
      <c r="A173" s="20" t="str">
        <f>Data!B169</f>
        <v>3798</v>
      </c>
      <c r="B173" s="21" t="str">
        <f>INDEX(Data[],MATCH($A173,Data[Dist],0),MATCH(B$4,Data[#Headers],0))</f>
        <v>Logan-Magnolia</v>
      </c>
      <c r="C173" s="22">
        <f>INDEX(Data[],MATCH($A173,Data[Dist],0),MATCH(C$4,Data[#Headers],0))</f>
        <v>98824</v>
      </c>
      <c r="D173" s="22">
        <f>INDEX(Data[],MATCH($A173,Data[Dist],0),MATCH(D$4,Data[#Headers],0))</f>
        <v>397184</v>
      </c>
      <c r="E173" s="22">
        <f>INDEX(Data[],MATCH($A173,Data[Dist],0),MATCH(E$4,Data[#Headers],0))</f>
        <v>45477</v>
      </c>
      <c r="F173" s="22">
        <f>INDEX(Data[],MATCH($A173,Data[Dist],0),MATCH(F$4,Data[#Headers],0))</f>
        <v>44367</v>
      </c>
      <c r="G173" s="22">
        <f>INDEX(Data[],MATCH($A173,Data[Dist],0),MATCH(G$4,Data[#Headers],0))</f>
        <v>222187</v>
      </c>
      <c r="H173" s="22">
        <f>INDEX(Data[],MATCH($A173,Data[Dist],0),MATCH(H$4,Data[#Headers],0))</f>
        <v>3392693</v>
      </c>
      <c r="I173" s="22">
        <f>INDEX(Data[],MATCH($A173,Data[Dist],0),MATCH(I$4,Data[#Headers],0))</f>
        <v>4200732</v>
      </c>
      <c r="J173" s="23"/>
    </row>
    <row r="174" spans="1:10" x14ac:dyDescent="0.2">
      <c r="A174" s="20" t="str">
        <f>Data!B170</f>
        <v>3816</v>
      </c>
      <c r="B174" s="21" t="str">
        <f>INDEX(Data[],MATCH($A174,Data[Dist],0),MATCH(B$4,Data[#Headers],0))</f>
        <v>Lone Tree</v>
      </c>
      <c r="C174" s="22">
        <f>INDEX(Data[],MATCH($A174,Data[Dist],0),MATCH(C$4,Data[#Headers],0))</f>
        <v>64616</v>
      </c>
      <c r="D174" s="22">
        <f>INDEX(Data[],MATCH($A174,Data[Dist],0),MATCH(D$4,Data[#Headers],0))</f>
        <v>237950</v>
      </c>
      <c r="E174" s="22">
        <f>INDEX(Data[],MATCH($A174,Data[Dist],0),MATCH(E$4,Data[#Headers],0))</f>
        <v>27087</v>
      </c>
      <c r="F174" s="22">
        <f>INDEX(Data[],MATCH($A174,Data[Dist],0),MATCH(F$4,Data[#Headers],0))</f>
        <v>24699</v>
      </c>
      <c r="G174" s="22">
        <f>INDEX(Data[],MATCH($A174,Data[Dist],0),MATCH(G$4,Data[#Headers],0))</f>
        <v>120006</v>
      </c>
      <c r="H174" s="22">
        <f>INDEX(Data[],MATCH($A174,Data[Dist],0),MATCH(H$4,Data[#Headers],0))</f>
        <v>1389843</v>
      </c>
      <c r="I174" s="22">
        <f>INDEX(Data[],MATCH($A174,Data[Dist],0),MATCH(I$4,Data[#Headers],0))</f>
        <v>1864201</v>
      </c>
      <c r="J174" s="23"/>
    </row>
    <row r="175" spans="1:10" x14ac:dyDescent="0.2">
      <c r="A175" s="20" t="str">
        <f>Data!B171</f>
        <v>3841</v>
      </c>
      <c r="B175" s="21" t="str">
        <f>INDEX(Data[],MATCH($A175,Data[Dist],0),MATCH(B$4,Data[#Headers],0))</f>
        <v>Louisa-Muscatine</v>
      </c>
      <c r="C175" s="22">
        <f>INDEX(Data[],MATCH($A175,Data[Dist],0),MATCH(C$4,Data[#Headers],0))</f>
        <v>159638</v>
      </c>
      <c r="D175" s="22">
        <f>INDEX(Data[],MATCH($A175,Data[Dist],0),MATCH(D$4,Data[#Headers],0))</f>
        <v>483720</v>
      </c>
      <c r="E175" s="22">
        <f>INDEX(Data[],MATCH($A175,Data[Dist],0),MATCH(E$4,Data[#Headers],0))</f>
        <v>52090</v>
      </c>
      <c r="F175" s="22">
        <f>INDEX(Data[],MATCH($A175,Data[Dist],0),MATCH(F$4,Data[#Headers],0))</f>
        <v>55883</v>
      </c>
      <c r="G175" s="22">
        <f>INDEX(Data[],MATCH($A175,Data[Dist],0),MATCH(G$4,Data[#Headers],0))</f>
        <v>253254</v>
      </c>
      <c r="H175" s="22">
        <f>INDEX(Data[],MATCH($A175,Data[Dist],0),MATCH(H$4,Data[#Headers],0))</f>
        <v>3575809</v>
      </c>
      <c r="I175" s="22">
        <f>INDEX(Data[],MATCH($A175,Data[Dist],0),MATCH(I$4,Data[#Headers],0))</f>
        <v>4580394</v>
      </c>
      <c r="J175" s="23"/>
    </row>
    <row r="176" spans="1:10" x14ac:dyDescent="0.2">
      <c r="A176" s="20" t="str">
        <f>Data!B172</f>
        <v>3906</v>
      </c>
      <c r="B176" s="21" t="str">
        <f>INDEX(Data[],MATCH($A176,Data[Dist],0),MATCH(B$4,Data[#Headers],0))</f>
        <v>Lynnville-Sully</v>
      </c>
      <c r="C176" s="22">
        <f>INDEX(Data[],MATCH($A176,Data[Dist],0),MATCH(C$4,Data[#Headers],0))</f>
        <v>98824</v>
      </c>
      <c r="D176" s="22">
        <f>INDEX(Data[],MATCH($A176,Data[Dist],0),MATCH(D$4,Data[#Headers],0))</f>
        <v>300060</v>
      </c>
      <c r="E176" s="22">
        <f>INDEX(Data[],MATCH($A176,Data[Dist],0),MATCH(E$4,Data[#Headers],0))</f>
        <v>31086</v>
      </c>
      <c r="F176" s="22">
        <f>INDEX(Data[],MATCH($A176,Data[Dist],0),MATCH(F$4,Data[#Headers],0))</f>
        <v>30528</v>
      </c>
      <c r="G176" s="22">
        <f>INDEX(Data[],MATCH($A176,Data[Dist],0),MATCH(G$4,Data[#Headers],0))</f>
        <v>165839</v>
      </c>
      <c r="H176" s="22">
        <f>INDEX(Data[],MATCH($A176,Data[Dist],0),MATCH(H$4,Data[#Headers],0))</f>
        <v>2171902</v>
      </c>
      <c r="I176" s="22">
        <f>INDEX(Data[],MATCH($A176,Data[Dist],0),MATCH(I$4,Data[#Headers],0))</f>
        <v>2798239</v>
      </c>
      <c r="J176" s="23"/>
    </row>
    <row r="177" spans="1:10" x14ac:dyDescent="0.2">
      <c r="A177" s="20" t="str">
        <f>Data!B173</f>
        <v>3942</v>
      </c>
      <c r="B177" s="21" t="str">
        <f>INDEX(Data[],MATCH($A177,Data[Dist],0),MATCH(B$4,Data[#Headers],0))</f>
        <v>Madrid</v>
      </c>
      <c r="C177" s="22">
        <f>INDEX(Data[],MATCH($A177,Data[Dist],0),MATCH(C$4,Data[#Headers],0))</f>
        <v>110227</v>
      </c>
      <c r="D177" s="22">
        <f>INDEX(Data[],MATCH($A177,Data[Dist],0),MATCH(D$4,Data[#Headers],0))</f>
        <v>432807</v>
      </c>
      <c r="E177" s="22">
        <f>INDEX(Data[],MATCH($A177,Data[Dist],0),MATCH(E$4,Data[#Headers],0))</f>
        <v>52227</v>
      </c>
      <c r="F177" s="22">
        <f>INDEX(Data[],MATCH($A177,Data[Dist],0),MATCH(F$4,Data[#Headers],0))</f>
        <v>47831</v>
      </c>
      <c r="G177" s="22">
        <f>INDEX(Data[],MATCH($A177,Data[Dist],0),MATCH(G$4,Data[#Headers],0))</f>
        <v>246915</v>
      </c>
      <c r="H177" s="22">
        <f>INDEX(Data[],MATCH($A177,Data[Dist],0),MATCH(H$4,Data[#Headers],0))</f>
        <v>4383914</v>
      </c>
      <c r="I177" s="22">
        <f>INDEX(Data[],MATCH($A177,Data[Dist],0),MATCH(I$4,Data[#Headers],0))</f>
        <v>5273921</v>
      </c>
      <c r="J177" s="23"/>
    </row>
    <row r="178" spans="1:10" x14ac:dyDescent="0.2">
      <c r="A178" s="20" t="str">
        <f>Data!B174</f>
        <v>3978</v>
      </c>
      <c r="B178" s="21" t="str">
        <f>INDEX(Data[],MATCH($A178,Data[Dist],0),MATCH(B$4,Data[#Headers],0))</f>
        <v>East Mills</v>
      </c>
      <c r="C178" s="22">
        <f>INDEX(Data[],MATCH($A178,Data[Dist],0),MATCH(C$4,Data[#Headers],0))</f>
        <v>98824</v>
      </c>
      <c r="D178" s="22">
        <f>INDEX(Data[],MATCH($A178,Data[Dist],0),MATCH(D$4,Data[#Headers],0))</f>
        <v>375489</v>
      </c>
      <c r="E178" s="22">
        <f>INDEX(Data[],MATCH($A178,Data[Dist],0),MATCH(E$4,Data[#Headers],0))</f>
        <v>38549</v>
      </c>
      <c r="F178" s="22">
        <f>INDEX(Data[],MATCH($A178,Data[Dist],0),MATCH(F$4,Data[#Headers],0))</f>
        <v>41873</v>
      </c>
      <c r="G178" s="22">
        <f>INDEX(Data[],MATCH($A178,Data[Dist],0),MATCH(G$4,Data[#Headers],0))</f>
        <v>194768</v>
      </c>
      <c r="H178" s="22">
        <f>INDEX(Data[],MATCH($A178,Data[Dist],0),MATCH(H$4,Data[#Headers],0))</f>
        <v>2509399</v>
      </c>
      <c r="I178" s="22">
        <f>INDEX(Data[],MATCH($A178,Data[Dist],0),MATCH(I$4,Data[#Headers],0))</f>
        <v>3258902</v>
      </c>
      <c r="J178" s="23"/>
    </row>
    <row r="179" spans="1:10" x14ac:dyDescent="0.2">
      <c r="A179" s="20" t="str">
        <f>Data!B175</f>
        <v>4023</v>
      </c>
      <c r="B179" s="21" t="str">
        <f>INDEX(Data[],MATCH($A179,Data[Dist],0),MATCH(B$4,Data[#Headers],0))</f>
        <v>Manson-Northwest Webster</v>
      </c>
      <c r="C179" s="22">
        <f>INDEX(Data[],MATCH($A179,Data[Dist],0),MATCH(C$4,Data[#Headers],0))</f>
        <v>129231</v>
      </c>
      <c r="D179" s="22">
        <f>INDEX(Data[],MATCH($A179,Data[Dist],0),MATCH(D$4,Data[#Headers],0))</f>
        <v>450437</v>
      </c>
      <c r="E179" s="22">
        <f>INDEX(Data[],MATCH($A179,Data[Dist],0),MATCH(E$4,Data[#Headers],0))</f>
        <v>41100</v>
      </c>
      <c r="F179" s="22">
        <f>INDEX(Data[],MATCH($A179,Data[Dist],0),MATCH(F$4,Data[#Headers],0))</f>
        <v>49104</v>
      </c>
      <c r="G179" s="22">
        <f>INDEX(Data[],MATCH($A179,Data[Dist],0),MATCH(G$4,Data[#Headers],0))</f>
        <v>241608</v>
      </c>
      <c r="H179" s="22">
        <f>INDEX(Data[],MATCH($A179,Data[Dist],0),MATCH(H$4,Data[#Headers],0))</f>
        <v>2565150</v>
      </c>
      <c r="I179" s="22">
        <f>INDEX(Data[],MATCH($A179,Data[Dist],0),MATCH(I$4,Data[#Headers],0))</f>
        <v>3476630</v>
      </c>
      <c r="J179" s="23"/>
    </row>
    <row r="180" spans="1:10" x14ac:dyDescent="0.2">
      <c r="A180" s="20" t="str">
        <f>Data!B176</f>
        <v>4033</v>
      </c>
      <c r="B180" s="21" t="str">
        <f>INDEX(Data[],MATCH($A180,Data[Dist],0),MATCH(B$4,Data[#Headers],0))</f>
        <v>Maple Valley-Anthon Oto</v>
      </c>
      <c r="C180" s="22">
        <f>INDEX(Data[],MATCH($A180,Data[Dist],0),MATCH(C$4,Data[#Headers],0))</f>
        <v>133033</v>
      </c>
      <c r="D180" s="22">
        <f>INDEX(Data[],MATCH($A180,Data[Dist],0),MATCH(D$4,Data[#Headers],0))</f>
        <v>395690</v>
      </c>
      <c r="E180" s="22">
        <f>INDEX(Data[],MATCH($A180,Data[Dist],0),MATCH(E$4,Data[#Headers],0))</f>
        <v>40456</v>
      </c>
      <c r="F180" s="22">
        <f>INDEX(Data[],MATCH($A180,Data[Dist],0),MATCH(F$4,Data[#Headers],0))</f>
        <v>41809</v>
      </c>
      <c r="G180" s="22">
        <f>INDEX(Data[],MATCH($A180,Data[Dist],0),MATCH(G$4,Data[#Headers],0))</f>
        <v>218866</v>
      </c>
      <c r="H180" s="22">
        <f>INDEX(Data[],MATCH($A180,Data[Dist],0),MATCH(H$4,Data[#Headers],0))</f>
        <v>2369761</v>
      </c>
      <c r="I180" s="22">
        <f>INDEX(Data[],MATCH($A180,Data[Dist],0),MATCH(I$4,Data[#Headers],0))</f>
        <v>3199615</v>
      </c>
      <c r="J180" s="23"/>
    </row>
    <row r="181" spans="1:10" x14ac:dyDescent="0.2">
      <c r="A181" s="20" t="str">
        <f>Data!B177</f>
        <v>4041</v>
      </c>
      <c r="B181" s="21" t="str">
        <f>INDEX(Data[],MATCH($A181,Data[Dist],0),MATCH(B$4,Data[#Headers],0))</f>
        <v>Maquoketa</v>
      </c>
      <c r="C181" s="22">
        <f>INDEX(Data[],MATCH($A181,Data[Dist],0),MATCH(C$4,Data[#Headers],0))</f>
        <v>262264</v>
      </c>
      <c r="D181" s="22">
        <f>INDEX(Data[],MATCH($A181,Data[Dist],0),MATCH(D$4,Data[#Headers],0))</f>
        <v>830561</v>
      </c>
      <c r="E181" s="22">
        <f>INDEX(Data[],MATCH($A181,Data[Dist],0),MATCH(E$4,Data[#Headers],0))</f>
        <v>99890</v>
      </c>
      <c r="F181" s="22">
        <f>INDEX(Data[],MATCH($A181,Data[Dist],0),MATCH(F$4,Data[#Headers],0))</f>
        <v>96814</v>
      </c>
      <c r="G181" s="22">
        <f>INDEX(Data[],MATCH($A181,Data[Dist],0),MATCH(G$4,Data[#Headers],0))</f>
        <v>445533</v>
      </c>
      <c r="H181" s="22">
        <f>INDEX(Data[],MATCH($A181,Data[Dist],0),MATCH(H$4,Data[#Headers],0))</f>
        <v>8057935</v>
      </c>
      <c r="I181" s="22">
        <f>INDEX(Data[],MATCH($A181,Data[Dist],0),MATCH(I$4,Data[#Headers],0))</f>
        <v>9792997</v>
      </c>
      <c r="J181" s="23"/>
    </row>
    <row r="182" spans="1:10" x14ac:dyDescent="0.2">
      <c r="A182" s="20" t="str">
        <f>Data!B178</f>
        <v>4043</v>
      </c>
      <c r="B182" s="21" t="str">
        <f>INDEX(Data[],MATCH($A182,Data[Dist],0),MATCH(B$4,Data[#Headers],0))</f>
        <v>Maquoketa Valley</v>
      </c>
      <c r="C182" s="22">
        <f>INDEX(Data[],MATCH($A182,Data[Dist],0),MATCH(C$4,Data[#Headers],0))</f>
        <v>140634</v>
      </c>
      <c r="D182" s="22">
        <f>INDEX(Data[],MATCH($A182,Data[Dist],0),MATCH(D$4,Data[#Headers],0))</f>
        <v>442613</v>
      </c>
      <c r="E182" s="22">
        <f>INDEX(Data[],MATCH($A182,Data[Dist],0),MATCH(E$4,Data[#Headers],0))</f>
        <v>48333</v>
      </c>
      <c r="F182" s="22">
        <f>INDEX(Data[],MATCH($A182,Data[Dist],0),MATCH(F$4,Data[#Headers],0))</f>
        <v>48957</v>
      </c>
      <c r="G182" s="22">
        <f>INDEX(Data[],MATCH($A182,Data[Dist],0),MATCH(G$4,Data[#Headers],0))</f>
        <v>244372</v>
      </c>
      <c r="H182" s="22">
        <f>INDEX(Data[],MATCH($A182,Data[Dist],0),MATCH(H$4,Data[#Headers],0))</f>
        <v>2893063</v>
      </c>
      <c r="I182" s="22">
        <f>INDEX(Data[],MATCH($A182,Data[Dist],0),MATCH(I$4,Data[#Headers],0))</f>
        <v>3817972</v>
      </c>
      <c r="J182" s="23"/>
    </row>
    <row r="183" spans="1:10" x14ac:dyDescent="0.2">
      <c r="A183" s="20" t="str">
        <f>Data!B179</f>
        <v>4068</v>
      </c>
      <c r="B183" s="21" t="str">
        <f>INDEX(Data[],MATCH($A183,Data[Dist],0),MATCH(B$4,Data[#Headers],0))</f>
        <v>Marcus-Meriden Cleghorn</v>
      </c>
      <c r="C183" s="22">
        <f>INDEX(Data[],MATCH($A183,Data[Dist],0),MATCH(C$4,Data[#Headers],0))</f>
        <v>87422</v>
      </c>
      <c r="D183" s="22">
        <f>INDEX(Data[],MATCH($A183,Data[Dist],0),MATCH(D$4,Data[#Headers],0))</f>
        <v>322412</v>
      </c>
      <c r="E183" s="22">
        <f>INDEX(Data[],MATCH($A183,Data[Dist],0),MATCH(E$4,Data[#Headers],0))</f>
        <v>27772</v>
      </c>
      <c r="F183" s="22">
        <f>INDEX(Data[],MATCH($A183,Data[Dist],0),MATCH(F$4,Data[#Headers],0))</f>
        <v>34360</v>
      </c>
      <c r="G183" s="22">
        <f>INDEX(Data[],MATCH($A183,Data[Dist],0),MATCH(G$4,Data[#Headers],0))</f>
        <v>171440</v>
      </c>
      <c r="H183" s="22">
        <f>INDEX(Data[],MATCH($A183,Data[Dist],0),MATCH(H$4,Data[#Headers],0))</f>
        <v>1490957</v>
      </c>
      <c r="I183" s="22">
        <f>INDEX(Data[],MATCH($A183,Data[Dist],0),MATCH(I$4,Data[#Headers],0))</f>
        <v>2134363</v>
      </c>
      <c r="J183" s="23"/>
    </row>
    <row r="184" spans="1:10" x14ac:dyDescent="0.2">
      <c r="A184" s="20" t="str">
        <f>Data!B180</f>
        <v>4086</v>
      </c>
      <c r="B184" s="21" t="str">
        <f>INDEX(Data[],MATCH($A184,Data[Dist],0),MATCH(B$4,Data[#Headers],0))</f>
        <v>Marion</v>
      </c>
      <c r="C184" s="22">
        <f>INDEX(Data[],MATCH($A184,Data[Dist],0),MATCH(C$4,Data[#Headers],0))</f>
        <v>387693</v>
      </c>
      <c r="D184" s="22">
        <f>INDEX(Data[],MATCH($A184,Data[Dist],0),MATCH(D$4,Data[#Headers],0))</f>
        <v>1223259</v>
      </c>
      <c r="E184" s="22">
        <f>INDEX(Data[],MATCH($A184,Data[Dist],0),MATCH(E$4,Data[#Headers],0))</f>
        <v>149952</v>
      </c>
      <c r="F184" s="22">
        <f>INDEX(Data[],MATCH($A184,Data[Dist],0),MATCH(F$4,Data[#Headers],0))</f>
        <v>146404</v>
      </c>
      <c r="G184" s="22">
        <f>INDEX(Data[],MATCH($A184,Data[Dist],0),MATCH(G$4,Data[#Headers],0))</f>
        <v>668156</v>
      </c>
      <c r="H184" s="22">
        <f>INDEX(Data[],MATCH($A184,Data[Dist],0),MATCH(H$4,Data[#Headers],0))</f>
        <v>12101705</v>
      </c>
      <c r="I184" s="22">
        <f>INDEX(Data[],MATCH($A184,Data[Dist],0),MATCH(I$4,Data[#Headers],0))</f>
        <v>14677169</v>
      </c>
      <c r="J184" s="23"/>
    </row>
    <row r="185" spans="1:10" x14ac:dyDescent="0.2">
      <c r="A185" s="20" t="str">
        <f>Data!B181</f>
        <v>4104</v>
      </c>
      <c r="B185" s="21" t="str">
        <f>INDEX(Data[],MATCH($A185,Data[Dist],0),MATCH(B$4,Data[#Headers],0))</f>
        <v>Marshalltown</v>
      </c>
      <c r="C185" s="22">
        <f>INDEX(Data[],MATCH($A185,Data[Dist],0),MATCH(C$4,Data[#Headers],0))</f>
        <v>1079460</v>
      </c>
      <c r="D185" s="22">
        <f>INDEX(Data[],MATCH($A185,Data[Dist],0),MATCH(D$4,Data[#Headers],0))</f>
        <v>3419941</v>
      </c>
      <c r="E185" s="22">
        <f>INDEX(Data[],MATCH($A185,Data[Dist],0),MATCH(E$4,Data[#Headers],0))</f>
        <v>517979</v>
      </c>
      <c r="F185" s="22">
        <f>INDEX(Data[],MATCH($A185,Data[Dist],0),MATCH(F$4,Data[#Headers],0))</f>
        <v>383499</v>
      </c>
      <c r="G185" s="22">
        <f>INDEX(Data[],MATCH($A185,Data[Dist],0),MATCH(G$4,Data[#Headers],0))</f>
        <v>1980812</v>
      </c>
      <c r="H185" s="22">
        <f>INDEX(Data[],MATCH($A185,Data[Dist],0),MATCH(H$4,Data[#Headers],0))</f>
        <v>39293665</v>
      </c>
      <c r="I185" s="22">
        <f>INDEX(Data[],MATCH($A185,Data[Dist],0),MATCH(I$4,Data[#Headers],0))</f>
        <v>46675356</v>
      </c>
      <c r="J185" s="23"/>
    </row>
    <row r="186" spans="1:10" x14ac:dyDescent="0.2">
      <c r="A186" s="20" t="str">
        <f>Data!B182</f>
        <v>4122</v>
      </c>
      <c r="B186" s="21" t="str">
        <f>INDEX(Data[],MATCH($A186,Data[Dist],0),MATCH(B$4,Data[#Headers],0))</f>
        <v>Martensdale-St Marys</v>
      </c>
      <c r="C186" s="22">
        <f>INDEX(Data[],MATCH($A186,Data[Dist],0),MATCH(C$4,Data[#Headers],0))</f>
        <v>72218</v>
      </c>
      <c r="D186" s="22">
        <f>INDEX(Data[],MATCH($A186,Data[Dist],0),MATCH(D$4,Data[#Headers],0))</f>
        <v>333699</v>
      </c>
      <c r="E186" s="22">
        <f>INDEX(Data[],MATCH($A186,Data[Dist],0),MATCH(E$4,Data[#Headers],0))</f>
        <v>36882</v>
      </c>
      <c r="F186" s="22">
        <f>INDEX(Data[],MATCH($A186,Data[Dist],0),MATCH(F$4,Data[#Headers],0))</f>
        <v>32678</v>
      </c>
      <c r="G186" s="22">
        <f>INDEX(Data[],MATCH($A186,Data[Dist],0),MATCH(G$4,Data[#Headers],0))</f>
        <v>188466</v>
      </c>
      <c r="H186" s="22">
        <f>INDEX(Data[],MATCH($A186,Data[Dist],0),MATCH(H$4,Data[#Headers],0))</f>
        <v>2680613</v>
      </c>
      <c r="I186" s="22">
        <f>INDEX(Data[],MATCH($A186,Data[Dist],0),MATCH(I$4,Data[#Headers],0))</f>
        <v>3344556</v>
      </c>
      <c r="J186" s="23"/>
    </row>
    <row r="187" spans="1:10" x14ac:dyDescent="0.2">
      <c r="A187" s="20" t="str">
        <f>Data!B183</f>
        <v>4131</v>
      </c>
      <c r="B187" s="21" t="str">
        <f>INDEX(Data[],MATCH($A187,Data[Dist],0),MATCH(B$4,Data[#Headers],0))</f>
        <v>Mason City</v>
      </c>
      <c r="C187" s="22">
        <f>INDEX(Data[],MATCH($A187,Data[Dist],0),MATCH(C$4,Data[#Headers],0))</f>
        <v>684165</v>
      </c>
      <c r="D187" s="22">
        <f>INDEX(Data[],MATCH($A187,Data[Dist],0),MATCH(D$4,Data[#Headers],0))</f>
        <v>2185140</v>
      </c>
      <c r="E187" s="22">
        <f>INDEX(Data[],MATCH($A187,Data[Dist],0),MATCH(E$4,Data[#Headers],0))</f>
        <v>290821</v>
      </c>
      <c r="F187" s="22">
        <f>INDEX(Data[],MATCH($A187,Data[Dist],0),MATCH(F$4,Data[#Headers],0))</f>
        <v>258069</v>
      </c>
      <c r="G187" s="22">
        <f>INDEX(Data[],MATCH($A187,Data[Dist],0),MATCH(G$4,Data[#Headers],0))</f>
        <v>1254697</v>
      </c>
      <c r="H187" s="22">
        <f>INDEX(Data[],MATCH($A187,Data[Dist],0),MATCH(H$4,Data[#Headers],0))</f>
        <v>19851535</v>
      </c>
      <c r="I187" s="22">
        <f>INDEX(Data[],MATCH($A187,Data[Dist],0),MATCH(I$4,Data[#Headers],0))</f>
        <v>24524427</v>
      </c>
      <c r="J187" s="23"/>
    </row>
    <row r="188" spans="1:10" x14ac:dyDescent="0.2">
      <c r="A188" s="20" t="str">
        <f>Data!B184</f>
        <v>4149</v>
      </c>
      <c r="B188" s="21" t="str">
        <f>INDEX(Data[],MATCH($A188,Data[Dist],0),MATCH(B$4,Data[#Headers],0))</f>
        <v>Moc-Floyd Valley</v>
      </c>
      <c r="C188" s="22">
        <f>INDEX(Data[],MATCH($A188,Data[Dist],0),MATCH(C$4,Data[#Headers],0))</f>
        <v>231856</v>
      </c>
      <c r="D188" s="22">
        <f>INDEX(Data[],MATCH($A188,Data[Dist],0),MATCH(D$4,Data[#Headers],0))</f>
        <v>978764</v>
      </c>
      <c r="E188" s="22">
        <f>INDEX(Data[],MATCH($A188,Data[Dist],0),MATCH(E$4,Data[#Headers],0))</f>
        <v>113723</v>
      </c>
      <c r="F188" s="22">
        <f>INDEX(Data[],MATCH($A188,Data[Dist],0),MATCH(F$4,Data[#Headers],0))</f>
        <v>116330</v>
      </c>
      <c r="G188" s="22">
        <f>INDEX(Data[],MATCH($A188,Data[Dist],0),MATCH(G$4,Data[#Headers],0))</f>
        <v>558728</v>
      </c>
      <c r="H188" s="22">
        <f>INDEX(Data[],MATCH($A188,Data[Dist],0),MATCH(H$4,Data[#Headers],0))</f>
        <v>7822253</v>
      </c>
      <c r="I188" s="22">
        <f>INDEX(Data[],MATCH($A188,Data[Dist],0),MATCH(I$4,Data[#Headers],0))</f>
        <v>9821654</v>
      </c>
      <c r="J188" s="23"/>
    </row>
    <row r="189" spans="1:10" x14ac:dyDescent="0.2">
      <c r="A189" s="20" t="str">
        <f>Data!B185</f>
        <v>4203</v>
      </c>
      <c r="B189" s="21" t="str">
        <f>INDEX(Data[],MATCH($A189,Data[Dist],0),MATCH(B$4,Data[#Headers],0))</f>
        <v>Mediapolis</v>
      </c>
      <c r="C189" s="22">
        <f>INDEX(Data[],MATCH($A189,Data[Dist],0),MATCH(C$4,Data[#Headers],0))</f>
        <v>0</v>
      </c>
      <c r="D189" s="22">
        <f>INDEX(Data[],MATCH($A189,Data[Dist],0),MATCH(D$4,Data[#Headers],0))</f>
        <v>580088</v>
      </c>
      <c r="E189" s="22">
        <f>INDEX(Data[],MATCH($A189,Data[Dist],0),MATCH(E$4,Data[#Headers],0))</f>
        <v>61569</v>
      </c>
      <c r="F189" s="22">
        <f>INDEX(Data[],MATCH($A189,Data[Dist],0),MATCH(F$4,Data[#Headers],0))</f>
        <v>58076</v>
      </c>
      <c r="G189" s="22">
        <f>INDEX(Data[],MATCH($A189,Data[Dist],0),MATCH(G$4,Data[#Headers],0))</f>
        <v>322574</v>
      </c>
      <c r="H189" s="22">
        <f>INDEX(Data[],MATCH($A189,Data[Dist],0),MATCH(H$4,Data[#Headers],0))</f>
        <v>4567987</v>
      </c>
      <c r="I189" s="22">
        <f>INDEX(Data[],MATCH($A189,Data[Dist],0),MATCH(I$4,Data[#Headers],0))</f>
        <v>5590294</v>
      </c>
      <c r="J189" s="23"/>
    </row>
    <row r="190" spans="1:10" x14ac:dyDescent="0.2">
      <c r="A190" s="20" t="str">
        <f>Data!B186</f>
        <v>4212</v>
      </c>
      <c r="B190" s="21" t="str">
        <f>INDEX(Data[],MATCH($A190,Data[Dist],0),MATCH(B$4,Data[#Headers],0))</f>
        <v>Melcher-Dallas</v>
      </c>
      <c r="C190" s="22">
        <f>INDEX(Data[],MATCH($A190,Data[Dist],0),MATCH(C$4,Data[#Headers],0))</f>
        <v>79820</v>
      </c>
      <c r="D190" s="22">
        <f>INDEX(Data[],MATCH($A190,Data[Dist],0),MATCH(D$4,Data[#Headers],0))</f>
        <v>232234</v>
      </c>
      <c r="E190" s="22">
        <f>INDEX(Data[],MATCH($A190,Data[Dist],0),MATCH(E$4,Data[#Headers],0))</f>
        <v>28653</v>
      </c>
      <c r="F190" s="22">
        <f>INDEX(Data[],MATCH($A190,Data[Dist],0),MATCH(F$4,Data[#Headers],0))</f>
        <v>24240</v>
      </c>
      <c r="G190" s="22">
        <f>INDEX(Data[],MATCH($A190,Data[Dist],0),MATCH(G$4,Data[#Headers],0))</f>
        <v>114496</v>
      </c>
      <c r="H190" s="22">
        <f>INDEX(Data[],MATCH($A190,Data[Dist],0),MATCH(H$4,Data[#Headers],0))</f>
        <v>2020263</v>
      </c>
      <c r="I190" s="22">
        <f>INDEX(Data[],MATCH($A190,Data[Dist],0),MATCH(I$4,Data[#Headers],0))</f>
        <v>2499706</v>
      </c>
      <c r="J190" s="23"/>
    </row>
    <row r="191" spans="1:10" x14ac:dyDescent="0.2">
      <c r="A191" s="20" t="str">
        <f>Data!B187</f>
        <v>4269</v>
      </c>
      <c r="B191" s="21" t="str">
        <f>INDEX(Data[],MATCH($A191,Data[Dist],0),MATCH(B$4,Data[#Headers],0))</f>
        <v>Midland</v>
      </c>
      <c r="C191" s="22">
        <f>INDEX(Data[],MATCH($A191,Data[Dist],0),MATCH(C$4,Data[#Headers],0))</f>
        <v>79913</v>
      </c>
      <c r="D191" s="22">
        <f>INDEX(Data[],MATCH($A191,Data[Dist],0),MATCH(D$4,Data[#Headers],0))</f>
        <v>351757</v>
      </c>
      <c r="E191" s="22">
        <f>INDEX(Data[],MATCH($A191,Data[Dist],0),MATCH(E$4,Data[#Headers],0))</f>
        <v>37765</v>
      </c>
      <c r="F191" s="22">
        <f>INDEX(Data[],MATCH($A191,Data[Dist],0),MATCH(F$4,Data[#Headers],0))</f>
        <v>35502</v>
      </c>
      <c r="G191" s="22">
        <f>INDEX(Data[],MATCH($A191,Data[Dist],0),MATCH(G$4,Data[#Headers],0))</f>
        <v>184928</v>
      </c>
      <c r="H191" s="22">
        <f>INDEX(Data[],MATCH($A191,Data[Dist],0),MATCH(H$4,Data[#Headers],0))</f>
        <v>2471027</v>
      </c>
      <c r="I191" s="22">
        <f>INDEX(Data[],MATCH($A191,Data[Dist],0),MATCH(I$4,Data[#Headers],0))</f>
        <v>3160892</v>
      </c>
      <c r="J191" s="23"/>
    </row>
    <row r="192" spans="1:10" x14ac:dyDescent="0.2">
      <c r="A192" s="20" t="str">
        <f>Data!B188</f>
        <v>4271</v>
      </c>
      <c r="B192" s="21" t="str">
        <f>INDEX(Data[],MATCH($A192,Data[Dist],0),MATCH(B$4,Data[#Headers],0))</f>
        <v>Mid-Prairie</v>
      </c>
      <c r="C192" s="22">
        <f>INDEX(Data[],MATCH($A192,Data[Dist],0),MATCH(C$4,Data[#Headers],0))</f>
        <v>277467</v>
      </c>
      <c r="D192" s="22">
        <f>INDEX(Data[],MATCH($A192,Data[Dist],0),MATCH(D$4,Data[#Headers],0))</f>
        <v>824756</v>
      </c>
      <c r="E192" s="22">
        <f>INDEX(Data[],MATCH($A192,Data[Dist],0),MATCH(E$4,Data[#Headers],0))</f>
        <v>93419</v>
      </c>
      <c r="F192" s="22">
        <f>INDEX(Data[],MATCH($A192,Data[Dist],0),MATCH(F$4,Data[#Headers],0))</f>
        <v>90202</v>
      </c>
      <c r="G192" s="22">
        <f>INDEX(Data[],MATCH($A192,Data[Dist],0),MATCH(G$4,Data[#Headers],0))</f>
        <v>452518</v>
      </c>
      <c r="H192" s="22">
        <f>INDEX(Data[],MATCH($A192,Data[Dist],0),MATCH(H$4,Data[#Headers],0))</f>
        <v>6542926</v>
      </c>
      <c r="I192" s="22">
        <f>INDEX(Data[],MATCH($A192,Data[Dist],0),MATCH(I$4,Data[#Headers],0))</f>
        <v>8281288</v>
      </c>
      <c r="J192" s="23"/>
    </row>
    <row r="193" spans="1:10" x14ac:dyDescent="0.2">
      <c r="A193" s="20" t="str">
        <f>Data!B189</f>
        <v>4356</v>
      </c>
      <c r="B193" s="21" t="str">
        <f>INDEX(Data[],MATCH($A193,Data[Dist],0),MATCH(B$4,Data[#Headers],0))</f>
        <v>Missouri Valley</v>
      </c>
      <c r="C193" s="22">
        <f>INDEX(Data[],MATCH($A193,Data[Dist],0),MATCH(C$4,Data[#Headers],0))</f>
        <v>114027</v>
      </c>
      <c r="D193" s="22">
        <f>INDEX(Data[],MATCH($A193,Data[Dist],0),MATCH(D$4,Data[#Headers],0))</f>
        <v>481048</v>
      </c>
      <c r="E193" s="22">
        <f>INDEX(Data[],MATCH($A193,Data[Dist],0),MATCH(E$4,Data[#Headers],0))</f>
        <v>56898</v>
      </c>
      <c r="F193" s="22">
        <f>INDEX(Data[],MATCH($A193,Data[Dist],0),MATCH(F$4,Data[#Headers],0))</f>
        <v>48753</v>
      </c>
      <c r="G193" s="22">
        <f>INDEX(Data[],MATCH($A193,Data[Dist],0),MATCH(G$4,Data[#Headers],0))</f>
        <v>281041</v>
      </c>
      <c r="H193" s="22">
        <f>INDEX(Data[],MATCH($A193,Data[Dist],0),MATCH(H$4,Data[#Headers],0))</f>
        <v>4239232</v>
      </c>
      <c r="I193" s="22">
        <f>INDEX(Data[],MATCH($A193,Data[Dist],0),MATCH(I$4,Data[#Headers],0))</f>
        <v>5220999</v>
      </c>
      <c r="J193" s="23"/>
    </row>
    <row r="194" spans="1:10" x14ac:dyDescent="0.2">
      <c r="A194" s="20" t="str">
        <f>Data!B190</f>
        <v>4419</v>
      </c>
      <c r="B194" s="21" t="str">
        <f>INDEX(Data[],MATCH($A194,Data[Dist],0),MATCH(B$4,Data[#Headers],0))</f>
        <v>MFL Mar Mac</v>
      </c>
      <c r="C194" s="22">
        <f>INDEX(Data[],MATCH($A194,Data[Dist],0),MATCH(C$4,Data[#Headers],0))</f>
        <v>209051</v>
      </c>
      <c r="D194" s="22">
        <f>INDEX(Data[],MATCH($A194,Data[Dist],0),MATCH(D$4,Data[#Headers],0))</f>
        <v>541186</v>
      </c>
      <c r="E194" s="22">
        <f>INDEX(Data[],MATCH($A194,Data[Dist],0),MATCH(E$4,Data[#Headers],0))</f>
        <v>66609</v>
      </c>
      <c r="F194" s="22">
        <f>INDEX(Data[],MATCH($A194,Data[Dist],0),MATCH(F$4,Data[#Headers],0))</f>
        <v>65173</v>
      </c>
      <c r="G194" s="22">
        <f>INDEX(Data[],MATCH($A194,Data[Dist],0),MATCH(G$4,Data[#Headers],0))</f>
        <v>297219</v>
      </c>
      <c r="H194" s="22">
        <f>INDEX(Data[],MATCH($A194,Data[Dist],0),MATCH(H$4,Data[#Headers],0))</f>
        <v>4705626</v>
      </c>
      <c r="I194" s="22">
        <f>INDEX(Data[],MATCH($A194,Data[Dist],0),MATCH(I$4,Data[#Headers],0))</f>
        <v>5884864</v>
      </c>
      <c r="J194" s="23"/>
    </row>
    <row r="195" spans="1:10" x14ac:dyDescent="0.2">
      <c r="A195" s="20" t="str">
        <f>Data!B191</f>
        <v>4437</v>
      </c>
      <c r="B195" s="21" t="str">
        <f>INDEX(Data[],MATCH($A195,Data[Dist],0),MATCH(B$4,Data[#Headers],0))</f>
        <v>Montezuma</v>
      </c>
      <c r="C195" s="22">
        <f>INDEX(Data[],MATCH($A195,Data[Dist],0),MATCH(C$4,Data[#Headers],0))</f>
        <v>125431</v>
      </c>
      <c r="D195" s="22">
        <f>INDEX(Data[],MATCH($A195,Data[Dist],0),MATCH(D$4,Data[#Headers],0))</f>
        <v>298612</v>
      </c>
      <c r="E195" s="22">
        <f>INDEX(Data[],MATCH($A195,Data[Dist],0),MATCH(E$4,Data[#Headers],0))</f>
        <v>38266</v>
      </c>
      <c r="F195" s="22">
        <f>INDEX(Data[],MATCH($A195,Data[Dist],0),MATCH(F$4,Data[#Headers],0))</f>
        <v>29580</v>
      </c>
      <c r="G195" s="22">
        <f>INDEX(Data[],MATCH($A195,Data[Dist],0),MATCH(G$4,Data[#Headers],0))</f>
        <v>176574</v>
      </c>
      <c r="H195" s="22">
        <f>INDEX(Data[],MATCH($A195,Data[Dist],0),MATCH(H$4,Data[#Headers],0))</f>
        <v>1321925</v>
      </c>
      <c r="I195" s="22">
        <f>INDEX(Data[],MATCH($A195,Data[Dist],0),MATCH(I$4,Data[#Headers],0))</f>
        <v>1990388</v>
      </c>
      <c r="J195" s="23"/>
    </row>
    <row r="196" spans="1:10" x14ac:dyDescent="0.2">
      <c r="A196" s="20" t="str">
        <f>Data!B192</f>
        <v>4446</v>
      </c>
      <c r="B196" s="21" t="str">
        <f>INDEX(Data[],MATCH($A196,Data[Dist],0),MATCH(B$4,Data[#Headers],0))</f>
        <v>Monticello</v>
      </c>
      <c r="C196" s="22">
        <f>INDEX(Data[],MATCH($A196,Data[Dist],0),MATCH(C$4,Data[#Headers],0))</f>
        <v>224254</v>
      </c>
      <c r="D196" s="22">
        <f>INDEX(Data[],MATCH($A196,Data[Dist],0),MATCH(D$4,Data[#Headers],0))</f>
        <v>640476</v>
      </c>
      <c r="E196" s="22">
        <f>INDEX(Data[],MATCH($A196,Data[Dist],0),MATCH(E$4,Data[#Headers],0))</f>
        <v>68900</v>
      </c>
      <c r="F196" s="22">
        <f>INDEX(Data[],MATCH($A196,Data[Dist],0),MATCH(F$4,Data[#Headers],0))</f>
        <v>63638</v>
      </c>
      <c r="G196" s="22">
        <f>INDEX(Data[],MATCH($A196,Data[Dist],0),MATCH(G$4,Data[#Headers],0))</f>
        <v>357179</v>
      </c>
      <c r="H196" s="22">
        <f>INDEX(Data[],MATCH($A196,Data[Dist],0),MATCH(H$4,Data[#Headers],0))</f>
        <v>5352648</v>
      </c>
      <c r="I196" s="22">
        <f>INDEX(Data[],MATCH($A196,Data[Dist],0),MATCH(I$4,Data[#Headers],0))</f>
        <v>6707095</v>
      </c>
      <c r="J196" s="23"/>
    </row>
    <row r="197" spans="1:10" x14ac:dyDescent="0.2">
      <c r="A197" s="20" t="str">
        <f>Data!B193</f>
        <v>4491</v>
      </c>
      <c r="B197" s="21" t="str">
        <f>INDEX(Data[],MATCH($A197,Data[Dist],0),MATCH(B$4,Data[#Headers],0))</f>
        <v>Moravia</v>
      </c>
      <c r="C197" s="22">
        <f>INDEX(Data[],MATCH($A197,Data[Dist],0),MATCH(C$4,Data[#Headers],0))</f>
        <v>68416</v>
      </c>
      <c r="D197" s="22">
        <f>INDEX(Data[],MATCH($A197,Data[Dist],0),MATCH(D$4,Data[#Headers],0))</f>
        <v>257266</v>
      </c>
      <c r="E197" s="22">
        <f>INDEX(Data[],MATCH($A197,Data[Dist],0),MATCH(E$4,Data[#Headers],0))</f>
        <v>32059</v>
      </c>
      <c r="F197" s="22">
        <f>INDEX(Data[],MATCH($A197,Data[Dist],0),MATCH(F$4,Data[#Headers],0))</f>
        <v>28877</v>
      </c>
      <c r="G197" s="22">
        <f>INDEX(Data[],MATCH($A197,Data[Dist],0),MATCH(G$4,Data[#Headers],0))</f>
        <v>127327</v>
      </c>
      <c r="H197" s="22">
        <f>INDEX(Data[],MATCH($A197,Data[Dist],0),MATCH(H$4,Data[#Headers],0))</f>
        <v>1950351</v>
      </c>
      <c r="I197" s="22">
        <f>INDEX(Data[],MATCH($A197,Data[Dist],0),MATCH(I$4,Data[#Headers],0))</f>
        <v>2464296</v>
      </c>
      <c r="J197" s="23"/>
    </row>
    <row r="198" spans="1:10" x14ac:dyDescent="0.2">
      <c r="A198" s="20" t="str">
        <f>Data!B194</f>
        <v>4505</v>
      </c>
      <c r="B198" s="21" t="str">
        <f>INDEX(Data[],MATCH($A198,Data[Dist],0),MATCH(B$4,Data[#Headers],0))</f>
        <v>Mormon Trail</v>
      </c>
      <c r="C198" s="22">
        <f>INDEX(Data[],MATCH($A198,Data[Dist],0),MATCH(C$4,Data[#Headers],0))</f>
        <v>60909</v>
      </c>
      <c r="D198" s="22">
        <f>INDEX(Data[],MATCH($A198,Data[Dist],0),MATCH(D$4,Data[#Headers],0))</f>
        <v>142970</v>
      </c>
      <c r="E198" s="22">
        <f>INDEX(Data[],MATCH($A198,Data[Dist],0),MATCH(E$4,Data[#Headers],0))</f>
        <v>16755</v>
      </c>
      <c r="F198" s="22">
        <f>INDEX(Data[],MATCH($A198,Data[Dist],0),MATCH(F$4,Data[#Headers],0))</f>
        <v>13342</v>
      </c>
      <c r="G198" s="22">
        <f>INDEX(Data[],MATCH($A198,Data[Dist],0),MATCH(G$4,Data[#Headers],0))</f>
        <v>78466</v>
      </c>
      <c r="H198" s="22">
        <f>INDEX(Data[],MATCH($A198,Data[Dist],0),MATCH(H$4,Data[#Headers],0))</f>
        <v>1279985</v>
      </c>
      <c r="I198" s="22">
        <f>INDEX(Data[],MATCH($A198,Data[Dist],0),MATCH(I$4,Data[#Headers],0))</f>
        <v>1592427</v>
      </c>
      <c r="J198" s="23"/>
    </row>
    <row r="199" spans="1:10" x14ac:dyDescent="0.2">
      <c r="A199" s="20" t="str">
        <f>Data!B195</f>
        <v>4509</v>
      </c>
      <c r="B199" s="21" t="str">
        <f>INDEX(Data[],MATCH($A199,Data[Dist],0),MATCH(B$4,Data[#Headers],0))</f>
        <v>Morning Sun</v>
      </c>
      <c r="C199" s="22">
        <f>INDEX(Data[],MATCH($A199,Data[Dist],0),MATCH(C$4,Data[#Headers],0))</f>
        <v>53213</v>
      </c>
      <c r="D199" s="22">
        <f>INDEX(Data[],MATCH($A199,Data[Dist],0),MATCH(D$4,Data[#Headers],0))</f>
        <v>130368</v>
      </c>
      <c r="E199" s="22">
        <f>INDEX(Data[],MATCH($A199,Data[Dist],0),MATCH(E$4,Data[#Headers],0))</f>
        <v>18673</v>
      </c>
      <c r="F199" s="22">
        <f>INDEX(Data[],MATCH($A199,Data[Dist],0),MATCH(F$4,Data[#Headers],0))</f>
        <v>14319</v>
      </c>
      <c r="G199" s="22">
        <f>INDEX(Data[],MATCH($A199,Data[Dist],0),MATCH(G$4,Data[#Headers],0))</f>
        <v>71495</v>
      </c>
      <c r="H199" s="22">
        <f>INDEX(Data[],MATCH($A199,Data[Dist],0),MATCH(H$4,Data[#Headers],0))</f>
        <v>1165678</v>
      </c>
      <c r="I199" s="22">
        <f>INDEX(Data[],MATCH($A199,Data[Dist],0),MATCH(I$4,Data[#Headers],0))</f>
        <v>1453746</v>
      </c>
      <c r="J199" s="23"/>
    </row>
    <row r="200" spans="1:10" x14ac:dyDescent="0.2">
      <c r="A200" s="20" t="str">
        <f>Data!B196</f>
        <v>4518</v>
      </c>
      <c r="B200" s="21" t="str">
        <f>INDEX(Data[],MATCH($A200,Data[Dist],0),MATCH(B$4,Data[#Headers],0))</f>
        <v>Moulton-Udell</v>
      </c>
      <c r="C200" s="22">
        <f>INDEX(Data[],MATCH($A200,Data[Dist],0),MATCH(C$4,Data[#Headers],0))</f>
        <v>19005</v>
      </c>
      <c r="D200" s="22">
        <f>INDEX(Data[],MATCH($A200,Data[Dist],0),MATCH(D$4,Data[#Headers],0))</f>
        <v>133642</v>
      </c>
      <c r="E200" s="22">
        <f>INDEX(Data[],MATCH($A200,Data[Dist],0),MATCH(E$4,Data[#Headers],0))</f>
        <v>15552</v>
      </c>
      <c r="F200" s="22">
        <f>INDEX(Data[],MATCH($A200,Data[Dist],0),MATCH(F$4,Data[#Headers],0))</f>
        <v>13892</v>
      </c>
      <c r="G200" s="22">
        <f>INDEX(Data[],MATCH($A200,Data[Dist],0),MATCH(G$4,Data[#Headers],0))</f>
        <v>68141</v>
      </c>
      <c r="H200" s="22">
        <f>INDEX(Data[],MATCH($A200,Data[Dist],0),MATCH(H$4,Data[#Headers],0))</f>
        <v>1012204</v>
      </c>
      <c r="I200" s="22">
        <f>INDEX(Data[],MATCH($A200,Data[Dist],0),MATCH(I$4,Data[#Headers],0))</f>
        <v>1262436</v>
      </c>
      <c r="J200" s="23"/>
    </row>
    <row r="201" spans="1:10" x14ac:dyDescent="0.2">
      <c r="A201" s="20" t="str">
        <f>Data!B197</f>
        <v>4527</v>
      </c>
      <c r="B201" s="21" t="str">
        <f>INDEX(Data[],MATCH($A201,Data[Dist],0),MATCH(B$4,Data[#Headers],0))</f>
        <v>Mount Ayr</v>
      </c>
      <c r="C201" s="22">
        <f>INDEX(Data[],MATCH($A201,Data[Dist],0),MATCH(C$4,Data[#Headers],0))</f>
        <v>129231</v>
      </c>
      <c r="D201" s="22">
        <f>INDEX(Data[],MATCH($A201,Data[Dist],0),MATCH(D$4,Data[#Headers],0))</f>
        <v>439098</v>
      </c>
      <c r="E201" s="22">
        <f>INDEX(Data[],MATCH($A201,Data[Dist],0),MATCH(E$4,Data[#Headers],0))</f>
        <v>51137</v>
      </c>
      <c r="F201" s="22">
        <f>INDEX(Data[],MATCH($A201,Data[Dist],0),MATCH(F$4,Data[#Headers],0))</f>
        <v>54110</v>
      </c>
      <c r="G201" s="22">
        <f>INDEX(Data[],MATCH($A201,Data[Dist],0),MATCH(G$4,Data[#Headers],0))</f>
        <v>220491</v>
      </c>
      <c r="H201" s="22">
        <f>INDEX(Data[],MATCH($A201,Data[Dist],0),MATCH(H$4,Data[#Headers],0))</f>
        <v>2928080</v>
      </c>
      <c r="I201" s="22">
        <f>INDEX(Data[],MATCH($A201,Data[Dist],0),MATCH(I$4,Data[#Headers],0))</f>
        <v>3822147</v>
      </c>
      <c r="J201" s="23"/>
    </row>
    <row r="202" spans="1:10" x14ac:dyDescent="0.2">
      <c r="A202" s="20" t="str">
        <f>Data!B198</f>
        <v>4536</v>
      </c>
      <c r="B202" s="21" t="str">
        <f>INDEX(Data[],MATCH($A202,Data[Dist],0),MATCH(B$4,Data[#Headers],0))</f>
        <v>Mount Pleasant</v>
      </c>
      <c r="C202" s="22">
        <f>INDEX(Data[],MATCH($A202,Data[Dist],0),MATCH(C$4,Data[#Headers],0))</f>
        <v>277467</v>
      </c>
      <c r="D202" s="22">
        <f>INDEX(Data[],MATCH($A202,Data[Dist],0),MATCH(D$4,Data[#Headers],0))</f>
        <v>1155973</v>
      </c>
      <c r="E202" s="22">
        <f>INDEX(Data[],MATCH($A202,Data[Dist],0),MATCH(E$4,Data[#Headers],0))</f>
        <v>152688</v>
      </c>
      <c r="F202" s="22">
        <f>INDEX(Data[],MATCH($A202,Data[Dist],0),MATCH(F$4,Data[#Headers],0))</f>
        <v>137188</v>
      </c>
      <c r="G202" s="22">
        <f>INDEX(Data[],MATCH($A202,Data[Dist],0),MATCH(G$4,Data[#Headers],0))</f>
        <v>660369</v>
      </c>
      <c r="H202" s="22">
        <f>INDEX(Data[],MATCH($A202,Data[Dist],0),MATCH(H$4,Data[#Headers],0))</f>
        <v>10870091</v>
      </c>
      <c r="I202" s="22">
        <f>INDEX(Data[],MATCH($A202,Data[Dist],0),MATCH(I$4,Data[#Headers],0))</f>
        <v>13253776</v>
      </c>
      <c r="J202" s="23"/>
    </row>
    <row r="203" spans="1:10" x14ac:dyDescent="0.2">
      <c r="A203" s="20" t="str">
        <f>Data!B199</f>
        <v>4554</v>
      </c>
      <c r="B203" s="21" t="str">
        <f>INDEX(Data[],MATCH($A203,Data[Dist],0),MATCH(B$4,Data[#Headers],0))</f>
        <v>Mount Vernon</v>
      </c>
      <c r="C203" s="22">
        <f>INDEX(Data[],MATCH($A203,Data[Dist],0),MATCH(C$4,Data[#Headers],0))</f>
        <v>171042</v>
      </c>
      <c r="D203" s="22">
        <f>INDEX(Data[],MATCH($A203,Data[Dist],0),MATCH(D$4,Data[#Headers],0))</f>
        <v>734003</v>
      </c>
      <c r="E203" s="22">
        <f>INDEX(Data[],MATCH($A203,Data[Dist],0),MATCH(E$4,Data[#Headers],0))</f>
        <v>90129</v>
      </c>
      <c r="F203" s="22">
        <f>INDEX(Data[],MATCH($A203,Data[Dist],0),MATCH(F$4,Data[#Headers],0))</f>
        <v>82929</v>
      </c>
      <c r="G203" s="22">
        <f>INDEX(Data[],MATCH($A203,Data[Dist],0),MATCH(G$4,Data[#Headers],0))</f>
        <v>409511</v>
      </c>
      <c r="H203" s="22">
        <f>INDEX(Data[],MATCH($A203,Data[Dist],0),MATCH(H$4,Data[#Headers],0))</f>
        <v>6449633</v>
      </c>
      <c r="I203" s="22">
        <f>INDEX(Data[],MATCH($A203,Data[Dist],0),MATCH(I$4,Data[#Headers],0))</f>
        <v>7937247</v>
      </c>
      <c r="J203" s="23"/>
    </row>
    <row r="204" spans="1:10" x14ac:dyDescent="0.2">
      <c r="A204" s="20" t="str">
        <f>Data!B200</f>
        <v>4572</v>
      </c>
      <c r="B204" s="21" t="str">
        <f>INDEX(Data[],MATCH($A204,Data[Dist],0),MATCH(B$4,Data[#Headers],0))</f>
        <v>Murray</v>
      </c>
      <c r="C204" s="22">
        <f>INDEX(Data[],MATCH($A204,Data[Dist],0),MATCH(C$4,Data[#Headers],0))</f>
        <v>87422</v>
      </c>
      <c r="D204" s="22">
        <f>INDEX(Data[],MATCH($A204,Data[Dist],0),MATCH(D$4,Data[#Headers],0))</f>
        <v>168568</v>
      </c>
      <c r="E204" s="22">
        <f>INDEX(Data[],MATCH($A204,Data[Dist],0),MATCH(E$4,Data[#Headers],0))</f>
        <v>20614</v>
      </c>
      <c r="F204" s="22">
        <f>INDEX(Data[],MATCH($A204,Data[Dist],0),MATCH(F$4,Data[#Headers],0))</f>
        <v>17043</v>
      </c>
      <c r="G204" s="22">
        <f>INDEX(Data[],MATCH($A204,Data[Dist],0),MATCH(G$4,Data[#Headers],0))</f>
        <v>81740</v>
      </c>
      <c r="H204" s="22">
        <f>INDEX(Data[],MATCH($A204,Data[Dist],0),MATCH(H$4,Data[#Headers],0))</f>
        <v>1379223</v>
      </c>
      <c r="I204" s="22">
        <f>INDEX(Data[],MATCH($A204,Data[Dist],0),MATCH(I$4,Data[#Headers],0))</f>
        <v>1754610</v>
      </c>
      <c r="J204" s="23"/>
    </row>
    <row r="205" spans="1:10" x14ac:dyDescent="0.2">
      <c r="A205" s="20" t="str">
        <f>Data!B201</f>
        <v>4581</v>
      </c>
      <c r="B205" s="21" t="str">
        <f>INDEX(Data[],MATCH($A205,Data[Dist],0),MATCH(B$4,Data[#Headers],0))</f>
        <v>Muscatine</v>
      </c>
      <c r="C205" s="22">
        <f>INDEX(Data[],MATCH($A205,Data[Dist],0),MATCH(C$4,Data[#Headers],0))</f>
        <v>897110</v>
      </c>
      <c r="D205" s="22">
        <f>INDEX(Data[],MATCH($A205,Data[Dist],0),MATCH(D$4,Data[#Headers],0))</f>
        <v>2938303</v>
      </c>
      <c r="E205" s="22">
        <f>INDEX(Data[],MATCH($A205,Data[Dist],0),MATCH(E$4,Data[#Headers],0))</f>
        <v>390185</v>
      </c>
      <c r="F205" s="22">
        <f>INDEX(Data[],MATCH($A205,Data[Dist],0),MATCH(F$4,Data[#Headers],0))</f>
        <v>322523</v>
      </c>
      <c r="G205" s="22">
        <f>INDEX(Data[],MATCH($A205,Data[Dist],0),MATCH(G$4,Data[#Headers],0))</f>
        <v>1685951</v>
      </c>
      <c r="H205" s="22">
        <f>INDEX(Data[],MATCH($A205,Data[Dist],0),MATCH(H$4,Data[#Headers],0))</f>
        <v>28273820</v>
      </c>
      <c r="I205" s="22">
        <f>INDEX(Data[],MATCH($A205,Data[Dist],0),MATCH(I$4,Data[#Headers],0))</f>
        <v>34507892</v>
      </c>
      <c r="J205" s="23"/>
    </row>
    <row r="206" spans="1:10" x14ac:dyDescent="0.2">
      <c r="A206" s="20" t="str">
        <f>Data!B202</f>
        <v>4599</v>
      </c>
      <c r="B206" s="21" t="str">
        <f>INDEX(Data[],MATCH($A206,Data[Dist],0),MATCH(B$4,Data[#Headers],0))</f>
        <v>Nashua-Plainfield</v>
      </c>
      <c r="C206" s="22">
        <f>INDEX(Data[],MATCH($A206,Data[Dist],0),MATCH(C$4,Data[#Headers],0))</f>
        <v>144435</v>
      </c>
      <c r="D206" s="22">
        <f>INDEX(Data[],MATCH($A206,Data[Dist],0),MATCH(D$4,Data[#Headers],0))</f>
        <v>380343</v>
      </c>
      <c r="E206" s="22">
        <f>INDEX(Data[],MATCH($A206,Data[Dist],0),MATCH(E$4,Data[#Headers],0))</f>
        <v>38987</v>
      </c>
      <c r="F206" s="22">
        <f>INDEX(Data[],MATCH($A206,Data[Dist],0),MATCH(F$4,Data[#Headers],0))</f>
        <v>43189</v>
      </c>
      <c r="G206" s="22">
        <f>INDEX(Data[],MATCH($A206,Data[Dist],0),MATCH(G$4,Data[#Headers],0))</f>
        <v>218391</v>
      </c>
      <c r="H206" s="22">
        <f>INDEX(Data[],MATCH($A206,Data[Dist],0),MATCH(H$4,Data[#Headers],0))</f>
        <v>3094030</v>
      </c>
      <c r="I206" s="22">
        <f>INDEX(Data[],MATCH($A206,Data[Dist],0),MATCH(I$4,Data[#Headers],0))</f>
        <v>3919375</v>
      </c>
      <c r="J206" s="23"/>
    </row>
    <row r="207" spans="1:10" x14ac:dyDescent="0.2">
      <c r="A207" s="20" t="str">
        <f>Data!B203</f>
        <v>4617</v>
      </c>
      <c r="B207" s="21" t="str">
        <f>INDEX(Data[],MATCH($A207,Data[Dist],0),MATCH(B$4,Data[#Headers],0))</f>
        <v>Nevada</v>
      </c>
      <c r="C207" s="22">
        <f>INDEX(Data[],MATCH($A207,Data[Dist],0),MATCH(C$4,Data[#Headers],0))</f>
        <v>285069</v>
      </c>
      <c r="D207" s="22">
        <f>INDEX(Data[],MATCH($A207,Data[Dist],0),MATCH(D$4,Data[#Headers],0))</f>
        <v>911751</v>
      </c>
      <c r="E207" s="22">
        <f>INDEX(Data[],MATCH($A207,Data[Dist],0),MATCH(E$4,Data[#Headers],0))</f>
        <v>122825</v>
      </c>
      <c r="F207" s="22">
        <f>INDEX(Data[],MATCH($A207,Data[Dist],0),MATCH(F$4,Data[#Headers],0))</f>
        <v>109713</v>
      </c>
      <c r="G207" s="22">
        <f>INDEX(Data[],MATCH($A207,Data[Dist],0),MATCH(G$4,Data[#Headers],0))</f>
        <v>515721</v>
      </c>
      <c r="H207" s="22">
        <f>INDEX(Data[],MATCH($A207,Data[Dist],0),MATCH(H$4,Data[#Headers],0))</f>
        <v>7850818</v>
      </c>
      <c r="I207" s="22">
        <f>INDEX(Data[],MATCH($A207,Data[Dist],0),MATCH(I$4,Data[#Headers],0))</f>
        <v>9795897</v>
      </c>
      <c r="J207" s="23"/>
    </row>
    <row r="208" spans="1:10" x14ac:dyDescent="0.2">
      <c r="A208" s="20" t="str">
        <f>Data!B204</f>
        <v>4644</v>
      </c>
      <c r="B208" s="21" t="str">
        <f>INDEX(Data[],MATCH($A208,Data[Dist],0),MATCH(B$4,Data[#Headers],0))</f>
        <v>Newell-Fonda</v>
      </c>
      <c r="C208" s="22">
        <f>INDEX(Data[],MATCH($A208,Data[Dist],0),MATCH(C$4,Data[#Headers],0))</f>
        <v>114027</v>
      </c>
      <c r="D208" s="22">
        <f>INDEX(Data[],MATCH($A208,Data[Dist],0),MATCH(D$4,Data[#Headers],0))</f>
        <v>329714</v>
      </c>
      <c r="E208" s="22">
        <f>INDEX(Data[],MATCH($A208,Data[Dist],0),MATCH(E$4,Data[#Headers],0))</f>
        <v>42196</v>
      </c>
      <c r="F208" s="22">
        <f>INDEX(Data[],MATCH($A208,Data[Dist],0),MATCH(F$4,Data[#Headers],0))</f>
        <v>35467</v>
      </c>
      <c r="G208" s="22">
        <f>INDEX(Data[],MATCH($A208,Data[Dist],0),MATCH(G$4,Data[#Headers],0))</f>
        <v>182754</v>
      </c>
      <c r="H208" s="22">
        <f>INDEX(Data[],MATCH($A208,Data[Dist],0),MATCH(H$4,Data[#Headers],0))</f>
        <v>2244959</v>
      </c>
      <c r="I208" s="22">
        <f>INDEX(Data[],MATCH($A208,Data[Dist],0),MATCH(I$4,Data[#Headers],0))</f>
        <v>2949117</v>
      </c>
      <c r="J208" s="23"/>
    </row>
    <row r="209" spans="1:10" x14ac:dyDescent="0.2">
      <c r="A209" s="20" t="str">
        <f>Data!B205</f>
        <v>4662</v>
      </c>
      <c r="B209" s="21" t="str">
        <f>INDEX(Data[],MATCH($A209,Data[Dist],0),MATCH(B$4,Data[#Headers],0))</f>
        <v>New Hampton</v>
      </c>
      <c r="C209" s="22">
        <f>INDEX(Data[],MATCH($A209,Data[Dist],0),MATCH(C$4,Data[#Headers],0))</f>
        <v>239458</v>
      </c>
      <c r="D209" s="22">
        <f>INDEX(Data[],MATCH($A209,Data[Dist],0),MATCH(D$4,Data[#Headers],0))</f>
        <v>613530</v>
      </c>
      <c r="E209" s="22">
        <f>INDEX(Data[],MATCH($A209,Data[Dist],0),MATCH(E$4,Data[#Headers],0))</f>
        <v>57930</v>
      </c>
      <c r="F209" s="22">
        <f>INDEX(Data[],MATCH($A209,Data[Dist],0),MATCH(F$4,Data[#Headers],0))</f>
        <v>68197</v>
      </c>
      <c r="G209" s="22">
        <f>INDEX(Data[],MATCH($A209,Data[Dist],0),MATCH(G$4,Data[#Headers],0))</f>
        <v>342733</v>
      </c>
      <c r="H209" s="22">
        <f>INDEX(Data[],MATCH($A209,Data[Dist],0),MATCH(H$4,Data[#Headers],0))</f>
        <v>4210310</v>
      </c>
      <c r="I209" s="22">
        <f>INDEX(Data[],MATCH($A209,Data[Dist],0),MATCH(I$4,Data[#Headers],0))</f>
        <v>5532158</v>
      </c>
      <c r="J209" s="23"/>
    </row>
    <row r="210" spans="1:10" x14ac:dyDescent="0.2">
      <c r="A210" s="20" t="str">
        <f>Data!B206</f>
        <v>4689</v>
      </c>
      <c r="B210" s="21" t="str">
        <f>INDEX(Data[],MATCH($A210,Data[Dist],0),MATCH(B$4,Data[#Headers],0))</f>
        <v>New London</v>
      </c>
      <c r="C210" s="22">
        <f>INDEX(Data[],MATCH($A210,Data[Dist],0),MATCH(C$4,Data[#Headers],0))</f>
        <v>83620</v>
      </c>
      <c r="D210" s="22">
        <f>INDEX(Data[],MATCH($A210,Data[Dist],0),MATCH(D$4,Data[#Headers],0))</f>
        <v>366273</v>
      </c>
      <c r="E210" s="22">
        <f>INDEX(Data[],MATCH($A210,Data[Dist],0),MATCH(E$4,Data[#Headers],0))</f>
        <v>43815</v>
      </c>
      <c r="F210" s="22">
        <f>INDEX(Data[],MATCH($A210,Data[Dist],0),MATCH(F$4,Data[#Headers],0))</f>
        <v>38883</v>
      </c>
      <c r="G210" s="22">
        <f>INDEX(Data[],MATCH($A210,Data[Dist],0),MATCH(G$4,Data[#Headers],0))</f>
        <v>199743</v>
      </c>
      <c r="H210" s="22">
        <f>INDEX(Data[],MATCH($A210,Data[Dist],0),MATCH(H$4,Data[#Headers],0))</f>
        <v>3582644</v>
      </c>
      <c r="I210" s="22">
        <f>INDEX(Data[],MATCH($A210,Data[Dist],0),MATCH(I$4,Data[#Headers],0))</f>
        <v>4314978</v>
      </c>
      <c r="J210" s="23"/>
    </row>
    <row r="211" spans="1:10" x14ac:dyDescent="0.2">
      <c r="A211" s="20" t="str">
        <f>Data!B207</f>
        <v>4725</v>
      </c>
      <c r="B211" s="21" t="str">
        <f>INDEX(Data[],MATCH($A211,Data[Dist],0),MATCH(B$4,Data[#Headers],0))</f>
        <v>Newton</v>
      </c>
      <c r="C211" s="22">
        <f>INDEX(Data[],MATCH($A211,Data[Dist],0),MATCH(C$4,Data[#Headers],0))</f>
        <v>406698</v>
      </c>
      <c r="D211" s="22">
        <f>INDEX(Data[],MATCH($A211,Data[Dist],0),MATCH(D$4,Data[#Headers],0))</f>
        <v>1904339</v>
      </c>
      <c r="E211" s="22">
        <f>INDEX(Data[],MATCH($A211,Data[Dist],0),MATCH(E$4,Data[#Headers],0))</f>
        <v>246486</v>
      </c>
      <c r="F211" s="22">
        <f>INDEX(Data[],MATCH($A211,Data[Dist],0),MATCH(F$4,Data[#Headers],0))</f>
        <v>212326</v>
      </c>
      <c r="G211" s="22">
        <f>INDEX(Data[],MATCH($A211,Data[Dist],0),MATCH(G$4,Data[#Headers],0))</f>
        <v>1089964</v>
      </c>
      <c r="H211" s="22">
        <f>INDEX(Data[],MATCH($A211,Data[Dist],0),MATCH(H$4,Data[#Headers],0))</f>
        <v>19432956</v>
      </c>
      <c r="I211" s="22">
        <f>INDEX(Data[],MATCH($A211,Data[Dist],0),MATCH(I$4,Data[#Headers],0))</f>
        <v>23292769</v>
      </c>
      <c r="J211" s="23"/>
    </row>
    <row r="212" spans="1:10" x14ac:dyDescent="0.2">
      <c r="A212" s="20" t="str">
        <f>Data!B208</f>
        <v>4772</v>
      </c>
      <c r="B212" s="21" t="str">
        <f>INDEX(Data[],MATCH($A212,Data[Dist],0),MATCH(B$4,Data[#Headers],0))</f>
        <v>Central Springs</v>
      </c>
      <c r="C212" s="22">
        <f>INDEX(Data[],MATCH($A212,Data[Dist],0),MATCH(C$4,Data[#Headers],0))</f>
        <v>178644</v>
      </c>
      <c r="D212" s="22">
        <f>INDEX(Data[],MATCH($A212,Data[Dist],0),MATCH(D$4,Data[#Headers],0))</f>
        <v>551928</v>
      </c>
      <c r="E212" s="22">
        <f>INDEX(Data[],MATCH($A212,Data[Dist],0),MATCH(E$4,Data[#Headers],0))</f>
        <v>57893</v>
      </c>
      <c r="F212" s="22">
        <f>INDEX(Data[],MATCH($A212,Data[Dist],0),MATCH(F$4,Data[#Headers],0))</f>
        <v>62016</v>
      </c>
      <c r="G212" s="22">
        <f>INDEX(Data[],MATCH($A212,Data[Dist],0),MATCH(G$4,Data[#Headers],0))</f>
        <v>296777</v>
      </c>
      <c r="H212" s="22">
        <f>INDEX(Data[],MATCH($A212,Data[Dist],0),MATCH(H$4,Data[#Headers],0))</f>
        <v>4171955</v>
      </c>
      <c r="I212" s="22">
        <f>INDEX(Data[],MATCH($A212,Data[Dist],0),MATCH(I$4,Data[#Headers],0))</f>
        <v>5319213</v>
      </c>
      <c r="J212" s="23"/>
    </row>
    <row r="213" spans="1:10" x14ac:dyDescent="0.2">
      <c r="A213" s="20" t="str">
        <f>Data!B209</f>
        <v>4773</v>
      </c>
      <c r="B213" s="21" t="str">
        <f>INDEX(Data[],MATCH($A213,Data[Dist],0),MATCH(B$4,Data[#Headers],0))</f>
        <v>Northeast</v>
      </c>
      <c r="C213" s="22">
        <f>INDEX(Data[],MATCH($A213,Data[Dist],0),MATCH(C$4,Data[#Headers],0))</f>
        <v>152037</v>
      </c>
      <c r="D213" s="22">
        <f>INDEX(Data[],MATCH($A213,Data[Dist],0),MATCH(D$4,Data[#Headers],0))</f>
        <v>370655</v>
      </c>
      <c r="E213" s="22">
        <f>INDEX(Data[],MATCH($A213,Data[Dist],0),MATCH(E$4,Data[#Headers],0))</f>
        <v>44890</v>
      </c>
      <c r="F213" s="22">
        <f>INDEX(Data[],MATCH($A213,Data[Dist],0),MATCH(F$4,Data[#Headers],0))</f>
        <v>41812</v>
      </c>
      <c r="G213" s="22">
        <f>INDEX(Data[],MATCH($A213,Data[Dist],0),MATCH(G$4,Data[#Headers],0))</f>
        <v>194215</v>
      </c>
      <c r="H213" s="22">
        <f>INDEX(Data[],MATCH($A213,Data[Dist],0),MATCH(H$4,Data[#Headers],0))</f>
        <v>2700035</v>
      </c>
      <c r="I213" s="22">
        <f>INDEX(Data[],MATCH($A213,Data[Dist],0),MATCH(I$4,Data[#Headers],0))</f>
        <v>3503644</v>
      </c>
      <c r="J213" s="23"/>
    </row>
    <row r="214" spans="1:10" x14ac:dyDescent="0.2">
      <c r="A214" s="20" t="str">
        <f>Data!B210</f>
        <v>4774</v>
      </c>
      <c r="B214" s="21" t="str">
        <f>INDEX(Data[],MATCH($A214,Data[Dist],0),MATCH(B$4,Data[#Headers],0))</f>
        <v>North Fayette Valley</v>
      </c>
      <c r="C214" s="22">
        <f>INDEX(Data[],MATCH($A214,Data[Dist],0),MATCH(C$4,Data[#Headers],0))</f>
        <v>235657</v>
      </c>
      <c r="D214" s="22">
        <f>INDEX(Data[],MATCH($A214,Data[Dist],0),MATCH(D$4,Data[#Headers],0))</f>
        <v>756986</v>
      </c>
      <c r="E214" s="22">
        <f>INDEX(Data[],MATCH($A214,Data[Dist],0),MATCH(E$4,Data[#Headers],0))</f>
        <v>83734</v>
      </c>
      <c r="F214" s="22">
        <f>INDEX(Data[],MATCH($A214,Data[Dist],0),MATCH(F$4,Data[#Headers],0))</f>
        <v>83085</v>
      </c>
      <c r="G214" s="22">
        <f>INDEX(Data[],MATCH($A214,Data[Dist],0),MATCH(G$4,Data[#Headers],0))</f>
        <v>419387</v>
      </c>
      <c r="H214" s="22">
        <f>INDEX(Data[],MATCH($A214,Data[Dist],0),MATCH(H$4,Data[#Headers],0))</f>
        <v>6622831</v>
      </c>
      <c r="I214" s="22">
        <f>INDEX(Data[],MATCH($A214,Data[Dist],0),MATCH(I$4,Data[#Headers],0))</f>
        <v>8201680</v>
      </c>
      <c r="J214" s="23"/>
    </row>
    <row r="215" spans="1:10" x14ac:dyDescent="0.2">
      <c r="A215" s="20" t="str">
        <f>Data!B211</f>
        <v>4776</v>
      </c>
      <c r="B215" s="21" t="str">
        <f>INDEX(Data[],MATCH($A215,Data[Dist],0),MATCH(B$4,Data[#Headers],0))</f>
        <v>North Mahaska</v>
      </c>
      <c r="C215" s="22">
        <f>INDEX(Data[],MATCH($A215,Data[Dist],0),MATCH(C$4,Data[#Headers],0))</f>
        <v>98824</v>
      </c>
      <c r="D215" s="22">
        <f>INDEX(Data[],MATCH($A215,Data[Dist],0),MATCH(D$4,Data[#Headers],0))</f>
        <v>334178</v>
      </c>
      <c r="E215" s="22">
        <f>INDEX(Data[],MATCH($A215,Data[Dist],0),MATCH(E$4,Data[#Headers],0))</f>
        <v>41928</v>
      </c>
      <c r="F215" s="22">
        <f>INDEX(Data[],MATCH($A215,Data[Dist],0),MATCH(F$4,Data[#Headers],0))</f>
        <v>36105</v>
      </c>
      <c r="G215" s="22">
        <f>INDEX(Data[],MATCH($A215,Data[Dist],0),MATCH(G$4,Data[#Headers],0))</f>
        <v>180027</v>
      </c>
      <c r="H215" s="22">
        <f>INDEX(Data[],MATCH($A215,Data[Dist],0),MATCH(H$4,Data[#Headers],0))</f>
        <v>2376658</v>
      </c>
      <c r="I215" s="22">
        <f>INDEX(Data[],MATCH($A215,Data[Dist],0),MATCH(I$4,Data[#Headers],0))</f>
        <v>3067720</v>
      </c>
      <c r="J215" s="23"/>
    </row>
    <row r="216" spans="1:10" x14ac:dyDescent="0.2">
      <c r="A216" s="20" t="str">
        <f>Data!B212</f>
        <v>4777</v>
      </c>
      <c r="B216" s="21" t="str">
        <f>INDEX(Data[],MATCH($A216,Data[Dist],0),MATCH(B$4,Data[#Headers],0))</f>
        <v>North Linn</v>
      </c>
      <c r="C216" s="22">
        <f>INDEX(Data[],MATCH($A216,Data[Dist],0),MATCH(C$4,Data[#Headers],0))</f>
        <v>76018</v>
      </c>
      <c r="D216" s="22">
        <f>INDEX(Data[],MATCH($A216,Data[Dist],0),MATCH(D$4,Data[#Headers],0))</f>
        <v>359557</v>
      </c>
      <c r="E216" s="22">
        <f>INDEX(Data[],MATCH($A216,Data[Dist],0),MATCH(E$4,Data[#Headers],0))</f>
        <v>38181</v>
      </c>
      <c r="F216" s="22">
        <f>INDEX(Data[],MATCH($A216,Data[Dist],0),MATCH(F$4,Data[#Headers],0))</f>
        <v>37886</v>
      </c>
      <c r="G216" s="22">
        <f>INDEX(Data[],MATCH($A216,Data[Dist],0),MATCH(G$4,Data[#Headers],0))</f>
        <v>205234</v>
      </c>
      <c r="H216" s="22">
        <f>INDEX(Data[],MATCH($A216,Data[Dist],0),MATCH(H$4,Data[#Headers],0))</f>
        <v>2770143</v>
      </c>
      <c r="I216" s="22">
        <f>INDEX(Data[],MATCH($A216,Data[Dist],0),MATCH(I$4,Data[#Headers],0))</f>
        <v>3487019</v>
      </c>
      <c r="J216" s="23"/>
    </row>
    <row r="217" spans="1:10" x14ac:dyDescent="0.2">
      <c r="A217" s="20" t="str">
        <f>Data!B213</f>
        <v>4778</v>
      </c>
      <c r="B217" s="21" t="str">
        <f>INDEX(Data[],MATCH($A217,Data[Dist],0),MATCH(B$4,Data[#Headers],0))</f>
        <v>North Kossuth</v>
      </c>
      <c r="C217" s="22">
        <f>INDEX(Data[],MATCH($A217,Data[Dist],0),MATCH(C$4,Data[#Headers],0))</f>
        <v>91222</v>
      </c>
      <c r="D217" s="22">
        <f>INDEX(Data[],MATCH($A217,Data[Dist],0),MATCH(D$4,Data[#Headers],0))</f>
        <v>167193</v>
      </c>
      <c r="E217" s="22">
        <f>INDEX(Data[],MATCH($A217,Data[Dist],0),MATCH(E$4,Data[#Headers],0))</f>
        <v>17031</v>
      </c>
      <c r="F217" s="22">
        <f>INDEX(Data[],MATCH($A217,Data[Dist],0),MATCH(F$4,Data[#Headers],0))</f>
        <v>18725</v>
      </c>
      <c r="G217" s="22">
        <f>INDEX(Data[],MATCH($A217,Data[Dist],0),MATCH(G$4,Data[#Headers],0))</f>
        <v>91525</v>
      </c>
      <c r="H217" s="22">
        <f>INDEX(Data[],MATCH($A217,Data[Dist],0),MATCH(H$4,Data[#Headers],0))</f>
        <v>359280</v>
      </c>
      <c r="I217" s="22">
        <f>INDEX(Data[],MATCH($A217,Data[Dist],0),MATCH(I$4,Data[#Headers],0))</f>
        <v>744976</v>
      </c>
      <c r="J217" s="23"/>
    </row>
    <row r="218" spans="1:10" x14ac:dyDescent="0.2">
      <c r="A218" s="20" t="str">
        <f>Data!B214</f>
        <v>4779</v>
      </c>
      <c r="B218" s="21" t="str">
        <f>INDEX(Data[],MATCH($A218,Data[Dist],0),MATCH(B$4,Data[#Headers],0))</f>
        <v>North Polk</v>
      </c>
      <c r="C218" s="22">
        <f>INDEX(Data[],MATCH($A218,Data[Dist],0),MATCH(C$4,Data[#Headers],0))</f>
        <v>399097</v>
      </c>
      <c r="D218" s="22">
        <f>INDEX(Data[],MATCH($A218,Data[Dist],0),MATCH(D$4,Data[#Headers],0))</f>
        <v>1286315</v>
      </c>
      <c r="E218" s="22">
        <f>INDEX(Data[],MATCH($A218,Data[Dist],0),MATCH(E$4,Data[#Headers],0))</f>
        <v>135026</v>
      </c>
      <c r="F218" s="22">
        <f>INDEX(Data[],MATCH($A218,Data[Dist],0),MATCH(F$4,Data[#Headers],0))</f>
        <v>135193</v>
      </c>
      <c r="G218" s="22">
        <f>INDEX(Data[],MATCH($A218,Data[Dist],0),MATCH(G$4,Data[#Headers],0))</f>
        <v>771370</v>
      </c>
      <c r="H218" s="22">
        <f>INDEX(Data[],MATCH($A218,Data[Dist],0),MATCH(H$4,Data[#Headers],0))</f>
        <v>12381533</v>
      </c>
      <c r="I218" s="22">
        <f>INDEX(Data[],MATCH($A218,Data[Dist],0),MATCH(I$4,Data[#Headers],0))</f>
        <v>15108534</v>
      </c>
      <c r="J218" s="23"/>
    </row>
    <row r="219" spans="1:10" x14ac:dyDescent="0.2">
      <c r="A219" s="20" t="str">
        <f>Data!B215</f>
        <v>4784</v>
      </c>
      <c r="B219" s="21" t="str">
        <f>INDEX(Data[],MATCH($A219,Data[Dist],0),MATCH(B$4,Data[#Headers],0))</f>
        <v>North Scott</v>
      </c>
      <c r="C219" s="22">
        <f>INDEX(Data[],MATCH($A219,Data[Dist],0),MATCH(C$4,Data[#Headers],0))</f>
        <v>551133</v>
      </c>
      <c r="D219" s="22">
        <f>INDEX(Data[],MATCH($A219,Data[Dist],0),MATCH(D$4,Data[#Headers],0))</f>
        <v>1999129</v>
      </c>
      <c r="E219" s="22">
        <f>INDEX(Data[],MATCH($A219,Data[Dist],0),MATCH(E$4,Data[#Headers],0))</f>
        <v>219589</v>
      </c>
      <c r="F219" s="22">
        <f>INDEX(Data[],MATCH($A219,Data[Dist],0),MATCH(F$4,Data[#Headers],0))</f>
        <v>224421</v>
      </c>
      <c r="G219" s="22">
        <f>INDEX(Data[],MATCH($A219,Data[Dist],0),MATCH(G$4,Data[#Headers],0))</f>
        <v>1141559</v>
      </c>
      <c r="H219" s="22">
        <f>INDEX(Data[],MATCH($A219,Data[Dist],0),MATCH(H$4,Data[#Headers],0))</f>
        <v>16403849</v>
      </c>
      <c r="I219" s="22">
        <f>INDEX(Data[],MATCH($A219,Data[Dist],0),MATCH(I$4,Data[#Headers],0))</f>
        <v>20539680</v>
      </c>
      <c r="J219" s="23"/>
    </row>
    <row r="220" spans="1:10" x14ac:dyDescent="0.2">
      <c r="A220" s="20" t="str">
        <f>Data!B216</f>
        <v>4785</v>
      </c>
      <c r="B220" s="21" t="str">
        <f>INDEX(Data[],MATCH($A220,Data[Dist],0),MATCH(B$4,Data[#Headers],0))</f>
        <v>North Tama</v>
      </c>
      <c r="C220" s="22">
        <f>INDEX(Data[],MATCH($A220,Data[Dist],0),MATCH(C$4,Data[#Headers],0))</f>
        <v>129231</v>
      </c>
      <c r="D220" s="22">
        <f>INDEX(Data[],MATCH($A220,Data[Dist],0),MATCH(D$4,Data[#Headers],0))</f>
        <v>324878</v>
      </c>
      <c r="E220" s="22">
        <f>INDEX(Data[],MATCH($A220,Data[Dist],0),MATCH(E$4,Data[#Headers],0))</f>
        <v>33604</v>
      </c>
      <c r="F220" s="22">
        <f>INDEX(Data[],MATCH($A220,Data[Dist],0),MATCH(F$4,Data[#Headers],0))</f>
        <v>34953</v>
      </c>
      <c r="G220" s="22">
        <f>INDEX(Data[],MATCH($A220,Data[Dist],0),MATCH(G$4,Data[#Headers],0))</f>
        <v>166944</v>
      </c>
      <c r="H220" s="22">
        <f>INDEX(Data[],MATCH($A220,Data[Dist],0),MATCH(H$4,Data[#Headers],0))</f>
        <v>2024867</v>
      </c>
      <c r="I220" s="22">
        <f>INDEX(Data[],MATCH($A220,Data[Dist],0),MATCH(I$4,Data[#Headers],0))</f>
        <v>2714477</v>
      </c>
      <c r="J220" s="23"/>
    </row>
    <row r="221" spans="1:10" x14ac:dyDescent="0.2">
      <c r="A221" s="20" t="str">
        <f>Data!B217</f>
        <v>4788</v>
      </c>
      <c r="B221" s="21" t="str">
        <f>INDEX(Data[],MATCH($A221,Data[Dist],0),MATCH(B$4,Data[#Headers],0))</f>
        <v>Northwood-Kensett</v>
      </c>
      <c r="C221" s="22">
        <f>INDEX(Data[],MATCH($A221,Data[Dist],0),MATCH(C$4,Data[#Headers],0))</f>
        <v>155838</v>
      </c>
      <c r="D221" s="22">
        <f>INDEX(Data[],MATCH($A221,Data[Dist],0),MATCH(D$4,Data[#Headers],0))</f>
        <v>331915</v>
      </c>
      <c r="E221" s="22">
        <f>INDEX(Data[],MATCH($A221,Data[Dist],0),MATCH(E$4,Data[#Headers],0))</f>
        <v>33711</v>
      </c>
      <c r="F221" s="22">
        <f>INDEX(Data[],MATCH($A221,Data[Dist],0),MATCH(F$4,Data[#Headers],0))</f>
        <v>37978</v>
      </c>
      <c r="G221" s="22">
        <f>INDEX(Data[],MATCH($A221,Data[Dist],0),MATCH(G$4,Data[#Headers],0))</f>
        <v>188319</v>
      </c>
      <c r="H221" s="22">
        <f>INDEX(Data[],MATCH($A221,Data[Dist],0),MATCH(H$4,Data[#Headers],0))</f>
        <v>2622216</v>
      </c>
      <c r="I221" s="22">
        <f>INDEX(Data[],MATCH($A221,Data[Dist],0),MATCH(I$4,Data[#Headers],0))</f>
        <v>3369977</v>
      </c>
      <c r="J221" s="23"/>
    </row>
    <row r="222" spans="1:10" x14ac:dyDescent="0.2">
      <c r="A222" s="20" t="str">
        <f>Data!B218</f>
        <v>4797</v>
      </c>
      <c r="B222" s="21" t="str">
        <f>INDEX(Data[],MATCH($A222,Data[Dist],0),MATCH(B$4,Data[#Headers],0))</f>
        <v>Norwalk</v>
      </c>
      <c r="C222" s="22">
        <f>INDEX(Data[],MATCH($A222,Data[Dist],0),MATCH(C$4,Data[#Headers],0))</f>
        <v>440906</v>
      </c>
      <c r="D222" s="22">
        <f>INDEX(Data[],MATCH($A222,Data[Dist],0),MATCH(D$4,Data[#Headers],0))</f>
        <v>2261726</v>
      </c>
      <c r="E222" s="22">
        <f>INDEX(Data[],MATCH($A222,Data[Dist],0),MATCH(E$4,Data[#Headers],0))</f>
        <v>241073</v>
      </c>
      <c r="F222" s="22">
        <f>INDEX(Data[],MATCH($A222,Data[Dist],0),MATCH(F$4,Data[#Headers],0))</f>
        <v>239052</v>
      </c>
      <c r="G222" s="22">
        <f>INDEX(Data[],MATCH($A222,Data[Dist],0),MATCH(G$4,Data[#Headers],0))</f>
        <v>1262326</v>
      </c>
      <c r="H222" s="22">
        <f>INDEX(Data[],MATCH($A222,Data[Dist],0),MATCH(H$4,Data[#Headers],0))</f>
        <v>22498214</v>
      </c>
      <c r="I222" s="22">
        <f>INDEX(Data[],MATCH($A222,Data[Dist],0),MATCH(I$4,Data[#Headers],0))</f>
        <v>26943297</v>
      </c>
      <c r="J222" s="23"/>
    </row>
    <row r="223" spans="1:10" x14ac:dyDescent="0.2">
      <c r="A223" s="20" t="str">
        <f>Data!B219</f>
        <v>4824</v>
      </c>
      <c r="B223" s="21" t="str">
        <f>INDEX(Data[],MATCH($A223,Data[Dist],0),MATCH(B$4,Data[#Headers],0))</f>
        <v>Riverside</v>
      </c>
      <c r="C223" s="22">
        <f>INDEX(Data[],MATCH($A223,Data[Dist],0),MATCH(C$4,Data[#Headers],0))</f>
        <v>152037</v>
      </c>
      <c r="D223" s="22">
        <f>INDEX(Data[],MATCH($A223,Data[Dist],0),MATCH(D$4,Data[#Headers],0))</f>
        <v>470407</v>
      </c>
      <c r="E223" s="22">
        <f>INDEX(Data[],MATCH($A223,Data[Dist],0),MATCH(E$4,Data[#Headers],0))</f>
        <v>49024</v>
      </c>
      <c r="F223" s="22">
        <f>INDEX(Data[],MATCH($A223,Data[Dist],0),MATCH(F$4,Data[#Headers],0))</f>
        <v>51208</v>
      </c>
      <c r="G223" s="22">
        <f>INDEX(Data[],MATCH($A223,Data[Dist],0),MATCH(G$4,Data[#Headers],0))</f>
        <v>263941</v>
      </c>
      <c r="H223" s="22">
        <f>INDEX(Data[],MATCH($A223,Data[Dist],0),MATCH(H$4,Data[#Headers],0))</f>
        <v>3468276</v>
      </c>
      <c r="I223" s="22">
        <f>INDEX(Data[],MATCH($A223,Data[Dist],0),MATCH(I$4,Data[#Headers],0))</f>
        <v>4454893</v>
      </c>
      <c r="J223" s="23"/>
    </row>
    <row r="224" spans="1:10" x14ac:dyDescent="0.2">
      <c r="A224" s="20" t="str">
        <f>Data!B220</f>
        <v>4860</v>
      </c>
      <c r="B224" s="21" t="str">
        <f>INDEX(Data[],MATCH($A224,Data[Dist],0),MATCH(B$4,Data[#Headers],0))</f>
        <v>Odebolt Arthur Battle Creek Ida Gr</v>
      </c>
      <c r="C224" s="22">
        <f>INDEX(Data[],MATCH($A224,Data[Dist],0),MATCH(C$4,Data[#Headers],0))</f>
        <v>178644</v>
      </c>
      <c r="D224" s="22">
        <f>INDEX(Data[],MATCH($A224,Data[Dist],0),MATCH(D$4,Data[#Headers],0))</f>
        <v>643005</v>
      </c>
      <c r="E224" s="22">
        <f>INDEX(Data[],MATCH($A224,Data[Dist],0),MATCH(E$4,Data[#Headers],0))</f>
        <v>69825</v>
      </c>
      <c r="F224" s="22">
        <f>INDEX(Data[],MATCH($A224,Data[Dist],0),MATCH(F$4,Data[#Headers],0))</f>
        <v>74321</v>
      </c>
      <c r="G224" s="22">
        <f>INDEX(Data[],MATCH($A224,Data[Dist],0),MATCH(G$4,Data[#Headers],0))</f>
        <v>340964</v>
      </c>
      <c r="H224" s="22">
        <f>INDEX(Data[],MATCH($A224,Data[Dist],0),MATCH(H$4,Data[#Headers],0))</f>
        <v>4146729</v>
      </c>
      <c r="I224" s="22">
        <f>INDEX(Data[],MATCH($A224,Data[Dist],0),MATCH(I$4,Data[#Headers],0))</f>
        <v>5453488</v>
      </c>
      <c r="J224" s="23"/>
    </row>
    <row r="225" spans="1:10" x14ac:dyDescent="0.2">
      <c r="A225" s="20" t="str">
        <f>Data!B221</f>
        <v>4869</v>
      </c>
      <c r="B225" s="21" t="str">
        <f>INDEX(Data[],MATCH($A225,Data[Dist],0),MATCH(B$4,Data[#Headers],0))</f>
        <v>Oelwein</v>
      </c>
      <c r="C225" s="22">
        <f>INDEX(Data[],MATCH($A225,Data[Dist],0),MATCH(C$4,Data[#Headers],0))</f>
        <v>140634</v>
      </c>
      <c r="D225" s="22">
        <f>INDEX(Data[],MATCH($A225,Data[Dist],0),MATCH(D$4,Data[#Headers],0))</f>
        <v>879297</v>
      </c>
      <c r="E225" s="22">
        <f>INDEX(Data[],MATCH($A225,Data[Dist],0),MATCH(E$4,Data[#Headers],0))</f>
        <v>103256</v>
      </c>
      <c r="F225" s="22">
        <f>INDEX(Data[],MATCH($A225,Data[Dist],0),MATCH(F$4,Data[#Headers],0))</f>
        <v>100829</v>
      </c>
      <c r="G225" s="22">
        <f>INDEX(Data[],MATCH($A225,Data[Dist],0),MATCH(G$4,Data[#Headers],0))</f>
        <v>488671</v>
      </c>
      <c r="H225" s="22">
        <f>INDEX(Data[],MATCH($A225,Data[Dist],0),MATCH(H$4,Data[#Headers],0))</f>
        <v>9314215</v>
      </c>
      <c r="I225" s="22">
        <f>INDEX(Data[],MATCH($A225,Data[Dist],0),MATCH(I$4,Data[#Headers],0))</f>
        <v>11026902</v>
      </c>
      <c r="J225" s="23"/>
    </row>
    <row r="226" spans="1:10" x14ac:dyDescent="0.2">
      <c r="A226" s="20" t="str">
        <f>Data!B222</f>
        <v>4878</v>
      </c>
      <c r="B226" s="21" t="str">
        <f>INDEX(Data[],MATCH($A226,Data[Dist],0),MATCH(B$4,Data[#Headers],0))</f>
        <v>Ogden</v>
      </c>
      <c r="C226" s="22">
        <f>INDEX(Data[],MATCH($A226,Data[Dist],0),MATCH(C$4,Data[#Headers],0))</f>
        <v>163440</v>
      </c>
      <c r="D226" s="22">
        <f>INDEX(Data[],MATCH($A226,Data[Dist],0),MATCH(D$4,Data[#Headers],0))</f>
        <v>399766</v>
      </c>
      <c r="E226" s="22">
        <f>INDEX(Data[],MATCH($A226,Data[Dist],0),MATCH(E$4,Data[#Headers],0))</f>
        <v>43492</v>
      </c>
      <c r="F226" s="22">
        <f>INDEX(Data[],MATCH($A226,Data[Dist],0),MATCH(F$4,Data[#Headers],0))</f>
        <v>43651</v>
      </c>
      <c r="G226" s="22">
        <f>INDEX(Data[],MATCH($A226,Data[Dist],0),MATCH(G$4,Data[#Headers],0))</f>
        <v>217359</v>
      </c>
      <c r="H226" s="22">
        <f>INDEX(Data[],MATCH($A226,Data[Dist],0),MATCH(H$4,Data[#Headers],0))</f>
        <v>2468511</v>
      </c>
      <c r="I226" s="22">
        <f>INDEX(Data[],MATCH($A226,Data[Dist],0),MATCH(I$4,Data[#Headers],0))</f>
        <v>3336219</v>
      </c>
      <c r="J226" s="23"/>
    </row>
    <row r="227" spans="1:10" x14ac:dyDescent="0.2">
      <c r="A227" s="20" t="str">
        <f>Data!B223</f>
        <v>4890</v>
      </c>
      <c r="B227" s="21" t="str">
        <f>INDEX(Data[],MATCH($A227,Data[Dist],0),MATCH(B$4,Data[#Headers],0))</f>
        <v>Okoboji</v>
      </c>
      <c r="C227" s="22">
        <f>INDEX(Data[],MATCH($A227,Data[Dist],0),MATCH(C$4,Data[#Headers],0))</f>
        <v>258462</v>
      </c>
      <c r="D227" s="22">
        <f>INDEX(Data[],MATCH($A227,Data[Dist],0),MATCH(D$4,Data[#Headers],0))</f>
        <v>709460</v>
      </c>
      <c r="E227" s="22">
        <f>INDEX(Data[],MATCH($A227,Data[Dist],0),MATCH(E$4,Data[#Headers],0))</f>
        <v>79519</v>
      </c>
      <c r="F227" s="22">
        <f>INDEX(Data[],MATCH($A227,Data[Dist],0),MATCH(F$4,Data[#Headers],0))</f>
        <v>80734</v>
      </c>
      <c r="G227" s="22">
        <f>INDEX(Data[],MATCH($A227,Data[Dist],0),MATCH(G$4,Data[#Headers],0))</f>
        <v>392779</v>
      </c>
      <c r="H227" s="22">
        <f>INDEX(Data[],MATCH($A227,Data[Dist],0),MATCH(H$4,Data[#Headers],0))</f>
        <v>-699027</v>
      </c>
      <c r="I227" s="22">
        <f>INDEX(Data[],MATCH($A227,Data[Dist],0),MATCH(I$4,Data[#Headers],0))</f>
        <v>821927</v>
      </c>
      <c r="J227" s="23"/>
    </row>
    <row r="228" spans="1:10" x14ac:dyDescent="0.2">
      <c r="A228" s="20" t="str">
        <f>Data!B224</f>
        <v>4905</v>
      </c>
      <c r="B228" s="21" t="str">
        <f>INDEX(Data[],MATCH($A228,Data[Dist],0),MATCH(B$4,Data[#Headers],0))</f>
        <v>Olin</v>
      </c>
      <c r="C228" s="22">
        <f>INDEX(Data[],MATCH($A228,Data[Dist],0),MATCH(C$4,Data[#Headers],0))</f>
        <v>38009</v>
      </c>
      <c r="D228" s="22">
        <f>INDEX(Data[],MATCH($A228,Data[Dist],0),MATCH(D$4,Data[#Headers],0))</f>
        <v>170185</v>
      </c>
      <c r="E228" s="22">
        <f>INDEX(Data[],MATCH($A228,Data[Dist],0),MATCH(E$4,Data[#Headers],0))</f>
        <v>17438</v>
      </c>
      <c r="F228" s="22">
        <f>INDEX(Data[],MATCH($A228,Data[Dist],0),MATCH(F$4,Data[#Headers],0))</f>
        <v>17680</v>
      </c>
      <c r="G228" s="22">
        <f>INDEX(Data[],MATCH($A228,Data[Dist],0),MATCH(G$4,Data[#Headers],0))</f>
        <v>79418</v>
      </c>
      <c r="H228" s="22">
        <f>INDEX(Data[],MATCH($A228,Data[Dist],0),MATCH(H$4,Data[#Headers],0))</f>
        <v>1148594</v>
      </c>
      <c r="I228" s="22">
        <f>INDEX(Data[],MATCH($A228,Data[Dist],0),MATCH(I$4,Data[#Headers],0))</f>
        <v>1471324</v>
      </c>
      <c r="J228" s="23"/>
    </row>
    <row r="229" spans="1:10" x14ac:dyDescent="0.2">
      <c r="A229" s="20" t="str">
        <f>Data!B225</f>
        <v>4978</v>
      </c>
      <c r="B229" s="21" t="str">
        <f>INDEX(Data[],MATCH($A229,Data[Dist],0),MATCH(B$4,Data[#Headers],0))</f>
        <v>Orient-Macksburg</v>
      </c>
      <c r="C229" s="22">
        <f>INDEX(Data[],MATCH($A229,Data[Dist],0),MATCH(C$4,Data[#Headers],0))</f>
        <v>15204</v>
      </c>
      <c r="D229" s="22">
        <f>INDEX(Data[],MATCH($A229,Data[Dist],0),MATCH(D$4,Data[#Headers],0))</f>
        <v>142939</v>
      </c>
      <c r="E229" s="22">
        <f>INDEX(Data[],MATCH($A229,Data[Dist],0),MATCH(E$4,Data[#Headers],0))</f>
        <v>11502</v>
      </c>
      <c r="F229" s="22">
        <f>INDEX(Data[],MATCH($A229,Data[Dist],0),MATCH(F$4,Data[#Headers],0))</f>
        <v>15926</v>
      </c>
      <c r="G229" s="22">
        <f>INDEX(Data[],MATCH($A229,Data[Dist],0),MATCH(G$4,Data[#Headers],0))</f>
        <v>65635</v>
      </c>
      <c r="H229" s="22">
        <f>INDEX(Data[],MATCH($A229,Data[Dist],0),MATCH(H$4,Data[#Headers],0))</f>
        <v>557588</v>
      </c>
      <c r="I229" s="22">
        <f>INDEX(Data[],MATCH($A229,Data[Dist],0),MATCH(I$4,Data[#Headers],0))</f>
        <v>808794</v>
      </c>
      <c r="J229" s="23"/>
    </row>
    <row r="230" spans="1:10" x14ac:dyDescent="0.2">
      <c r="A230" s="20" t="str">
        <f>Data!B226</f>
        <v>4995</v>
      </c>
      <c r="B230" s="21" t="str">
        <f>INDEX(Data[],MATCH($A230,Data[Dist],0),MATCH(B$4,Data[#Headers],0))</f>
        <v>Osage</v>
      </c>
      <c r="C230" s="22">
        <f>INDEX(Data[],MATCH($A230,Data[Dist],0),MATCH(C$4,Data[#Headers],0))</f>
        <v>239458</v>
      </c>
      <c r="D230" s="22">
        <f>INDEX(Data[],MATCH($A230,Data[Dist],0),MATCH(D$4,Data[#Headers],0))</f>
        <v>584763</v>
      </c>
      <c r="E230" s="22">
        <f>INDEX(Data[],MATCH($A230,Data[Dist],0),MATCH(E$4,Data[#Headers],0))</f>
        <v>63480</v>
      </c>
      <c r="F230" s="22">
        <f>INDEX(Data[],MATCH($A230,Data[Dist],0),MATCH(F$4,Data[#Headers],0))</f>
        <v>66444</v>
      </c>
      <c r="G230" s="22">
        <f>INDEX(Data[],MATCH($A230,Data[Dist],0),MATCH(G$4,Data[#Headers],0))</f>
        <v>328987</v>
      </c>
      <c r="H230" s="22">
        <f>INDEX(Data[],MATCH($A230,Data[Dist],0),MATCH(H$4,Data[#Headers],0))</f>
        <v>4636223</v>
      </c>
      <c r="I230" s="22">
        <f>INDEX(Data[],MATCH($A230,Data[Dist],0),MATCH(I$4,Data[#Headers],0))</f>
        <v>5919355</v>
      </c>
      <c r="J230" s="23"/>
    </row>
    <row r="231" spans="1:10" x14ac:dyDescent="0.2">
      <c r="A231" s="20" t="str">
        <f>Data!B227</f>
        <v>5013</v>
      </c>
      <c r="B231" s="21" t="str">
        <f>INDEX(Data[],MATCH($A231,Data[Dist],0),MATCH(B$4,Data[#Headers],0))</f>
        <v>Oskaloosa</v>
      </c>
      <c r="C231" s="22">
        <f>INDEX(Data[],MATCH($A231,Data[Dist],0),MATCH(C$4,Data[#Headers],0))</f>
        <v>452309</v>
      </c>
      <c r="D231" s="22">
        <f>INDEX(Data[],MATCH($A231,Data[Dist],0),MATCH(D$4,Data[#Headers],0))</f>
        <v>1447025</v>
      </c>
      <c r="E231" s="22">
        <f>INDEX(Data[],MATCH($A231,Data[Dist],0),MATCH(E$4,Data[#Headers],0))</f>
        <v>187831</v>
      </c>
      <c r="F231" s="22">
        <f>INDEX(Data[],MATCH($A231,Data[Dist],0),MATCH(F$4,Data[#Headers],0))</f>
        <v>169208</v>
      </c>
      <c r="G231" s="22">
        <f>INDEX(Data[],MATCH($A231,Data[Dist],0),MATCH(G$4,Data[#Headers],0))</f>
        <v>830888</v>
      </c>
      <c r="H231" s="22">
        <f>INDEX(Data[],MATCH($A231,Data[Dist],0),MATCH(H$4,Data[#Headers],0))</f>
        <v>13919988</v>
      </c>
      <c r="I231" s="22">
        <f>INDEX(Data[],MATCH($A231,Data[Dist],0),MATCH(I$4,Data[#Headers],0))</f>
        <v>17007249</v>
      </c>
      <c r="J231" s="23"/>
    </row>
    <row r="232" spans="1:10" x14ac:dyDescent="0.2">
      <c r="A232" s="20" t="str">
        <f>Data!B228</f>
        <v>5049</v>
      </c>
      <c r="B232" s="21" t="str">
        <f>INDEX(Data[],MATCH($A232,Data[Dist],0),MATCH(B$4,Data[#Headers],0))</f>
        <v>Ottumwa</v>
      </c>
      <c r="C232" s="22">
        <f>INDEX(Data[],MATCH($A232,Data[Dist],0),MATCH(C$4,Data[#Headers],0))</f>
        <v>935025</v>
      </c>
      <c r="D232" s="22">
        <f>INDEX(Data[],MATCH($A232,Data[Dist],0),MATCH(D$4,Data[#Headers],0))</f>
        <v>3215379</v>
      </c>
      <c r="E232" s="22">
        <f>INDEX(Data[],MATCH($A232,Data[Dist],0),MATCH(E$4,Data[#Headers],0))</f>
        <v>455178</v>
      </c>
      <c r="F232" s="22">
        <f>INDEX(Data[],MATCH($A232,Data[Dist],0),MATCH(F$4,Data[#Headers],0))</f>
        <v>364527</v>
      </c>
      <c r="G232" s="22">
        <f>INDEX(Data[],MATCH($A232,Data[Dist],0),MATCH(G$4,Data[#Headers],0))</f>
        <v>1867378</v>
      </c>
      <c r="H232" s="22">
        <f>INDEX(Data[],MATCH($A232,Data[Dist],0),MATCH(H$4,Data[#Headers],0))</f>
        <v>38052488</v>
      </c>
      <c r="I232" s="22">
        <f>INDEX(Data[],MATCH($A232,Data[Dist],0),MATCH(I$4,Data[#Headers],0))</f>
        <v>44889975</v>
      </c>
      <c r="J232" s="23"/>
    </row>
    <row r="233" spans="1:10" x14ac:dyDescent="0.2">
      <c r="A233" s="20" t="str">
        <f>Data!B229</f>
        <v>5121</v>
      </c>
      <c r="B233" s="21" t="str">
        <f>INDEX(Data[],MATCH($A233,Data[Dist],0),MATCH(B$4,Data[#Headers],0))</f>
        <v>Panorama</v>
      </c>
      <c r="C233" s="22">
        <f>INDEX(Data[],MATCH($A233,Data[Dist],0),MATCH(C$4,Data[#Headers],0))</f>
        <v>129231</v>
      </c>
      <c r="D233" s="22">
        <f>INDEX(Data[],MATCH($A233,Data[Dist],0),MATCH(D$4,Data[#Headers],0))</f>
        <v>427333</v>
      </c>
      <c r="E233" s="22">
        <f>INDEX(Data[],MATCH($A233,Data[Dist],0),MATCH(E$4,Data[#Headers],0))</f>
        <v>45391</v>
      </c>
      <c r="F233" s="22">
        <f>INDEX(Data[],MATCH($A233,Data[Dist],0),MATCH(F$4,Data[#Headers],0))</f>
        <v>42796</v>
      </c>
      <c r="G233" s="22">
        <f>INDEX(Data[],MATCH($A233,Data[Dist],0),MATCH(G$4,Data[#Headers],0))</f>
        <v>245665</v>
      </c>
      <c r="H233" s="22">
        <f>INDEX(Data[],MATCH($A233,Data[Dist],0),MATCH(H$4,Data[#Headers],0))</f>
        <v>2672703</v>
      </c>
      <c r="I233" s="22">
        <f>INDEX(Data[],MATCH($A233,Data[Dist],0),MATCH(I$4,Data[#Headers],0))</f>
        <v>3563119</v>
      </c>
      <c r="J233" s="23"/>
    </row>
    <row r="234" spans="1:10" x14ac:dyDescent="0.2">
      <c r="A234" s="20" t="str">
        <f>Data!B230</f>
        <v>5139</v>
      </c>
      <c r="B234" s="21" t="str">
        <f>INDEX(Data[],MATCH($A234,Data[Dist],0),MATCH(B$4,Data[#Headers],0))</f>
        <v>Paton-Churdan</v>
      </c>
      <c r="C234" s="22">
        <f>INDEX(Data[],MATCH($A234,Data[Dist],0),MATCH(C$4,Data[#Headers],0))</f>
        <v>41811</v>
      </c>
      <c r="D234" s="22">
        <f>INDEX(Data[],MATCH($A234,Data[Dist],0),MATCH(D$4,Data[#Headers],0))</f>
        <v>125629</v>
      </c>
      <c r="E234" s="22">
        <f>INDEX(Data[],MATCH($A234,Data[Dist],0),MATCH(E$4,Data[#Headers],0))</f>
        <v>15140</v>
      </c>
      <c r="F234" s="22">
        <f>INDEX(Data[],MATCH($A234,Data[Dist],0),MATCH(F$4,Data[#Headers],0))</f>
        <v>11512</v>
      </c>
      <c r="G234" s="22">
        <f>INDEX(Data[],MATCH($A234,Data[Dist],0),MATCH(G$4,Data[#Headers],0))</f>
        <v>68805</v>
      </c>
      <c r="H234" s="22">
        <f>INDEX(Data[],MATCH($A234,Data[Dist],0),MATCH(H$4,Data[#Headers],0))</f>
        <v>746986</v>
      </c>
      <c r="I234" s="22">
        <f>INDEX(Data[],MATCH($A234,Data[Dist],0),MATCH(I$4,Data[#Headers],0))</f>
        <v>1009883</v>
      </c>
      <c r="J234" s="23"/>
    </row>
    <row r="235" spans="1:10" x14ac:dyDescent="0.2">
      <c r="A235" s="20" t="str">
        <f>Data!B231</f>
        <v>5157</v>
      </c>
      <c r="B235" s="21" t="str">
        <f>INDEX(Data[],MATCH($A235,Data[Dist],0),MATCH(B$4,Data[#Headers],0))</f>
        <v>South O'Brien</v>
      </c>
      <c r="C235" s="22">
        <f>INDEX(Data[],MATCH($A235,Data[Dist],0),MATCH(C$4,Data[#Headers],0))</f>
        <v>144435</v>
      </c>
      <c r="D235" s="22">
        <f>INDEX(Data[],MATCH($A235,Data[Dist],0),MATCH(D$4,Data[#Headers],0))</f>
        <v>377311</v>
      </c>
      <c r="E235" s="22">
        <f>INDEX(Data[],MATCH($A235,Data[Dist],0),MATCH(E$4,Data[#Headers],0))</f>
        <v>38800</v>
      </c>
      <c r="F235" s="22">
        <f>INDEX(Data[],MATCH($A235,Data[Dist],0),MATCH(F$4,Data[#Headers],0))</f>
        <v>44207</v>
      </c>
      <c r="G235" s="22">
        <f>INDEX(Data[],MATCH($A235,Data[Dist],0),MATCH(G$4,Data[#Headers],0))</f>
        <v>206930</v>
      </c>
      <c r="H235" s="22">
        <f>INDEX(Data[],MATCH($A235,Data[Dist],0),MATCH(H$4,Data[#Headers],0))</f>
        <v>959719</v>
      </c>
      <c r="I235" s="22">
        <f>INDEX(Data[],MATCH($A235,Data[Dist],0),MATCH(I$4,Data[#Headers],0))</f>
        <v>1771402</v>
      </c>
      <c r="J235" s="23"/>
    </row>
    <row r="236" spans="1:10" x14ac:dyDescent="0.2">
      <c r="A236" s="20" t="str">
        <f>Data!B232</f>
        <v>5163</v>
      </c>
      <c r="B236" s="21" t="str">
        <f>INDEX(Data[],MATCH($A236,Data[Dist],0),MATCH(B$4,Data[#Headers],0))</f>
        <v>Pekin</v>
      </c>
      <c r="C236" s="22">
        <f>INDEX(Data[],MATCH($A236,Data[Dist],0),MATCH(C$4,Data[#Headers],0))</f>
        <v>148236</v>
      </c>
      <c r="D236" s="22">
        <f>INDEX(Data[],MATCH($A236,Data[Dist],0),MATCH(D$4,Data[#Headers],0))</f>
        <v>364435</v>
      </c>
      <c r="E236" s="22">
        <f>INDEX(Data[],MATCH($A236,Data[Dist],0),MATCH(E$4,Data[#Headers],0))</f>
        <v>42474</v>
      </c>
      <c r="F236" s="22">
        <f>INDEX(Data[],MATCH($A236,Data[Dist],0),MATCH(F$4,Data[#Headers],0))</f>
        <v>40990</v>
      </c>
      <c r="G236" s="22">
        <f>INDEX(Data[],MATCH($A236,Data[Dist],0),MATCH(G$4,Data[#Headers],0))</f>
        <v>205842</v>
      </c>
      <c r="H236" s="22">
        <f>INDEX(Data[],MATCH($A236,Data[Dist],0),MATCH(H$4,Data[#Headers],0))</f>
        <v>2479443</v>
      </c>
      <c r="I236" s="22">
        <f>INDEX(Data[],MATCH($A236,Data[Dist],0),MATCH(I$4,Data[#Headers],0))</f>
        <v>3281420</v>
      </c>
      <c r="J236" s="23"/>
    </row>
    <row r="237" spans="1:10" x14ac:dyDescent="0.2">
      <c r="A237" s="20" t="str">
        <f>Data!B233</f>
        <v>5166</v>
      </c>
      <c r="B237" s="21" t="str">
        <f>INDEX(Data[],MATCH($A237,Data[Dist],0),MATCH(B$4,Data[#Headers],0))</f>
        <v>Pella</v>
      </c>
      <c r="C237" s="22">
        <f>INDEX(Data[],MATCH($A237,Data[Dist],0),MATCH(C$4,Data[#Headers],0))</f>
        <v>440906</v>
      </c>
      <c r="D237" s="22">
        <f>INDEX(Data[],MATCH($A237,Data[Dist],0),MATCH(D$4,Data[#Headers],0))</f>
        <v>1364841</v>
      </c>
      <c r="E237" s="22">
        <f>INDEX(Data[],MATCH($A237,Data[Dist],0),MATCH(E$4,Data[#Headers],0))</f>
        <v>159118</v>
      </c>
      <c r="F237" s="22">
        <f>INDEX(Data[],MATCH($A237,Data[Dist],0),MATCH(F$4,Data[#Headers],0))</f>
        <v>147631</v>
      </c>
      <c r="G237" s="22">
        <f>INDEX(Data[],MATCH($A237,Data[Dist],0),MATCH(G$4,Data[#Headers],0))</f>
        <v>803285</v>
      </c>
      <c r="H237" s="22">
        <f>INDEX(Data[],MATCH($A237,Data[Dist],0),MATCH(H$4,Data[#Headers],0))</f>
        <v>10806790</v>
      </c>
      <c r="I237" s="22">
        <f>INDEX(Data[],MATCH($A237,Data[Dist],0),MATCH(I$4,Data[#Headers],0))</f>
        <v>13722571</v>
      </c>
      <c r="J237" s="23"/>
    </row>
    <row r="238" spans="1:10" x14ac:dyDescent="0.2">
      <c r="A238" s="20" t="str">
        <f>Data!B234</f>
        <v>5184</v>
      </c>
      <c r="B238" s="21" t="str">
        <f>INDEX(Data[],MATCH($A238,Data[Dist],0),MATCH(B$4,Data[#Headers],0))</f>
        <v>Perry</v>
      </c>
      <c r="C238" s="22">
        <f>INDEX(Data[],MATCH($A238,Data[Dist],0),MATCH(C$4,Data[#Headers],0))</f>
        <v>345884</v>
      </c>
      <c r="D238" s="22">
        <f>INDEX(Data[],MATCH($A238,Data[Dist],0),MATCH(D$4,Data[#Headers],0))</f>
        <v>1235980</v>
      </c>
      <c r="E238" s="22">
        <f>INDEX(Data[],MATCH($A238,Data[Dist],0),MATCH(E$4,Data[#Headers],0))</f>
        <v>179718</v>
      </c>
      <c r="F238" s="22">
        <f>INDEX(Data[],MATCH($A238,Data[Dist],0),MATCH(F$4,Data[#Headers],0))</f>
        <v>135090</v>
      </c>
      <c r="G238" s="22">
        <f>INDEX(Data[],MATCH($A238,Data[Dist],0),MATCH(G$4,Data[#Headers],0))</f>
        <v>683291</v>
      </c>
      <c r="H238" s="22">
        <f>INDEX(Data[],MATCH($A238,Data[Dist],0),MATCH(H$4,Data[#Headers],0))</f>
        <v>13321698</v>
      </c>
      <c r="I238" s="22">
        <f>INDEX(Data[],MATCH($A238,Data[Dist],0),MATCH(I$4,Data[#Headers],0))</f>
        <v>15901661</v>
      </c>
      <c r="J238" s="23"/>
    </row>
    <row r="239" spans="1:10" x14ac:dyDescent="0.2">
      <c r="A239" s="20" t="str">
        <f>Data!B235</f>
        <v>5250</v>
      </c>
      <c r="B239" s="21" t="str">
        <f>INDEX(Data[],MATCH($A239,Data[Dist],0),MATCH(B$4,Data[#Headers],0))</f>
        <v>Pleasant Valley</v>
      </c>
      <c r="C239" s="22">
        <f>INDEX(Data[],MATCH($A239,Data[Dist],0),MATCH(C$4,Data[#Headers],0))</f>
        <v>854829</v>
      </c>
      <c r="D239" s="22">
        <f>INDEX(Data[],MATCH($A239,Data[Dist],0),MATCH(D$4,Data[#Headers],0))</f>
        <v>3418321</v>
      </c>
      <c r="E239" s="22">
        <f>INDEX(Data[],MATCH($A239,Data[Dist],0),MATCH(E$4,Data[#Headers],0))</f>
        <v>366582</v>
      </c>
      <c r="F239" s="22">
        <f>INDEX(Data[],MATCH($A239,Data[Dist],0),MATCH(F$4,Data[#Headers],0))</f>
        <v>393588</v>
      </c>
      <c r="G239" s="22">
        <f>INDEX(Data[],MATCH($A239,Data[Dist],0),MATCH(G$4,Data[#Headers],0))</f>
        <v>2047848</v>
      </c>
      <c r="H239" s="22">
        <f>INDEX(Data[],MATCH($A239,Data[Dist],0),MATCH(H$4,Data[#Headers],0))</f>
        <v>30037805</v>
      </c>
      <c r="I239" s="22">
        <f>INDEX(Data[],MATCH($A239,Data[Dist],0),MATCH(I$4,Data[#Headers],0))</f>
        <v>37118973</v>
      </c>
      <c r="J239" s="23"/>
    </row>
    <row r="240" spans="1:10" x14ac:dyDescent="0.2">
      <c r="A240" s="20" t="str">
        <f>Data!B236</f>
        <v>5256</v>
      </c>
      <c r="B240" s="21" t="str">
        <f>INDEX(Data[],MATCH($A240,Data[Dist],0),MATCH(B$4,Data[#Headers],0))</f>
        <v>Pleasantville</v>
      </c>
      <c r="C240" s="22">
        <f>INDEX(Data[],MATCH($A240,Data[Dist],0),MATCH(C$4,Data[#Headers],0))</f>
        <v>110227</v>
      </c>
      <c r="D240" s="22">
        <f>INDEX(Data[],MATCH($A240,Data[Dist],0),MATCH(D$4,Data[#Headers],0))</f>
        <v>465482</v>
      </c>
      <c r="E240" s="22">
        <f>INDEX(Data[],MATCH($A240,Data[Dist],0),MATCH(E$4,Data[#Headers],0))</f>
        <v>61015</v>
      </c>
      <c r="F240" s="22">
        <f>INDEX(Data[],MATCH($A240,Data[Dist],0),MATCH(F$4,Data[#Headers],0))</f>
        <v>49392</v>
      </c>
      <c r="G240" s="22">
        <f>INDEX(Data[],MATCH($A240,Data[Dist],0),MATCH(G$4,Data[#Headers],0))</f>
        <v>262320</v>
      </c>
      <c r="H240" s="22">
        <f>INDEX(Data[],MATCH($A240,Data[Dist],0),MATCH(H$4,Data[#Headers],0))</f>
        <v>4666993</v>
      </c>
      <c r="I240" s="22">
        <f>INDEX(Data[],MATCH($A240,Data[Dist],0),MATCH(I$4,Data[#Headers],0))</f>
        <v>5615429</v>
      </c>
      <c r="J240" s="23"/>
    </row>
    <row r="241" spans="1:10" x14ac:dyDescent="0.2">
      <c r="A241" s="20" t="str">
        <f>Data!B237</f>
        <v>5283</v>
      </c>
      <c r="B241" s="21" t="str">
        <f>INDEX(Data[],MATCH($A241,Data[Dist],0),MATCH(B$4,Data[#Headers],0))</f>
        <v>Pocahontas Area</v>
      </c>
      <c r="C241" s="22">
        <f>INDEX(Data[],MATCH($A241,Data[Dist],0),MATCH(C$4,Data[#Headers],0))</f>
        <v>144435</v>
      </c>
      <c r="D241" s="22">
        <f>INDEX(Data[],MATCH($A241,Data[Dist],0),MATCH(D$4,Data[#Headers],0))</f>
        <v>507012</v>
      </c>
      <c r="E241" s="22">
        <f>INDEX(Data[],MATCH($A241,Data[Dist],0),MATCH(E$4,Data[#Headers],0))</f>
        <v>48165</v>
      </c>
      <c r="F241" s="22">
        <f>INDEX(Data[],MATCH($A241,Data[Dist],0),MATCH(F$4,Data[#Headers],0))</f>
        <v>62881</v>
      </c>
      <c r="G241" s="22">
        <f>INDEX(Data[],MATCH($A241,Data[Dist],0),MATCH(G$4,Data[#Headers],0))</f>
        <v>246841</v>
      </c>
      <c r="H241" s="22">
        <f>INDEX(Data[],MATCH($A241,Data[Dist],0),MATCH(H$4,Data[#Headers],0))</f>
        <v>1592750</v>
      </c>
      <c r="I241" s="22">
        <f>INDEX(Data[],MATCH($A241,Data[Dist],0),MATCH(I$4,Data[#Headers],0))</f>
        <v>2602084</v>
      </c>
      <c r="J241" s="23"/>
    </row>
    <row r="242" spans="1:10" x14ac:dyDescent="0.2">
      <c r="A242" s="20" t="str">
        <f>Data!B238</f>
        <v>5310</v>
      </c>
      <c r="B242" s="21" t="str">
        <f>INDEX(Data[],MATCH($A242,Data[Dist],0),MATCH(B$4,Data[#Headers],0))</f>
        <v>Postville</v>
      </c>
      <c r="C242" s="22">
        <f>INDEX(Data[],MATCH($A242,Data[Dist],0),MATCH(C$4,Data[#Headers],0))</f>
        <v>102625</v>
      </c>
      <c r="D242" s="22">
        <f>INDEX(Data[],MATCH($A242,Data[Dist],0),MATCH(D$4,Data[#Headers],0))</f>
        <v>466914</v>
      </c>
      <c r="E242" s="22">
        <f>INDEX(Data[],MATCH($A242,Data[Dist],0),MATCH(E$4,Data[#Headers],0))</f>
        <v>70024</v>
      </c>
      <c r="F242" s="22">
        <f>INDEX(Data[],MATCH($A242,Data[Dist],0),MATCH(F$4,Data[#Headers],0))</f>
        <v>46750</v>
      </c>
      <c r="G242" s="22">
        <f>INDEX(Data[],MATCH($A242,Data[Dist],0),MATCH(G$4,Data[#Headers],0))</f>
        <v>255428</v>
      </c>
      <c r="H242" s="22">
        <f>INDEX(Data[],MATCH($A242,Data[Dist],0),MATCH(H$4,Data[#Headers],0))</f>
        <v>4837328</v>
      </c>
      <c r="I242" s="22">
        <f>INDEX(Data[],MATCH($A242,Data[Dist],0),MATCH(I$4,Data[#Headers],0))</f>
        <v>5779069</v>
      </c>
      <c r="J242" s="23"/>
    </row>
    <row r="243" spans="1:10" x14ac:dyDescent="0.2">
      <c r="A243" s="20" t="str">
        <f>Data!B239</f>
        <v>5319</v>
      </c>
      <c r="B243" s="21" t="str">
        <f>INDEX(Data[],MATCH($A243,Data[Dist],0),MATCH(B$4,Data[#Headers],0))</f>
        <v>PCM</v>
      </c>
      <c r="C243" s="22">
        <f>INDEX(Data[],MATCH($A243,Data[Dist],0),MATCH(C$4,Data[#Headers],0))</f>
        <v>212851</v>
      </c>
      <c r="D243" s="22">
        <f>INDEX(Data[],MATCH($A243,Data[Dist],0),MATCH(D$4,Data[#Headers],0))</f>
        <v>660843</v>
      </c>
      <c r="E243" s="22">
        <f>INDEX(Data[],MATCH($A243,Data[Dist],0),MATCH(E$4,Data[#Headers],0))</f>
        <v>73857</v>
      </c>
      <c r="F243" s="22">
        <f>INDEX(Data[],MATCH($A243,Data[Dist],0),MATCH(F$4,Data[#Headers],0))</f>
        <v>71535</v>
      </c>
      <c r="G243" s="22">
        <f>INDEX(Data[],MATCH($A243,Data[Dist],0),MATCH(G$4,Data[#Headers],0))</f>
        <v>380360</v>
      </c>
      <c r="H243" s="22">
        <f>INDEX(Data[],MATCH($A243,Data[Dist],0),MATCH(H$4,Data[#Headers],0))</f>
        <v>5878324</v>
      </c>
      <c r="I243" s="22">
        <f>INDEX(Data[],MATCH($A243,Data[Dist],0),MATCH(I$4,Data[#Headers],0))</f>
        <v>7277770</v>
      </c>
      <c r="J243" s="23"/>
    </row>
    <row r="244" spans="1:10" x14ac:dyDescent="0.2">
      <c r="A244" s="20" t="str">
        <f>Data!B240</f>
        <v>5463</v>
      </c>
      <c r="B244" s="21" t="str">
        <f>INDEX(Data[],MATCH($A244,Data[Dist],0),MATCH(B$4,Data[#Headers],0))</f>
        <v>Red Oak</v>
      </c>
      <c r="C244" s="22">
        <f>INDEX(Data[],MATCH($A244,Data[Dist],0),MATCH(C$4,Data[#Headers],0))</f>
        <v>262264</v>
      </c>
      <c r="D244" s="22">
        <f>INDEX(Data[],MATCH($A244,Data[Dist],0),MATCH(D$4,Data[#Headers],0))</f>
        <v>696775</v>
      </c>
      <c r="E244" s="22">
        <f>INDEX(Data[],MATCH($A244,Data[Dist],0),MATCH(E$4,Data[#Headers],0))</f>
        <v>92748</v>
      </c>
      <c r="F244" s="22">
        <f>INDEX(Data[],MATCH($A244,Data[Dist],0),MATCH(F$4,Data[#Headers],0))</f>
        <v>77274</v>
      </c>
      <c r="G244" s="22">
        <f>INDEX(Data[],MATCH($A244,Data[Dist],0),MATCH(G$4,Data[#Headers],0))</f>
        <v>383955</v>
      </c>
      <c r="H244" s="22">
        <f>INDEX(Data[],MATCH($A244,Data[Dist],0),MATCH(H$4,Data[#Headers],0))</f>
        <v>6041956</v>
      </c>
      <c r="I244" s="22">
        <f>INDEX(Data[],MATCH($A244,Data[Dist],0),MATCH(I$4,Data[#Headers],0))</f>
        <v>7554972</v>
      </c>
      <c r="J244" s="23"/>
    </row>
    <row r="245" spans="1:10" x14ac:dyDescent="0.2">
      <c r="A245" s="20" t="str">
        <f>Data!B241</f>
        <v>5486</v>
      </c>
      <c r="B245" s="21" t="str">
        <f>INDEX(Data[],MATCH($A245,Data[Dist],0),MATCH(B$4,Data[#Headers],0))</f>
        <v>Remsen-Union</v>
      </c>
      <c r="C245" s="22">
        <f>INDEX(Data[],MATCH($A245,Data[Dist],0),MATCH(C$4,Data[#Headers],0))</f>
        <v>53213</v>
      </c>
      <c r="D245" s="22">
        <f>INDEX(Data[],MATCH($A245,Data[Dist],0),MATCH(D$4,Data[#Headers],0))</f>
        <v>230320</v>
      </c>
      <c r="E245" s="22">
        <f>INDEX(Data[],MATCH($A245,Data[Dist],0),MATCH(E$4,Data[#Headers],0))</f>
        <v>22512</v>
      </c>
      <c r="F245" s="22">
        <f>INDEX(Data[],MATCH($A245,Data[Dist],0),MATCH(F$4,Data[#Headers],0))</f>
        <v>23667</v>
      </c>
      <c r="G245" s="22">
        <f>INDEX(Data[],MATCH($A245,Data[Dist],0),MATCH(G$4,Data[#Headers],0))</f>
        <v>123089</v>
      </c>
      <c r="H245" s="22">
        <f>INDEX(Data[],MATCH($A245,Data[Dist],0),MATCH(H$4,Data[#Headers],0))</f>
        <v>1037280</v>
      </c>
      <c r="I245" s="22">
        <f>INDEX(Data[],MATCH($A245,Data[Dist],0),MATCH(I$4,Data[#Headers],0))</f>
        <v>1490081</v>
      </c>
      <c r="J245" s="23"/>
    </row>
    <row r="246" spans="1:10" x14ac:dyDescent="0.2">
      <c r="A246" s="20" t="str">
        <f>Data!B242</f>
        <v>5508</v>
      </c>
      <c r="B246" s="21" t="str">
        <f>INDEX(Data[],MATCH($A246,Data[Dist],0),MATCH(B$4,Data[#Headers],0))</f>
        <v>Riceville</v>
      </c>
      <c r="C246" s="22">
        <f>INDEX(Data[],MATCH($A246,Data[Dist],0),MATCH(C$4,Data[#Headers],0))</f>
        <v>114027</v>
      </c>
      <c r="D246" s="22">
        <f>INDEX(Data[],MATCH($A246,Data[Dist],0),MATCH(D$4,Data[#Headers],0))</f>
        <v>271502</v>
      </c>
      <c r="E246" s="22">
        <f>INDEX(Data[],MATCH($A246,Data[Dist],0),MATCH(E$4,Data[#Headers],0))</f>
        <v>24551</v>
      </c>
      <c r="F246" s="22">
        <f>INDEX(Data[],MATCH($A246,Data[Dist],0),MATCH(F$4,Data[#Headers],0))</f>
        <v>32928</v>
      </c>
      <c r="G246" s="22">
        <f>INDEX(Data[],MATCH($A246,Data[Dist],0),MATCH(G$4,Data[#Headers],0))</f>
        <v>122168</v>
      </c>
      <c r="H246" s="22">
        <f>INDEX(Data[],MATCH($A246,Data[Dist],0),MATCH(H$4,Data[#Headers],0))</f>
        <v>976738</v>
      </c>
      <c r="I246" s="22">
        <f>INDEX(Data[],MATCH($A246,Data[Dist],0),MATCH(I$4,Data[#Headers],0))</f>
        <v>1541914</v>
      </c>
      <c r="J246" s="23"/>
    </row>
    <row r="247" spans="1:10" x14ac:dyDescent="0.2">
      <c r="A247" s="20" t="str">
        <f>Data!B243</f>
        <v>5607</v>
      </c>
      <c r="B247" s="21" t="str">
        <f>INDEX(Data[],MATCH($A247,Data[Dist],0),MATCH(B$4,Data[#Headers],0))</f>
        <v>Rock Valley</v>
      </c>
      <c r="C247" s="22">
        <f>INDEX(Data[],MATCH($A247,Data[Dist],0),MATCH(C$4,Data[#Headers],0))</f>
        <v>266064</v>
      </c>
      <c r="D247" s="22">
        <f>INDEX(Data[],MATCH($A247,Data[Dist],0),MATCH(D$4,Data[#Headers],0))</f>
        <v>568789</v>
      </c>
      <c r="E247" s="22">
        <f>INDEX(Data[],MATCH($A247,Data[Dist],0),MATCH(E$4,Data[#Headers],0))</f>
        <v>78259</v>
      </c>
      <c r="F247" s="22">
        <f>INDEX(Data[],MATCH($A247,Data[Dist],0),MATCH(F$4,Data[#Headers],0))</f>
        <v>60699</v>
      </c>
      <c r="G247" s="22">
        <f>INDEX(Data[],MATCH($A247,Data[Dist],0),MATCH(G$4,Data[#Headers],0))</f>
        <v>313693</v>
      </c>
      <c r="H247" s="22">
        <f>INDEX(Data[],MATCH($A247,Data[Dist],0),MATCH(H$4,Data[#Headers],0))</f>
        <v>4693419</v>
      </c>
      <c r="I247" s="22">
        <f>INDEX(Data[],MATCH($A247,Data[Dist],0),MATCH(I$4,Data[#Headers],0))</f>
        <v>5980923</v>
      </c>
      <c r="J247" s="23"/>
    </row>
    <row r="248" spans="1:10" x14ac:dyDescent="0.2">
      <c r="A248" s="20" t="str">
        <f>Data!B244</f>
        <v>5643</v>
      </c>
      <c r="B248" s="21" t="str">
        <f>INDEX(Data[],MATCH($A248,Data[Dist],0),MATCH(B$4,Data[#Headers],0))</f>
        <v>Roland-Story</v>
      </c>
      <c r="C248" s="22">
        <f>INDEX(Data[],MATCH($A248,Data[Dist],0),MATCH(C$4,Data[#Headers],0))</f>
        <v>197648</v>
      </c>
      <c r="D248" s="22">
        <f>INDEX(Data[],MATCH($A248,Data[Dist],0),MATCH(D$4,Data[#Headers],0))</f>
        <v>643893</v>
      </c>
      <c r="E248" s="22">
        <f>INDEX(Data[],MATCH($A248,Data[Dist],0),MATCH(E$4,Data[#Headers],0))</f>
        <v>74261</v>
      </c>
      <c r="F248" s="22">
        <f>INDEX(Data[],MATCH($A248,Data[Dist],0),MATCH(F$4,Data[#Headers],0))</f>
        <v>79251</v>
      </c>
      <c r="G248" s="22">
        <f>INDEX(Data[],MATCH($A248,Data[Dist],0),MATCH(G$4,Data[#Headers],0))</f>
        <v>370078</v>
      </c>
      <c r="H248" s="22">
        <f>INDEX(Data[],MATCH($A248,Data[Dist],0),MATCH(H$4,Data[#Headers],0))</f>
        <v>5450265</v>
      </c>
      <c r="I248" s="22">
        <f>INDEX(Data[],MATCH($A248,Data[Dist],0),MATCH(I$4,Data[#Headers],0))</f>
        <v>6815396</v>
      </c>
      <c r="J248" s="23"/>
    </row>
    <row r="249" spans="1:10" x14ac:dyDescent="0.2">
      <c r="A249" s="20" t="str">
        <f>Data!B245</f>
        <v>5697</v>
      </c>
      <c r="B249" s="21" t="str">
        <f>INDEX(Data[],MATCH($A249,Data[Dist],0),MATCH(B$4,Data[#Headers],0))</f>
        <v>Rudd-Rockford-Marble Rock</v>
      </c>
      <c r="C249" s="22">
        <f>INDEX(Data[],MATCH($A249,Data[Dist],0),MATCH(C$4,Data[#Headers],0))</f>
        <v>83620</v>
      </c>
      <c r="D249" s="22">
        <f>INDEX(Data[],MATCH($A249,Data[Dist],0),MATCH(D$4,Data[#Headers],0))</f>
        <v>289931</v>
      </c>
      <c r="E249" s="22">
        <f>INDEX(Data[],MATCH($A249,Data[Dist],0),MATCH(E$4,Data[#Headers],0))</f>
        <v>31205</v>
      </c>
      <c r="F249" s="22">
        <f>INDEX(Data[],MATCH($A249,Data[Dist],0),MATCH(F$4,Data[#Headers],0))</f>
        <v>32738</v>
      </c>
      <c r="G249" s="22">
        <f>INDEX(Data[],MATCH($A249,Data[Dist],0),MATCH(G$4,Data[#Headers],0))</f>
        <v>156994</v>
      </c>
      <c r="H249" s="22">
        <f>INDEX(Data[],MATCH($A249,Data[Dist],0),MATCH(H$4,Data[#Headers],0))</f>
        <v>2098285</v>
      </c>
      <c r="I249" s="22">
        <f>INDEX(Data[],MATCH($A249,Data[Dist],0),MATCH(I$4,Data[#Headers],0))</f>
        <v>2692773</v>
      </c>
      <c r="J249" s="23"/>
    </row>
    <row r="250" spans="1:10" x14ac:dyDescent="0.2">
      <c r="A250" s="20" t="str">
        <f>Data!B246</f>
        <v>5724</v>
      </c>
      <c r="B250" s="21" t="str">
        <f>INDEX(Data[],MATCH($A250,Data[Dist],0),MATCH(B$4,Data[#Headers],0))</f>
        <v>Ruthven-Ayrshire</v>
      </c>
      <c r="C250" s="22">
        <f>INDEX(Data[],MATCH($A250,Data[Dist],0),MATCH(C$4,Data[#Headers],0))</f>
        <v>38009</v>
      </c>
      <c r="D250" s="22">
        <f>INDEX(Data[],MATCH($A250,Data[Dist],0),MATCH(D$4,Data[#Headers],0))</f>
        <v>140044</v>
      </c>
      <c r="E250" s="22">
        <f>INDEX(Data[],MATCH($A250,Data[Dist],0),MATCH(E$4,Data[#Headers],0))</f>
        <v>16782</v>
      </c>
      <c r="F250" s="22">
        <f>INDEX(Data[],MATCH($A250,Data[Dist],0),MATCH(F$4,Data[#Headers],0))</f>
        <v>15404</v>
      </c>
      <c r="G250" s="22">
        <f>INDEX(Data[],MATCH($A250,Data[Dist],0),MATCH(G$4,Data[#Headers],0))</f>
        <v>71560</v>
      </c>
      <c r="H250" s="22">
        <f>INDEX(Data[],MATCH($A250,Data[Dist],0),MATCH(H$4,Data[#Headers],0))</f>
        <v>983497</v>
      </c>
      <c r="I250" s="22">
        <f>INDEX(Data[],MATCH($A250,Data[Dist],0),MATCH(I$4,Data[#Headers],0))</f>
        <v>1265296</v>
      </c>
      <c r="J250" s="23"/>
    </row>
    <row r="251" spans="1:10" x14ac:dyDescent="0.2">
      <c r="A251" s="20" t="str">
        <f>Data!B247</f>
        <v>5751</v>
      </c>
      <c r="B251" s="21" t="str">
        <f>INDEX(Data[],MATCH($A251,Data[Dist],0),MATCH(B$4,Data[#Headers],0))</f>
        <v>St Ansgar</v>
      </c>
      <c r="C251" s="22">
        <f>INDEX(Data[],MATCH($A251,Data[Dist],0),MATCH(C$4,Data[#Headers],0))</f>
        <v>117829</v>
      </c>
      <c r="D251" s="22">
        <f>INDEX(Data[],MATCH($A251,Data[Dist],0),MATCH(D$4,Data[#Headers],0))</f>
        <v>367422</v>
      </c>
      <c r="E251" s="22">
        <f>INDEX(Data[],MATCH($A251,Data[Dist],0),MATCH(E$4,Data[#Headers],0))</f>
        <v>41444</v>
      </c>
      <c r="F251" s="22">
        <f>INDEX(Data[],MATCH($A251,Data[Dist],0),MATCH(F$4,Data[#Headers],0))</f>
        <v>42917</v>
      </c>
      <c r="G251" s="22">
        <f>INDEX(Data[],MATCH($A251,Data[Dist],0),MATCH(G$4,Data[#Headers],0))</f>
        <v>210320</v>
      </c>
      <c r="H251" s="22">
        <f>INDEX(Data[],MATCH($A251,Data[Dist],0),MATCH(H$4,Data[#Headers],0))</f>
        <v>2411087</v>
      </c>
      <c r="I251" s="22">
        <f>INDEX(Data[],MATCH($A251,Data[Dist],0),MATCH(I$4,Data[#Headers],0))</f>
        <v>3191019</v>
      </c>
      <c r="J251" s="23"/>
    </row>
    <row r="252" spans="1:10" x14ac:dyDescent="0.2">
      <c r="A252" s="20" t="str">
        <f>Data!B248</f>
        <v>5805</v>
      </c>
      <c r="B252" s="21" t="str">
        <f>INDEX(Data[],MATCH($A252,Data[Dist],0),MATCH(B$4,Data[#Headers],0))</f>
        <v>Saydel</v>
      </c>
      <c r="C252" s="22">
        <f>INDEX(Data[],MATCH($A252,Data[Dist],0),MATCH(C$4,Data[#Headers],0))</f>
        <v>178644</v>
      </c>
      <c r="D252" s="22">
        <f>INDEX(Data[],MATCH($A252,Data[Dist],0),MATCH(D$4,Data[#Headers],0))</f>
        <v>744265</v>
      </c>
      <c r="E252" s="22">
        <f>INDEX(Data[],MATCH($A252,Data[Dist],0),MATCH(E$4,Data[#Headers],0))</f>
        <v>95208</v>
      </c>
      <c r="F252" s="22">
        <f>INDEX(Data[],MATCH($A252,Data[Dist],0),MATCH(F$4,Data[#Headers],0))</f>
        <v>80260</v>
      </c>
      <c r="G252" s="22">
        <f>INDEX(Data[],MATCH($A252,Data[Dist],0),MATCH(G$4,Data[#Headers],0))</f>
        <v>393222</v>
      </c>
      <c r="H252" s="22">
        <f>INDEX(Data[],MATCH($A252,Data[Dist],0),MATCH(H$4,Data[#Headers],0))</f>
        <v>1642088</v>
      </c>
      <c r="I252" s="22">
        <f>INDEX(Data[],MATCH($A252,Data[Dist],0),MATCH(I$4,Data[#Headers],0))</f>
        <v>3133687</v>
      </c>
      <c r="J252" s="23"/>
    </row>
    <row r="253" spans="1:10" x14ac:dyDescent="0.2">
      <c r="A253" s="20" t="str">
        <f>Data!B249</f>
        <v>5823</v>
      </c>
      <c r="B253" s="21" t="str">
        <f>INDEX(Data[],MATCH($A253,Data[Dist],0),MATCH(B$4,Data[#Headers],0))</f>
        <v>Schaller-Crestland</v>
      </c>
      <c r="C253" s="22">
        <f>INDEX(Data[],MATCH($A253,Data[Dist],0),MATCH(C$4,Data[#Headers],0))</f>
        <v>64616</v>
      </c>
      <c r="D253" s="22">
        <f>INDEX(Data[],MATCH($A253,Data[Dist],0),MATCH(D$4,Data[#Headers],0))</f>
        <v>251104</v>
      </c>
      <c r="E253" s="22">
        <f>INDEX(Data[],MATCH($A253,Data[Dist],0),MATCH(E$4,Data[#Headers],0))</f>
        <v>25054</v>
      </c>
      <c r="F253" s="22">
        <f>INDEX(Data[],MATCH($A253,Data[Dist],0),MATCH(F$4,Data[#Headers],0))</f>
        <v>28276</v>
      </c>
      <c r="G253" s="22">
        <f>INDEX(Data[],MATCH($A253,Data[Dist],0),MATCH(G$4,Data[#Headers],0))</f>
        <v>133102</v>
      </c>
      <c r="H253" s="22">
        <f>INDEX(Data[],MATCH($A253,Data[Dist],0),MATCH(H$4,Data[#Headers],0))</f>
        <v>1443855</v>
      </c>
      <c r="I253" s="22">
        <f>INDEX(Data[],MATCH($A253,Data[Dist],0),MATCH(I$4,Data[#Headers],0))</f>
        <v>1946007</v>
      </c>
      <c r="J253" s="23"/>
    </row>
    <row r="254" spans="1:10" x14ac:dyDescent="0.2">
      <c r="A254" s="20" t="str">
        <f>Data!B250</f>
        <v>5832</v>
      </c>
      <c r="B254" s="21" t="str">
        <f>INDEX(Data[],MATCH($A254,Data[Dist],0),MATCH(B$4,Data[#Headers],0))</f>
        <v>Schleswig</v>
      </c>
      <c r="C254" s="22">
        <f>INDEX(Data[],MATCH($A254,Data[Dist],0),MATCH(C$4,Data[#Headers],0))</f>
        <v>49412</v>
      </c>
      <c r="D254" s="22">
        <f>INDEX(Data[],MATCH($A254,Data[Dist],0),MATCH(D$4,Data[#Headers],0))</f>
        <v>128440</v>
      </c>
      <c r="E254" s="22">
        <f>INDEX(Data[],MATCH($A254,Data[Dist],0),MATCH(E$4,Data[#Headers],0))</f>
        <v>15395</v>
      </c>
      <c r="F254" s="22">
        <f>INDEX(Data[],MATCH($A254,Data[Dist],0),MATCH(F$4,Data[#Headers],0))</f>
        <v>11691</v>
      </c>
      <c r="G254" s="22">
        <f>INDEX(Data[],MATCH($A254,Data[Dist],0),MATCH(G$4,Data[#Headers],0))</f>
        <v>80863</v>
      </c>
      <c r="H254" s="22">
        <f>INDEX(Data[],MATCH($A254,Data[Dist],0),MATCH(H$4,Data[#Headers],0))</f>
        <v>678719</v>
      </c>
      <c r="I254" s="22">
        <f>INDEX(Data[],MATCH($A254,Data[Dist],0),MATCH(I$4,Data[#Headers],0))</f>
        <v>964520</v>
      </c>
      <c r="J254" s="23"/>
    </row>
    <row r="255" spans="1:10" x14ac:dyDescent="0.2">
      <c r="A255" s="20" t="str">
        <f>Data!B251</f>
        <v>5877</v>
      </c>
      <c r="B255" s="21" t="str">
        <f>INDEX(Data[],MATCH($A255,Data[Dist],0),MATCH(B$4,Data[#Headers],0))</f>
        <v>Sergeant Bluff-Luton</v>
      </c>
      <c r="C255" s="22">
        <f>INDEX(Data[],MATCH($A255,Data[Dist],0),MATCH(C$4,Data[#Headers],0))</f>
        <v>247060</v>
      </c>
      <c r="D255" s="22">
        <f>INDEX(Data[],MATCH($A255,Data[Dist],0),MATCH(D$4,Data[#Headers],0))</f>
        <v>943249</v>
      </c>
      <c r="E255" s="22">
        <f>INDEX(Data[],MATCH($A255,Data[Dist],0),MATCH(E$4,Data[#Headers],0))</f>
        <v>111710</v>
      </c>
      <c r="F255" s="22">
        <f>INDEX(Data[],MATCH($A255,Data[Dist],0),MATCH(F$4,Data[#Headers],0))</f>
        <v>113347</v>
      </c>
      <c r="G255" s="22">
        <f>INDEX(Data[],MATCH($A255,Data[Dist],0),MATCH(G$4,Data[#Headers],0))</f>
        <v>524639</v>
      </c>
      <c r="H255" s="22">
        <f>INDEX(Data[],MATCH($A255,Data[Dist],0),MATCH(H$4,Data[#Headers],0))</f>
        <v>6541678</v>
      </c>
      <c r="I255" s="22">
        <f>INDEX(Data[],MATCH($A255,Data[Dist],0),MATCH(I$4,Data[#Headers],0))</f>
        <v>8481683</v>
      </c>
      <c r="J255" s="23"/>
    </row>
    <row r="256" spans="1:10" x14ac:dyDescent="0.2">
      <c r="A256" s="20" t="str">
        <f>Data!B252</f>
        <v>5895</v>
      </c>
      <c r="B256" s="21" t="str">
        <f>INDEX(Data[],MATCH($A256,Data[Dist],0),MATCH(B$4,Data[#Headers],0))</f>
        <v>Seymour</v>
      </c>
      <c r="C256" s="22">
        <f>INDEX(Data[],MATCH($A256,Data[Dist],0),MATCH(C$4,Data[#Headers],0))</f>
        <v>49412</v>
      </c>
      <c r="D256" s="22">
        <f>INDEX(Data[],MATCH($A256,Data[Dist],0),MATCH(D$4,Data[#Headers],0))</f>
        <v>196325</v>
      </c>
      <c r="E256" s="22">
        <f>INDEX(Data[],MATCH($A256,Data[Dist],0),MATCH(E$4,Data[#Headers],0))</f>
        <v>22272</v>
      </c>
      <c r="F256" s="22">
        <f>INDEX(Data[],MATCH($A256,Data[Dist],0),MATCH(F$4,Data[#Headers],0))</f>
        <v>21679</v>
      </c>
      <c r="G256" s="22">
        <f>INDEX(Data[],MATCH($A256,Data[Dist],0),MATCH(G$4,Data[#Headers],0))</f>
        <v>91096</v>
      </c>
      <c r="H256" s="22">
        <f>INDEX(Data[],MATCH($A256,Data[Dist],0),MATCH(H$4,Data[#Headers],0))</f>
        <v>1120254</v>
      </c>
      <c r="I256" s="22">
        <f>INDEX(Data[],MATCH($A256,Data[Dist],0),MATCH(I$4,Data[#Headers],0))</f>
        <v>1501038</v>
      </c>
      <c r="J256" s="23"/>
    </row>
    <row r="257" spans="1:10" x14ac:dyDescent="0.2">
      <c r="A257" s="20" t="str">
        <f>Data!B253</f>
        <v>5922</v>
      </c>
      <c r="B257" s="21" t="str">
        <f>INDEX(Data[],MATCH($A257,Data[Dist],0),MATCH(B$4,Data[#Headers],0))</f>
        <v>West Fork</v>
      </c>
      <c r="C257" s="22">
        <f>INDEX(Data[],MATCH($A257,Data[Dist],0),MATCH(C$4,Data[#Headers],0))</f>
        <v>152131</v>
      </c>
      <c r="D257" s="22">
        <f>INDEX(Data[],MATCH($A257,Data[Dist],0),MATCH(D$4,Data[#Headers],0))</f>
        <v>546568</v>
      </c>
      <c r="E257" s="22">
        <f>INDEX(Data[],MATCH($A257,Data[Dist],0),MATCH(E$4,Data[#Headers],0))</f>
        <v>52420</v>
      </c>
      <c r="F257" s="22">
        <f>INDEX(Data[],MATCH($A257,Data[Dist],0),MATCH(F$4,Data[#Headers],0))</f>
        <v>62624</v>
      </c>
      <c r="G257" s="22">
        <f>INDEX(Data[],MATCH($A257,Data[Dist],0),MATCH(G$4,Data[#Headers],0))</f>
        <v>281483</v>
      </c>
      <c r="H257" s="22">
        <f>INDEX(Data[],MATCH($A257,Data[Dist],0),MATCH(H$4,Data[#Headers],0))</f>
        <v>3560485</v>
      </c>
      <c r="I257" s="22">
        <f>INDEX(Data[],MATCH($A257,Data[Dist],0),MATCH(I$4,Data[#Headers],0))</f>
        <v>4655711</v>
      </c>
      <c r="J257" s="23"/>
    </row>
    <row r="258" spans="1:10" x14ac:dyDescent="0.2">
      <c r="A258" s="20" t="str">
        <f>Data!B254</f>
        <v>5949</v>
      </c>
      <c r="B258" s="21" t="str">
        <f>INDEX(Data[],MATCH($A258,Data[Dist],0),MATCH(B$4,Data[#Headers],0))</f>
        <v>Sheldon</v>
      </c>
      <c r="C258" s="22">
        <f>INDEX(Data[],MATCH($A258,Data[Dist],0),MATCH(C$4,Data[#Headers],0))</f>
        <v>315476</v>
      </c>
      <c r="D258" s="22">
        <f>INDEX(Data[],MATCH($A258,Data[Dist],0),MATCH(D$4,Data[#Headers],0))</f>
        <v>699434</v>
      </c>
      <c r="E258" s="22">
        <f>INDEX(Data[],MATCH($A258,Data[Dist],0),MATCH(E$4,Data[#Headers],0))</f>
        <v>86642</v>
      </c>
      <c r="F258" s="22">
        <f>INDEX(Data[],MATCH($A258,Data[Dist],0),MATCH(F$4,Data[#Headers],0))</f>
        <v>74580</v>
      </c>
      <c r="G258" s="22">
        <f>INDEX(Data[],MATCH($A258,Data[Dist],0),MATCH(G$4,Data[#Headers],0))</f>
        <v>406341</v>
      </c>
      <c r="H258" s="22">
        <f>INDEX(Data[],MATCH($A258,Data[Dist],0),MATCH(H$4,Data[#Headers],0))</f>
        <v>6335191</v>
      </c>
      <c r="I258" s="22">
        <f>INDEX(Data[],MATCH($A258,Data[Dist],0),MATCH(I$4,Data[#Headers],0))</f>
        <v>7917664</v>
      </c>
      <c r="J258" s="23"/>
    </row>
    <row r="259" spans="1:10" x14ac:dyDescent="0.2">
      <c r="A259" s="20" t="str">
        <f>Data!B255</f>
        <v>5976</v>
      </c>
      <c r="B259" s="21" t="str">
        <f>INDEX(Data[],MATCH($A259,Data[Dist],0),MATCH(B$4,Data[#Headers],0))</f>
        <v>Shenandoah</v>
      </c>
      <c r="C259" s="22">
        <f>INDEX(Data[],MATCH($A259,Data[Dist],0),MATCH(C$4,Data[#Headers],0))</f>
        <v>133033</v>
      </c>
      <c r="D259" s="22">
        <f>INDEX(Data[],MATCH($A259,Data[Dist],0),MATCH(D$4,Data[#Headers],0))</f>
        <v>720506</v>
      </c>
      <c r="E259" s="22">
        <f>INDEX(Data[],MATCH($A259,Data[Dist],0),MATCH(E$4,Data[#Headers],0))</f>
        <v>91240</v>
      </c>
      <c r="F259" s="22">
        <f>INDEX(Data[],MATCH($A259,Data[Dist],0),MATCH(F$4,Data[#Headers],0))</f>
        <v>78352</v>
      </c>
      <c r="G259" s="22">
        <f>INDEX(Data[],MATCH($A259,Data[Dist],0),MATCH(G$4,Data[#Headers],0))</f>
        <v>387067</v>
      </c>
      <c r="H259" s="22">
        <f>INDEX(Data[],MATCH($A259,Data[Dist],0),MATCH(H$4,Data[#Headers],0))</f>
        <v>5685856</v>
      </c>
      <c r="I259" s="22">
        <f>INDEX(Data[],MATCH($A259,Data[Dist],0),MATCH(I$4,Data[#Headers],0))</f>
        <v>7096054</v>
      </c>
      <c r="J259" s="23"/>
    </row>
    <row r="260" spans="1:10" x14ac:dyDescent="0.2">
      <c r="A260" s="20" t="str">
        <f>Data!B256</f>
        <v>5994</v>
      </c>
      <c r="B260" s="21" t="str">
        <f>INDEX(Data[],MATCH($A260,Data[Dist],0),MATCH(B$4,Data[#Headers],0))</f>
        <v>Sibley-Ocheyedan</v>
      </c>
      <c r="C260" s="22">
        <f>INDEX(Data[],MATCH($A260,Data[Dist],0),MATCH(C$4,Data[#Headers],0))</f>
        <v>155838</v>
      </c>
      <c r="D260" s="22">
        <f>INDEX(Data[],MATCH($A260,Data[Dist],0),MATCH(D$4,Data[#Headers],0))</f>
        <v>470936</v>
      </c>
      <c r="E260" s="22">
        <f>INDEX(Data[],MATCH($A260,Data[Dist],0),MATCH(E$4,Data[#Headers],0))</f>
        <v>55259</v>
      </c>
      <c r="F260" s="22">
        <f>INDEX(Data[],MATCH($A260,Data[Dist],0),MATCH(F$4,Data[#Headers],0))</f>
        <v>48478</v>
      </c>
      <c r="G260" s="22">
        <f>INDEX(Data[],MATCH($A260,Data[Dist],0),MATCH(G$4,Data[#Headers],0))</f>
        <v>254038</v>
      </c>
      <c r="H260" s="22">
        <f>INDEX(Data[],MATCH($A260,Data[Dist],0),MATCH(H$4,Data[#Headers],0))</f>
        <v>3466378</v>
      </c>
      <c r="I260" s="22">
        <f>INDEX(Data[],MATCH($A260,Data[Dist],0),MATCH(I$4,Data[#Headers],0))</f>
        <v>4450927</v>
      </c>
      <c r="J260" s="23"/>
    </row>
    <row r="261" spans="1:10" x14ac:dyDescent="0.2">
      <c r="A261" s="20" t="str">
        <f>Data!B257</f>
        <v>6003</v>
      </c>
      <c r="B261" s="21" t="str">
        <f>INDEX(Data[],MATCH($A261,Data[Dist],0),MATCH(B$4,Data[#Headers],0))</f>
        <v>Sidney</v>
      </c>
      <c r="C261" s="22">
        <f>INDEX(Data[],MATCH($A261,Data[Dist],0),MATCH(C$4,Data[#Headers],0))</f>
        <v>91222</v>
      </c>
      <c r="D261" s="22">
        <f>INDEX(Data[],MATCH($A261,Data[Dist],0),MATCH(D$4,Data[#Headers],0))</f>
        <v>280178</v>
      </c>
      <c r="E261" s="22">
        <f>INDEX(Data[],MATCH($A261,Data[Dist],0),MATCH(E$4,Data[#Headers],0))</f>
        <v>31760</v>
      </c>
      <c r="F261" s="22">
        <f>INDEX(Data[],MATCH($A261,Data[Dist],0),MATCH(F$4,Data[#Headers],0))</f>
        <v>29780</v>
      </c>
      <c r="G261" s="22">
        <f>INDEX(Data[],MATCH($A261,Data[Dist],0),MATCH(G$4,Data[#Headers],0))</f>
        <v>142253</v>
      </c>
      <c r="H261" s="22">
        <f>INDEX(Data[],MATCH($A261,Data[Dist],0),MATCH(H$4,Data[#Headers],0))</f>
        <v>2157299</v>
      </c>
      <c r="I261" s="22">
        <f>INDEX(Data[],MATCH($A261,Data[Dist],0),MATCH(I$4,Data[#Headers],0))</f>
        <v>2732492</v>
      </c>
      <c r="J261" s="23"/>
    </row>
    <row r="262" spans="1:10" x14ac:dyDescent="0.2">
      <c r="A262" s="20" t="str">
        <f>Data!B258</f>
        <v>6012</v>
      </c>
      <c r="B262" s="21" t="str">
        <f>INDEX(Data[],MATCH($A262,Data[Dist],0),MATCH(B$4,Data[#Headers],0))</f>
        <v>Sigourney</v>
      </c>
      <c r="C262" s="22">
        <f>INDEX(Data[],MATCH($A262,Data[Dist],0),MATCH(C$4,Data[#Headers],0))</f>
        <v>117829</v>
      </c>
      <c r="D262" s="22">
        <f>INDEX(Data[],MATCH($A262,Data[Dist],0),MATCH(D$4,Data[#Headers],0))</f>
        <v>385257</v>
      </c>
      <c r="E262" s="22">
        <f>INDEX(Data[],MATCH($A262,Data[Dist],0),MATCH(E$4,Data[#Headers],0))</f>
        <v>42477</v>
      </c>
      <c r="F262" s="22">
        <f>INDEX(Data[],MATCH($A262,Data[Dist],0),MATCH(F$4,Data[#Headers],0))</f>
        <v>40649</v>
      </c>
      <c r="G262" s="22">
        <f>INDEX(Data[],MATCH($A262,Data[Dist],0),MATCH(G$4,Data[#Headers],0))</f>
        <v>203539</v>
      </c>
      <c r="H262" s="22">
        <f>INDEX(Data[],MATCH($A262,Data[Dist],0),MATCH(H$4,Data[#Headers],0))</f>
        <v>3213920</v>
      </c>
      <c r="I262" s="22">
        <f>INDEX(Data[],MATCH($A262,Data[Dist],0),MATCH(I$4,Data[#Headers],0))</f>
        <v>4003671</v>
      </c>
      <c r="J262" s="23"/>
    </row>
    <row r="263" spans="1:10" x14ac:dyDescent="0.2">
      <c r="A263" s="20" t="str">
        <f>Data!B259</f>
        <v>6030</v>
      </c>
      <c r="B263" s="21" t="str">
        <f>INDEX(Data[],MATCH($A263,Data[Dist],0),MATCH(B$4,Data[#Headers],0))</f>
        <v>Sioux Center</v>
      </c>
      <c r="C263" s="22">
        <f>INDEX(Data[],MATCH($A263,Data[Dist],0),MATCH(C$4,Data[#Headers],0))</f>
        <v>513124</v>
      </c>
      <c r="D263" s="22">
        <f>INDEX(Data[],MATCH($A263,Data[Dist],0),MATCH(D$4,Data[#Headers],0))</f>
        <v>990534</v>
      </c>
      <c r="E263" s="22">
        <f>INDEX(Data[],MATCH($A263,Data[Dist],0),MATCH(E$4,Data[#Headers],0))</f>
        <v>132620</v>
      </c>
      <c r="F263" s="22">
        <f>INDEX(Data[],MATCH($A263,Data[Dist],0),MATCH(F$4,Data[#Headers],0))</f>
        <v>125689</v>
      </c>
      <c r="G263" s="22">
        <f>INDEX(Data[],MATCH($A263,Data[Dist],0),MATCH(G$4,Data[#Headers],0))</f>
        <v>552942</v>
      </c>
      <c r="H263" s="22">
        <f>INDEX(Data[],MATCH($A263,Data[Dist],0),MATCH(H$4,Data[#Headers],0))</f>
        <v>8765862</v>
      </c>
      <c r="I263" s="22">
        <f>INDEX(Data[],MATCH($A263,Data[Dist],0),MATCH(I$4,Data[#Headers],0))</f>
        <v>11080771</v>
      </c>
      <c r="J263" s="23"/>
    </row>
    <row r="264" spans="1:10" x14ac:dyDescent="0.2">
      <c r="A264" s="20" t="str">
        <f>Data!B260</f>
        <v>6039</v>
      </c>
      <c r="B264" s="21" t="str">
        <f>INDEX(Data[],MATCH($A264,Data[Dist],0),MATCH(B$4,Data[#Headers],0))</f>
        <v>Sioux City</v>
      </c>
      <c r="C264" s="22">
        <f>INDEX(Data[],MATCH($A264,Data[Dist],0),MATCH(C$4,Data[#Headers],0))</f>
        <v>2310956</v>
      </c>
      <c r="D264" s="22">
        <f>INDEX(Data[],MATCH($A264,Data[Dist],0),MATCH(D$4,Data[#Headers],0))</f>
        <v>9468343</v>
      </c>
      <c r="E264" s="22">
        <f>INDEX(Data[],MATCH($A264,Data[Dist],0),MATCH(E$4,Data[#Headers],0))</f>
        <v>1385119</v>
      </c>
      <c r="F264" s="22">
        <f>INDEX(Data[],MATCH($A264,Data[Dist],0),MATCH(F$4,Data[#Headers],0))</f>
        <v>1122460</v>
      </c>
      <c r="G264" s="22">
        <f>INDEX(Data[],MATCH($A264,Data[Dist],0),MATCH(G$4,Data[#Headers],0))</f>
        <v>5468801</v>
      </c>
      <c r="H264" s="22">
        <f>INDEX(Data[],MATCH($A264,Data[Dist],0),MATCH(H$4,Data[#Headers],0))</f>
        <v>110092494</v>
      </c>
      <c r="I264" s="22">
        <f>INDEX(Data[],MATCH($A264,Data[Dist],0),MATCH(I$4,Data[#Headers],0))</f>
        <v>129848173</v>
      </c>
      <c r="J264" s="23"/>
    </row>
    <row r="265" spans="1:10" x14ac:dyDescent="0.2">
      <c r="A265" s="20" t="str">
        <f>Data!B261</f>
        <v>6048</v>
      </c>
      <c r="B265" s="21" t="str">
        <f>INDEX(Data[],MATCH($A265,Data[Dist],0),MATCH(B$4,Data[#Headers],0))</f>
        <v>Sioux Central</v>
      </c>
      <c r="C265" s="22">
        <f>INDEX(Data[],MATCH($A265,Data[Dist],0),MATCH(C$4,Data[#Headers],0))</f>
        <v>129231</v>
      </c>
      <c r="D265" s="22">
        <f>INDEX(Data[],MATCH($A265,Data[Dist],0),MATCH(D$4,Data[#Headers],0))</f>
        <v>342043</v>
      </c>
      <c r="E265" s="22">
        <f>INDEX(Data[],MATCH($A265,Data[Dist],0),MATCH(E$4,Data[#Headers],0))</f>
        <v>36248</v>
      </c>
      <c r="F265" s="22">
        <f>INDEX(Data[],MATCH($A265,Data[Dist],0),MATCH(F$4,Data[#Headers],0))</f>
        <v>39139</v>
      </c>
      <c r="G265" s="22">
        <f>INDEX(Data[],MATCH($A265,Data[Dist],0),MATCH(G$4,Data[#Headers],0))</f>
        <v>162632</v>
      </c>
      <c r="H265" s="22">
        <f>INDEX(Data[],MATCH($A265,Data[Dist],0),MATCH(H$4,Data[#Headers],0))</f>
        <v>1999001</v>
      </c>
      <c r="I265" s="22">
        <f>INDEX(Data[],MATCH($A265,Data[Dist],0),MATCH(I$4,Data[#Headers],0))</f>
        <v>2708294</v>
      </c>
      <c r="J265" s="23"/>
    </row>
    <row r="266" spans="1:10" x14ac:dyDescent="0.2">
      <c r="A266" s="20" t="str">
        <f>Data!B262</f>
        <v>6091</v>
      </c>
      <c r="B266" s="21" t="str">
        <f>INDEX(Data[],MATCH($A266,Data[Dist],0),MATCH(B$4,Data[#Headers],0))</f>
        <v>South Central Calhoun</v>
      </c>
      <c r="C266" s="22">
        <f>INDEX(Data[],MATCH($A266,Data[Dist],0),MATCH(C$4,Data[#Headers],0))</f>
        <v>193847</v>
      </c>
      <c r="D266" s="22">
        <f>INDEX(Data[],MATCH($A266,Data[Dist],0),MATCH(D$4,Data[#Headers],0))</f>
        <v>667220</v>
      </c>
      <c r="E266" s="22">
        <f>INDEX(Data[],MATCH($A266,Data[Dist],0),MATCH(E$4,Data[#Headers],0))</f>
        <v>73017</v>
      </c>
      <c r="F266" s="22">
        <f>INDEX(Data[],MATCH($A266,Data[Dist],0),MATCH(F$4,Data[#Headers],0))</f>
        <v>68913</v>
      </c>
      <c r="G266" s="22">
        <f>INDEX(Data[],MATCH($A266,Data[Dist],0),MATCH(G$4,Data[#Headers],0))</f>
        <v>342180</v>
      </c>
      <c r="H266" s="22">
        <f>INDEX(Data[],MATCH($A266,Data[Dist],0),MATCH(H$4,Data[#Headers],0))</f>
        <v>3910313</v>
      </c>
      <c r="I266" s="22">
        <f>INDEX(Data[],MATCH($A266,Data[Dist],0),MATCH(I$4,Data[#Headers],0))</f>
        <v>5255490</v>
      </c>
      <c r="J266" s="23"/>
    </row>
    <row r="267" spans="1:10" x14ac:dyDescent="0.2">
      <c r="A267" s="20" t="str">
        <f>Data!B263</f>
        <v>6093</v>
      </c>
      <c r="B267" s="21" t="str">
        <f>INDEX(Data[],MATCH($A267,Data[Dist],0),MATCH(B$4,Data[#Headers],0))</f>
        <v>Solon</v>
      </c>
      <c r="C267" s="22">
        <f>INDEX(Data[],MATCH($A267,Data[Dist],0),MATCH(C$4,Data[#Headers],0))</f>
        <v>235657</v>
      </c>
      <c r="D267" s="22">
        <f>INDEX(Data[],MATCH($A267,Data[Dist],0),MATCH(D$4,Data[#Headers],0))</f>
        <v>913637</v>
      </c>
      <c r="E267" s="22">
        <f>INDEX(Data[],MATCH($A267,Data[Dist],0),MATCH(E$4,Data[#Headers],0))</f>
        <v>89386</v>
      </c>
      <c r="F267" s="22">
        <f>INDEX(Data[],MATCH($A267,Data[Dist],0),MATCH(F$4,Data[#Headers],0))</f>
        <v>95583</v>
      </c>
      <c r="G267" s="22">
        <f>INDEX(Data[],MATCH($A267,Data[Dist],0),MATCH(G$4,Data[#Headers],0))</f>
        <v>534848</v>
      </c>
      <c r="H267" s="22">
        <f>INDEX(Data[],MATCH($A267,Data[Dist],0),MATCH(H$4,Data[#Headers],0))</f>
        <v>7553377</v>
      </c>
      <c r="I267" s="22">
        <f>INDEX(Data[],MATCH($A267,Data[Dist],0),MATCH(I$4,Data[#Headers],0))</f>
        <v>9422488</v>
      </c>
      <c r="J267" s="23"/>
    </row>
    <row r="268" spans="1:10" x14ac:dyDescent="0.2">
      <c r="A268" s="20" t="str">
        <f>Data!B264</f>
        <v>6094</v>
      </c>
      <c r="B268" s="21" t="str">
        <f>INDEX(Data[],MATCH($A268,Data[Dist],0),MATCH(B$4,Data[#Headers],0))</f>
        <v>Southeast Warren</v>
      </c>
      <c r="C268" s="22">
        <f>INDEX(Data[],MATCH($A268,Data[Dist],0),MATCH(C$4,Data[#Headers],0))</f>
        <v>79820</v>
      </c>
      <c r="D268" s="22">
        <f>INDEX(Data[],MATCH($A268,Data[Dist],0),MATCH(D$4,Data[#Headers],0))</f>
        <v>344061</v>
      </c>
      <c r="E268" s="22">
        <f>INDEX(Data[],MATCH($A268,Data[Dist],0),MATCH(E$4,Data[#Headers],0))</f>
        <v>35626</v>
      </c>
      <c r="F268" s="22">
        <f>INDEX(Data[],MATCH($A268,Data[Dist],0),MATCH(F$4,Data[#Headers],0))</f>
        <v>36562</v>
      </c>
      <c r="G268" s="22">
        <f>INDEX(Data[],MATCH($A268,Data[Dist],0),MATCH(G$4,Data[#Headers],0))</f>
        <v>190171</v>
      </c>
      <c r="H268" s="22">
        <f>INDEX(Data[],MATCH($A268,Data[Dist],0),MATCH(H$4,Data[#Headers],0))</f>
        <v>3082476</v>
      </c>
      <c r="I268" s="22">
        <f>INDEX(Data[],MATCH($A268,Data[Dist],0),MATCH(I$4,Data[#Headers],0))</f>
        <v>3768716</v>
      </c>
      <c r="J268" s="23"/>
    </row>
    <row r="269" spans="1:10" x14ac:dyDescent="0.2">
      <c r="A269" s="20" t="str">
        <f>Data!B265</f>
        <v>6095</v>
      </c>
      <c r="B269" s="21" t="str">
        <f>INDEX(Data[],MATCH($A269,Data[Dist],0),MATCH(B$4,Data[#Headers],0))</f>
        <v>South Hamilton</v>
      </c>
      <c r="C269" s="22">
        <f>INDEX(Data[],MATCH($A269,Data[Dist],0),MATCH(C$4,Data[#Headers],0))</f>
        <v>133033</v>
      </c>
      <c r="D269" s="22">
        <f>INDEX(Data[],MATCH($A269,Data[Dist],0),MATCH(D$4,Data[#Headers],0))</f>
        <v>451105</v>
      </c>
      <c r="E269" s="22">
        <f>INDEX(Data[],MATCH($A269,Data[Dist],0),MATCH(E$4,Data[#Headers],0))</f>
        <v>51283</v>
      </c>
      <c r="F269" s="22">
        <f>INDEX(Data[],MATCH($A269,Data[Dist],0),MATCH(F$4,Data[#Headers],0))</f>
        <v>53107</v>
      </c>
      <c r="G269" s="22">
        <f>INDEX(Data[],MATCH($A269,Data[Dist],0),MATCH(G$4,Data[#Headers],0))</f>
        <v>230958</v>
      </c>
      <c r="H269" s="22">
        <f>INDEX(Data[],MATCH($A269,Data[Dist],0),MATCH(H$4,Data[#Headers],0))</f>
        <v>2736991</v>
      </c>
      <c r="I269" s="22">
        <f>INDEX(Data[],MATCH($A269,Data[Dist],0),MATCH(I$4,Data[#Headers],0))</f>
        <v>3656477</v>
      </c>
      <c r="J269" s="23"/>
    </row>
    <row r="270" spans="1:10" x14ac:dyDescent="0.2">
      <c r="A270" s="20" t="str">
        <f>Data!B266</f>
        <v>6096</v>
      </c>
      <c r="B270" s="21" t="str">
        <f>INDEX(Data[],MATCH($A270,Data[Dist],0),MATCH(B$4,Data[#Headers],0))</f>
        <v>Southeast Valley</v>
      </c>
      <c r="C270" s="22">
        <f>INDEX(Data[],MATCH($A270,Data[Dist],0),MATCH(C$4,Data[#Headers],0))</f>
        <v>182444</v>
      </c>
      <c r="D270" s="22">
        <f>INDEX(Data[],MATCH($A270,Data[Dist],0),MATCH(D$4,Data[#Headers],0))</f>
        <v>783264</v>
      </c>
      <c r="E270" s="22">
        <f>INDEX(Data[],MATCH($A270,Data[Dist],0),MATCH(E$4,Data[#Headers],0))</f>
        <v>89388</v>
      </c>
      <c r="F270" s="22">
        <f>INDEX(Data[],MATCH($A270,Data[Dist],0),MATCH(F$4,Data[#Headers],0))</f>
        <v>92243</v>
      </c>
      <c r="G270" s="22">
        <f>INDEX(Data[],MATCH($A270,Data[Dist],0),MATCH(G$4,Data[#Headers],0))</f>
        <v>403061</v>
      </c>
      <c r="H270" s="22">
        <f>INDEX(Data[],MATCH($A270,Data[Dist],0),MATCH(H$4,Data[#Headers],0))</f>
        <v>5460200</v>
      </c>
      <c r="I270" s="22">
        <f>INDEX(Data[],MATCH($A270,Data[Dist],0),MATCH(I$4,Data[#Headers],0))</f>
        <v>7010600</v>
      </c>
      <c r="J270" s="23"/>
    </row>
    <row r="271" spans="1:10" x14ac:dyDescent="0.2">
      <c r="A271" s="20" t="str">
        <f>Data!B267</f>
        <v>6097</v>
      </c>
      <c r="B271" s="21" t="str">
        <f>INDEX(Data[],MATCH($A271,Data[Dist],0),MATCH(B$4,Data[#Headers],0))</f>
        <v>South Page</v>
      </c>
      <c r="C271" s="22">
        <f>INDEX(Data[],MATCH($A271,Data[Dist],0),MATCH(C$4,Data[#Headers],0))</f>
        <v>7602</v>
      </c>
      <c r="D271" s="22">
        <f>INDEX(Data[],MATCH($A271,Data[Dist],0),MATCH(D$4,Data[#Headers],0))</f>
        <v>148490</v>
      </c>
      <c r="E271" s="22">
        <f>INDEX(Data[],MATCH($A271,Data[Dist],0),MATCH(E$4,Data[#Headers],0))</f>
        <v>12769</v>
      </c>
      <c r="F271" s="22">
        <f>INDEX(Data[],MATCH($A271,Data[Dist],0),MATCH(F$4,Data[#Headers],0))</f>
        <v>15088</v>
      </c>
      <c r="G271" s="22">
        <f>INDEX(Data[],MATCH($A271,Data[Dist],0),MATCH(G$4,Data[#Headers],0))</f>
        <v>72669</v>
      </c>
      <c r="H271" s="22">
        <f>INDEX(Data[],MATCH($A271,Data[Dist],0),MATCH(H$4,Data[#Headers],0))</f>
        <v>973782</v>
      </c>
      <c r="I271" s="22">
        <f>INDEX(Data[],MATCH($A271,Data[Dist],0),MATCH(I$4,Data[#Headers],0))</f>
        <v>1230400</v>
      </c>
      <c r="J271" s="23"/>
    </row>
    <row r="272" spans="1:10" x14ac:dyDescent="0.2">
      <c r="A272" s="20" t="str">
        <f>Data!B268</f>
        <v>6098</v>
      </c>
      <c r="B272" s="21" t="str">
        <f>INDEX(Data[],MATCH($A272,Data[Dist],0),MATCH(B$4,Data[#Headers],0))</f>
        <v>South Tama</v>
      </c>
      <c r="C272" s="22">
        <f>INDEX(Data[],MATCH($A272,Data[Dist],0),MATCH(C$4,Data[#Headers],0))</f>
        <v>262264</v>
      </c>
      <c r="D272" s="22">
        <f>INDEX(Data[],MATCH($A272,Data[Dist],0),MATCH(D$4,Data[#Headers],0))</f>
        <v>974896</v>
      </c>
      <c r="E272" s="22">
        <f>INDEX(Data[],MATCH($A272,Data[Dist],0),MATCH(E$4,Data[#Headers],0))</f>
        <v>126430</v>
      </c>
      <c r="F272" s="22">
        <f>INDEX(Data[],MATCH($A272,Data[Dist],0),MATCH(F$4,Data[#Headers],0))</f>
        <v>102534</v>
      </c>
      <c r="G272" s="22">
        <f>INDEX(Data[],MATCH($A272,Data[Dist],0),MATCH(G$4,Data[#Headers],0))</f>
        <v>533410</v>
      </c>
      <c r="H272" s="22">
        <f>INDEX(Data[],MATCH($A272,Data[Dist],0),MATCH(H$4,Data[#Headers],0))</f>
        <v>9701021</v>
      </c>
      <c r="I272" s="22">
        <f>INDEX(Data[],MATCH($A272,Data[Dist],0),MATCH(I$4,Data[#Headers],0))</f>
        <v>11700555</v>
      </c>
      <c r="J272" s="23"/>
    </row>
    <row r="273" spans="1:10" x14ac:dyDescent="0.2">
      <c r="A273" s="20" t="str">
        <f>Data!B269</f>
        <v>6100</v>
      </c>
      <c r="B273" s="21" t="str">
        <f>INDEX(Data[],MATCH($A273,Data[Dist],0),MATCH(B$4,Data[#Headers],0))</f>
        <v>South Winneshiek</v>
      </c>
      <c r="C273" s="22">
        <f>INDEX(Data[],MATCH($A273,Data[Dist],0),MATCH(C$4,Data[#Headers],0))</f>
        <v>197648</v>
      </c>
      <c r="D273" s="22">
        <f>INDEX(Data[],MATCH($A273,Data[Dist],0),MATCH(D$4,Data[#Headers],0))</f>
        <v>348612</v>
      </c>
      <c r="E273" s="22">
        <f>INDEX(Data[],MATCH($A273,Data[Dist],0),MATCH(E$4,Data[#Headers],0))</f>
        <v>31839</v>
      </c>
      <c r="F273" s="22">
        <f>INDEX(Data[],MATCH($A273,Data[Dist],0),MATCH(F$4,Data[#Headers],0))</f>
        <v>40060</v>
      </c>
      <c r="G273" s="22">
        <f>INDEX(Data[],MATCH($A273,Data[Dist],0),MATCH(G$4,Data[#Headers],0))</f>
        <v>190419</v>
      </c>
      <c r="H273" s="22">
        <f>INDEX(Data[],MATCH($A273,Data[Dist],0),MATCH(H$4,Data[#Headers],0))</f>
        <v>2721381</v>
      </c>
      <c r="I273" s="22">
        <f>INDEX(Data[],MATCH($A273,Data[Dist],0),MATCH(I$4,Data[#Headers],0))</f>
        <v>3529959</v>
      </c>
      <c r="J273" s="23"/>
    </row>
    <row r="274" spans="1:10" x14ac:dyDescent="0.2">
      <c r="A274" s="20" t="str">
        <f>Data!B270</f>
        <v>6101</v>
      </c>
      <c r="B274" s="21" t="str">
        <f>INDEX(Data[],MATCH($A274,Data[Dist],0),MATCH(B$4,Data[#Headers],0))</f>
        <v>Southeast Polk</v>
      </c>
      <c r="C274" s="22">
        <f>INDEX(Data[],MATCH($A274,Data[Dist],0),MATCH(C$4,Data[#Headers],0))</f>
        <v>1052854</v>
      </c>
      <c r="D274" s="22">
        <f>INDEX(Data[],MATCH($A274,Data[Dist],0),MATCH(D$4,Data[#Headers],0))</f>
        <v>4476733</v>
      </c>
      <c r="E274" s="22">
        <f>INDEX(Data[],MATCH($A274,Data[Dist],0),MATCH(E$4,Data[#Headers],0))</f>
        <v>513712</v>
      </c>
      <c r="F274" s="22">
        <f>INDEX(Data[],MATCH($A274,Data[Dist],0),MATCH(F$4,Data[#Headers],0))</f>
        <v>511909</v>
      </c>
      <c r="G274" s="22">
        <f>INDEX(Data[],MATCH($A274,Data[Dist],0),MATCH(G$4,Data[#Headers],0))</f>
        <v>2657470</v>
      </c>
      <c r="H274" s="22">
        <f>INDEX(Data[],MATCH($A274,Data[Dist],0),MATCH(H$4,Data[#Headers],0))</f>
        <v>44634711</v>
      </c>
      <c r="I274" s="22">
        <f>INDEX(Data[],MATCH($A274,Data[Dist],0),MATCH(I$4,Data[#Headers],0))</f>
        <v>53847389</v>
      </c>
      <c r="J274" s="23"/>
    </row>
    <row r="275" spans="1:10" x14ac:dyDescent="0.2">
      <c r="A275" s="20" t="str">
        <f>Data!B271</f>
        <v>6102</v>
      </c>
      <c r="B275" s="21" t="str">
        <f>INDEX(Data[],MATCH($A275,Data[Dist],0),MATCH(B$4,Data[#Headers],0))</f>
        <v>Spencer</v>
      </c>
      <c r="C275" s="22">
        <f>INDEX(Data[],MATCH($A275,Data[Dist],0),MATCH(C$4,Data[#Headers],0))</f>
        <v>615748</v>
      </c>
      <c r="D275" s="22">
        <f>INDEX(Data[],MATCH($A275,Data[Dist],0),MATCH(D$4,Data[#Headers],0))</f>
        <v>1342430</v>
      </c>
      <c r="E275" s="22">
        <f>INDEX(Data[],MATCH($A275,Data[Dist],0),MATCH(E$4,Data[#Headers],0))</f>
        <v>159776</v>
      </c>
      <c r="F275" s="22">
        <f>INDEX(Data[],MATCH($A275,Data[Dist],0),MATCH(F$4,Data[#Headers],0))</f>
        <v>161072</v>
      </c>
      <c r="G275" s="22">
        <f>INDEX(Data[],MATCH($A275,Data[Dist],0),MATCH(G$4,Data[#Headers],0))</f>
        <v>746384</v>
      </c>
      <c r="H275" s="22">
        <f>INDEX(Data[],MATCH($A275,Data[Dist],0),MATCH(H$4,Data[#Headers],0))</f>
        <v>12634362</v>
      </c>
      <c r="I275" s="22">
        <f>INDEX(Data[],MATCH($A275,Data[Dist],0),MATCH(I$4,Data[#Headers],0))</f>
        <v>15659772</v>
      </c>
      <c r="J275" s="23"/>
    </row>
    <row r="276" spans="1:10" x14ac:dyDescent="0.2">
      <c r="A276" s="20" t="str">
        <f>Data!B272</f>
        <v>6120</v>
      </c>
      <c r="B276" s="21" t="str">
        <f>INDEX(Data[],MATCH($A276,Data[Dist],0),MATCH(B$4,Data[#Headers],0))</f>
        <v>Spirit Lake</v>
      </c>
      <c r="C276" s="22">
        <f>INDEX(Data[],MATCH($A276,Data[Dist],0),MATCH(C$4,Data[#Headers],0))</f>
        <v>285069</v>
      </c>
      <c r="D276" s="22">
        <f>INDEX(Data[],MATCH($A276,Data[Dist],0),MATCH(D$4,Data[#Headers],0))</f>
        <v>768023</v>
      </c>
      <c r="E276" s="22">
        <f>INDEX(Data[],MATCH($A276,Data[Dist],0),MATCH(E$4,Data[#Headers],0))</f>
        <v>87873</v>
      </c>
      <c r="F276" s="22">
        <f>INDEX(Data[],MATCH($A276,Data[Dist],0),MATCH(F$4,Data[#Headers],0))</f>
        <v>90664</v>
      </c>
      <c r="G276" s="22">
        <f>INDEX(Data[],MATCH($A276,Data[Dist],0),MATCH(G$4,Data[#Headers],0))</f>
        <v>430406</v>
      </c>
      <c r="H276" s="22">
        <f>INDEX(Data[],MATCH($A276,Data[Dist],0),MATCH(H$4,Data[#Headers],0))</f>
        <v>1433491</v>
      </c>
      <c r="I276" s="22">
        <f>INDEX(Data[],MATCH($A276,Data[Dist],0),MATCH(I$4,Data[#Headers],0))</f>
        <v>3095526</v>
      </c>
      <c r="J276" s="23"/>
    </row>
    <row r="277" spans="1:10" x14ac:dyDescent="0.2">
      <c r="A277" s="20" t="str">
        <f>Data!B273</f>
        <v>6138</v>
      </c>
      <c r="B277" s="21" t="str">
        <f>INDEX(Data[],MATCH($A277,Data[Dist],0),MATCH(B$4,Data[#Headers],0))</f>
        <v>Springville</v>
      </c>
      <c r="C277" s="22">
        <f>INDEX(Data[],MATCH($A277,Data[Dist],0),MATCH(C$4,Data[#Headers],0))</f>
        <v>98824</v>
      </c>
      <c r="D277" s="22">
        <f>INDEX(Data[],MATCH($A277,Data[Dist],0),MATCH(D$4,Data[#Headers],0))</f>
        <v>285438</v>
      </c>
      <c r="E277" s="22">
        <f>INDEX(Data[],MATCH($A277,Data[Dist],0),MATCH(E$4,Data[#Headers],0))</f>
        <v>26248</v>
      </c>
      <c r="F277" s="22">
        <f>INDEX(Data[],MATCH($A277,Data[Dist],0),MATCH(F$4,Data[#Headers],0))</f>
        <v>27851</v>
      </c>
      <c r="G277" s="22">
        <f>INDEX(Data[],MATCH($A277,Data[Dist],0),MATCH(G$4,Data[#Headers],0))</f>
        <v>149881</v>
      </c>
      <c r="H277" s="22">
        <f>INDEX(Data[],MATCH($A277,Data[Dist],0),MATCH(H$4,Data[#Headers],0))</f>
        <v>2266777</v>
      </c>
      <c r="I277" s="22">
        <f>INDEX(Data[],MATCH($A277,Data[Dist],0),MATCH(I$4,Data[#Headers],0))</f>
        <v>2855019</v>
      </c>
      <c r="J277" s="23"/>
    </row>
    <row r="278" spans="1:10" x14ac:dyDescent="0.2">
      <c r="A278" s="20" t="str">
        <f>Data!B274</f>
        <v>6165</v>
      </c>
      <c r="B278" s="21" t="str">
        <f>INDEX(Data[],MATCH($A278,Data[Dist],0),MATCH(B$4,Data[#Headers],0))</f>
        <v>Stanton</v>
      </c>
      <c r="C278" s="22">
        <f>INDEX(Data[],MATCH($A278,Data[Dist],0),MATCH(C$4,Data[#Headers],0))</f>
        <v>87422</v>
      </c>
      <c r="D278" s="22">
        <f>INDEX(Data[],MATCH($A278,Data[Dist],0),MATCH(D$4,Data[#Headers],0))</f>
        <v>146982</v>
      </c>
      <c r="E278" s="22">
        <f>INDEX(Data[],MATCH($A278,Data[Dist],0),MATCH(E$4,Data[#Headers],0))</f>
        <v>15025</v>
      </c>
      <c r="F278" s="22">
        <f>INDEX(Data[],MATCH($A278,Data[Dist],0),MATCH(F$4,Data[#Headers],0))</f>
        <v>18039</v>
      </c>
      <c r="G278" s="22">
        <f>INDEX(Data[],MATCH($A278,Data[Dist],0),MATCH(G$4,Data[#Headers],0))</f>
        <v>72600</v>
      </c>
      <c r="H278" s="22">
        <f>INDEX(Data[],MATCH($A278,Data[Dist],0),MATCH(H$4,Data[#Headers],0))</f>
        <v>1171457</v>
      </c>
      <c r="I278" s="22">
        <f>INDEX(Data[],MATCH($A278,Data[Dist],0),MATCH(I$4,Data[#Headers],0))</f>
        <v>1511525</v>
      </c>
      <c r="J278" s="23"/>
    </row>
    <row r="279" spans="1:10" x14ac:dyDescent="0.2">
      <c r="A279" s="20" t="str">
        <f>Data!B275</f>
        <v>6175</v>
      </c>
      <c r="B279" s="21" t="str">
        <f>INDEX(Data[],MATCH($A279,Data[Dist],0),MATCH(B$4,Data[#Headers],0))</f>
        <v>Starmont</v>
      </c>
      <c r="C279" s="22">
        <f>INDEX(Data[],MATCH($A279,Data[Dist],0),MATCH(C$4,Data[#Headers],0))</f>
        <v>114027</v>
      </c>
      <c r="D279" s="22">
        <f>INDEX(Data[],MATCH($A279,Data[Dist],0),MATCH(D$4,Data[#Headers],0))</f>
        <v>418026</v>
      </c>
      <c r="E279" s="22">
        <f>INDEX(Data[],MATCH($A279,Data[Dist],0),MATCH(E$4,Data[#Headers],0))</f>
        <v>51355</v>
      </c>
      <c r="F279" s="22">
        <f>INDEX(Data[],MATCH($A279,Data[Dist],0),MATCH(F$4,Data[#Headers],0))</f>
        <v>46445</v>
      </c>
      <c r="G279" s="22">
        <f>INDEX(Data[],MATCH($A279,Data[Dist],0),MATCH(G$4,Data[#Headers],0))</f>
        <v>216326</v>
      </c>
      <c r="H279" s="22">
        <f>INDEX(Data[],MATCH($A279,Data[Dist],0),MATCH(H$4,Data[#Headers],0))</f>
        <v>3234724</v>
      </c>
      <c r="I279" s="22">
        <f>INDEX(Data[],MATCH($A279,Data[Dist],0),MATCH(I$4,Data[#Headers],0))</f>
        <v>4080903</v>
      </c>
      <c r="J279" s="23"/>
    </row>
    <row r="280" spans="1:10" x14ac:dyDescent="0.2">
      <c r="A280" s="20" t="str">
        <f>Data!B276</f>
        <v>6219</v>
      </c>
      <c r="B280" s="21" t="str">
        <f>INDEX(Data[],MATCH($A280,Data[Dist],0),MATCH(B$4,Data[#Headers],0))</f>
        <v>Storm Lake</v>
      </c>
      <c r="C280" s="22">
        <f>INDEX(Data[],MATCH($A280,Data[Dist],0),MATCH(C$4,Data[#Headers],0))</f>
        <v>634753</v>
      </c>
      <c r="D280" s="22">
        <f>INDEX(Data[],MATCH($A280,Data[Dist],0),MATCH(D$4,Data[#Headers],0))</f>
        <v>1623098</v>
      </c>
      <c r="E280" s="22">
        <f>INDEX(Data[],MATCH($A280,Data[Dist],0),MATCH(E$4,Data[#Headers],0))</f>
        <v>235195</v>
      </c>
      <c r="F280" s="22">
        <f>INDEX(Data[],MATCH($A280,Data[Dist],0),MATCH(F$4,Data[#Headers],0))</f>
        <v>186764</v>
      </c>
      <c r="G280" s="22">
        <f>INDEX(Data[],MATCH($A280,Data[Dist],0),MATCH(G$4,Data[#Headers],0))</f>
        <v>933007</v>
      </c>
      <c r="H280" s="22">
        <f>INDEX(Data[],MATCH($A280,Data[Dist],0),MATCH(H$4,Data[#Headers],0))</f>
        <v>19159748</v>
      </c>
      <c r="I280" s="22">
        <f>INDEX(Data[],MATCH($A280,Data[Dist],0),MATCH(I$4,Data[#Headers],0))</f>
        <v>22772565</v>
      </c>
      <c r="J280" s="23"/>
    </row>
    <row r="281" spans="1:10" x14ac:dyDescent="0.2">
      <c r="A281" s="20" t="str">
        <f>Data!B277</f>
        <v>6246</v>
      </c>
      <c r="B281" s="21" t="str">
        <f>INDEX(Data[],MATCH($A281,Data[Dist],0),MATCH(B$4,Data[#Headers],0))</f>
        <v>Stratford</v>
      </c>
      <c r="C281" s="22">
        <f>INDEX(Data[],MATCH($A281,Data[Dist],0),MATCH(C$4,Data[#Headers],0))</f>
        <v>64616</v>
      </c>
      <c r="D281" s="22">
        <f>INDEX(Data[],MATCH($A281,Data[Dist],0),MATCH(D$4,Data[#Headers],0))</f>
        <v>84129</v>
      </c>
      <c r="E281" s="22">
        <f>INDEX(Data[],MATCH($A281,Data[Dist],0),MATCH(E$4,Data[#Headers],0))</f>
        <v>9473</v>
      </c>
      <c r="F281" s="22">
        <f>INDEX(Data[],MATCH($A281,Data[Dist],0),MATCH(F$4,Data[#Headers],0))</f>
        <v>8361</v>
      </c>
      <c r="G281" s="22">
        <f>INDEX(Data[],MATCH($A281,Data[Dist],0),MATCH(G$4,Data[#Headers],0))</f>
        <v>48941</v>
      </c>
      <c r="H281" s="22">
        <f>INDEX(Data[],MATCH($A281,Data[Dist],0),MATCH(H$4,Data[#Headers],0))</f>
        <v>701087</v>
      </c>
      <c r="I281" s="22">
        <f>INDEX(Data[],MATCH($A281,Data[Dist],0),MATCH(I$4,Data[#Headers],0))</f>
        <v>916607</v>
      </c>
      <c r="J281" s="23"/>
    </row>
    <row r="282" spans="1:10" x14ac:dyDescent="0.2">
      <c r="A282" s="20" t="str">
        <f>Data!B278</f>
        <v>6264</v>
      </c>
      <c r="B282" s="21" t="str">
        <f>INDEX(Data[],MATCH($A282,Data[Dist],0),MATCH(B$4,Data[#Headers],0))</f>
        <v>West Central Valley</v>
      </c>
      <c r="C282" s="22">
        <f>INDEX(Data[],MATCH($A282,Data[Dist],0),MATCH(C$4,Data[#Headers],0))</f>
        <v>186245</v>
      </c>
      <c r="D282" s="22">
        <f>INDEX(Data[],MATCH($A282,Data[Dist],0),MATCH(D$4,Data[#Headers],0))</f>
        <v>634094</v>
      </c>
      <c r="E282" s="22">
        <f>INDEX(Data[],MATCH($A282,Data[Dist],0),MATCH(E$4,Data[#Headers],0))</f>
        <v>69638</v>
      </c>
      <c r="F282" s="22">
        <f>INDEX(Data[],MATCH($A282,Data[Dist],0),MATCH(F$4,Data[#Headers],0))</f>
        <v>63140</v>
      </c>
      <c r="G282" s="22">
        <f>INDEX(Data[],MATCH($A282,Data[Dist],0),MATCH(G$4,Data[#Headers],0))</f>
        <v>349072</v>
      </c>
      <c r="H282" s="22">
        <f>INDEX(Data[],MATCH($A282,Data[Dist],0),MATCH(H$4,Data[#Headers],0))</f>
        <v>4208670</v>
      </c>
      <c r="I282" s="22">
        <f>INDEX(Data[],MATCH($A282,Data[Dist],0),MATCH(I$4,Data[#Headers],0))</f>
        <v>5510859</v>
      </c>
      <c r="J282" s="23"/>
    </row>
    <row r="283" spans="1:10" x14ac:dyDescent="0.2">
      <c r="A283" s="20" t="str">
        <f>Data!B279</f>
        <v>6273</v>
      </c>
      <c r="B283" s="21" t="str">
        <f>INDEX(Data[],MATCH($A283,Data[Dist],0),MATCH(B$4,Data[#Headers],0))</f>
        <v>Sumner-Fredericksburg</v>
      </c>
      <c r="C283" s="22">
        <f>INDEX(Data[],MATCH($A283,Data[Dist],0),MATCH(C$4,Data[#Headers],0))</f>
        <v>171042</v>
      </c>
      <c r="D283" s="22">
        <f>INDEX(Data[],MATCH($A283,Data[Dist],0),MATCH(D$4,Data[#Headers],0))</f>
        <v>517310</v>
      </c>
      <c r="E283" s="22">
        <f>INDEX(Data[],MATCH($A283,Data[Dist],0),MATCH(E$4,Data[#Headers],0))</f>
        <v>53780</v>
      </c>
      <c r="F283" s="22">
        <f>INDEX(Data[],MATCH($A283,Data[Dist],0),MATCH(F$4,Data[#Headers],0))</f>
        <v>57089</v>
      </c>
      <c r="G283" s="22">
        <f>INDEX(Data[],MATCH($A283,Data[Dist],0),MATCH(G$4,Data[#Headers],0))</f>
        <v>283621</v>
      </c>
      <c r="H283" s="22">
        <f>INDEX(Data[],MATCH($A283,Data[Dist],0),MATCH(H$4,Data[#Headers],0))</f>
        <v>4071960</v>
      </c>
      <c r="I283" s="22">
        <f>INDEX(Data[],MATCH($A283,Data[Dist],0),MATCH(I$4,Data[#Headers],0))</f>
        <v>5154802</v>
      </c>
      <c r="J283" s="23"/>
    </row>
    <row r="284" spans="1:10" x14ac:dyDescent="0.2">
      <c r="A284" s="20" t="str">
        <f>Data!B280</f>
        <v>6408</v>
      </c>
      <c r="B284" s="21" t="str">
        <f>INDEX(Data[],MATCH($A284,Data[Dist],0),MATCH(B$4,Data[#Headers],0))</f>
        <v>Tipton</v>
      </c>
      <c r="C284" s="22">
        <f>INDEX(Data[],MATCH($A284,Data[Dist],0),MATCH(C$4,Data[#Headers],0))</f>
        <v>121629</v>
      </c>
      <c r="D284" s="22">
        <f>INDEX(Data[],MATCH($A284,Data[Dist],0),MATCH(D$4,Data[#Headers],0))</f>
        <v>533973</v>
      </c>
      <c r="E284" s="22">
        <f>INDEX(Data[],MATCH($A284,Data[Dist],0),MATCH(E$4,Data[#Headers],0))</f>
        <v>62948</v>
      </c>
      <c r="F284" s="22">
        <f>INDEX(Data[],MATCH($A284,Data[Dist],0),MATCH(F$4,Data[#Headers],0))</f>
        <v>57230</v>
      </c>
      <c r="G284" s="22">
        <f>INDEX(Data[],MATCH($A284,Data[Dist],0),MATCH(G$4,Data[#Headers],0))</f>
        <v>305401</v>
      </c>
      <c r="H284" s="22">
        <f>INDEX(Data[],MATCH($A284,Data[Dist],0),MATCH(H$4,Data[#Headers],0))</f>
        <v>4780780</v>
      </c>
      <c r="I284" s="22">
        <f>INDEX(Data[],MATCH($A284,Data[Dist],0),MATCH(I$4,Data[#Headers],0))</f>
        <v>5861961</v>
      </c>
      <c r="J284" s="23"/>
    </row>
    <row r="285" spans="1:10" x14ac:dyDescent="0.2">
      <c r="A285" s="20" t="str">
        <f>Data!B281</f>
        <v>6453</v>
      </c>
      <c r="B285" s="21" t="str">
        <f>INDEX(Data[],MATCH($A285,Data[Dist],0),MATCH(B$4,Data[#Headers],0))</f>
        <v>Treynor</v>
      </c>
      <c r="C285" s="22">
        <f>INDEX(Data[],MATCH($A285,Data[Dist],0),MATCH(C$4,Data[#Headers],0))</f>
        <v>0</v>
      </c>
      <c r="D285" s="22">
        <f>INDEX(Data[],MATCH($A285,Data[Dist],0),MATCH(D$4,Data[#Headers],0))</f>
        <v>380702</v>
      </c>
      <c r="E285" s="22">
        <f>INDEX(Data[],MATCH($A285,Data[Dist],0),MATCH(E$4,Data[#Headers],0))</f>
        <v>42392</v>
      </c>
      <c r="F285" s="22">
        <f>INDEX(Data[],MATCH($A285,Data[Dist],0),MATCH(F$4,Data[#Headers],0))</f>
        <v>40333</v>
      </c>
      <c r="G285" s="22">
        <f>INDEX(Data[],MATCH($A285,Data[Dist],0),MATCH(G$4,Data[#Headers],0))</f>
        <v>211978</v>
      </c>
      <c r="H285" s="22">
        <f>INDEX(Data[],MATCH($A285,Data[Dist],0),MATCH(H$4,Data[#Headers],0))</f>
        <v>2738143</v>
      </c>
      <c r="I285" s="22">
        <f>INDEX(Data[],MATCH($A285,Data[Dist],0),MATCH(I$4,Data[#Headers],0))</f>
        <v>3413548</v>
      </c>
      <c r="J285" s="23"/>
    </row>
    <row r="286" spans="1:10" x14ac:dyDescent="0.2">
      <c r="A286" s="20" t="str">
        <f>Data!B282</f>
        <v>6460</v>
      </c>
      <c r="B286" s="21" t="str">
        <f>INDEX(Data[],MATCH($A286,Data[Dist],0),MATCH(B$4,Data[#Headers],0))</f>
        <v>Tri-Center</v>
      </c>
      <c r="C286" s="22">
        <f>INDEX(Data[],MATCH($A286,Data[Dist],0),MATCH(C$4,Data[#Headers],0))</f>
        <v>159638</v>
      </c>
      <c r="D286" s="22">
        <f>INDEX(Data[],MATCH($A286,Data[Dist],0),MATCH(D$4,Data[#Headers],0))</f>
        <v>432390</v>
      </c>
      <c r="E286" s="22">
        <f>INDEX(Data[],MATCH($A286,Data[Dist],0),MATCH(E$4,Data[#Headers],0))</f>
        <v>47941</v>
      </c>
      <c r="F286" s="22">
        <f>INDEX(Data[],MATCH($A286,Data[Dist],0),MATCH(F$4,Data[#Headers],0))</f>
        <v>48486</v>
      </c>
      <c r="G286" s="22">
        <f>INDEX(Data[],MATCH($A286,Data[Dist],0),MATCH(G$4,Data[#Headers],0))</f>
        <v>241793</v>
      </c>
      <c r="H286" s="22">
        <f>INDEX(Data[],MATCH($A286,Data[Dist],0),MATCH(H$4,Data[#Headers],0))</f>
        <v>3630332</v>
      </c>
      <c r="I286" s="22">
        <f>INDEX(Data[],MATCH($A286,Data[Dist],0),MATCH(I$4,Data[#Headers],0))</f>
        <v>4560580</v>
      </c>
      <c r="J286" s="23"/>
    </row>
    <row r="287" spans="1:10" x14ac:dyDescent="0.2">
      <c r="A287" s="20" t="str">
        <f>Data!B283</f>
        <v>6462</v>
      </c>
      <c r="B287" s="21" t="str">
        <f>INDEX(Data[],MATCH($A287,Data[Dist],0),MATCH(B$4,Data[#Headers],0))</f>
        <v>Tri-County</v>
      </c>
      <c r="C287" s="22">
        <f>INDEX(Data[],MATCH($A287,Data[Dist],0),MATCH(C$4,Data[#Headers],0))</f>
        <v>49412</v>
      </c>
      <c r="D287" s="22">
        <f>INDEX(Data[],MATCH($A287,Data[Dist],0),MATCH(D$4,Data[#Headers],0))</f>
        <v>198300</v>
      </c>
      <c r="E287" s="22">
        <f>INDEX(Data[],MATCH($A287,Data[Dist],0),MATCH(E$4,Data[#Headers],0))</f>
        <v>23369</v>
      </c>
      <c r="F287" s="22">
        <f>INDEX(Data[],MATCH($A287,Data[Dist],0),MATCH(F$4,Data[#Headers],0))</f>
        <v>18579</v>
      </c>
      <c r="G287" s="22">
        <f>INDEX(Data[],MATCH($A287,Data[Dist],0),MATCH(G$4,Data[#Headers],0))</f>
        <v>97955</v>
      </c>
      <c r="H287" s="22">
        <f>INDEX(Data[],MATCH($A287,Data[Dist],0),MATCH(H$4,Data[#Headers],0))</f>
        <v>1396381</v>
      </c>
      <c r="I287" s="22">
        <f>INDEX(Data[],MATCH($A287,Data[Dist],0),MATCH(I$4,Data[#Headers],0))</f>
        <v>1783996</v>
      </c>
      <c r="J287" s="23"/>
    </row>
    <row r="288" spans="1:10" x14ac:dyDescent="0.2">
      <c r="A288" s="20" t="str">
        <f>Data!B284</f>
        <v>6471</v>
      </c>
      <c r="B288" s="21" t="str">
        <f>INDEX(Data[],MATCH($A288,Data[Dist],0),MATCH(B$4,Data[#Headers],0))</f>
        <v>Tripoli</v>
      </c>
      <c r="C288" s="22">
        <f>INDEX(Data[],MATCH($A288,Data[Dist],0),MATCH(C$4,Data[#Headers],0))</f>
        <v>0</v>
      </c>
      <c r="D288" s="22">
        <f>INDEX(Data[],MATCH($A288,Data[Dist],0),MATCH(D$4,Data[#Headers],0))</f>
        <v>269296</v>
      </c>
      <c r="E288" s="22">
        <f>INDEX(Data[],MATCH($A288,Data[Dist],0),MATCH(E$4,Data[#Headers],0))</f>
        <v>29108</v>
      </c>
      <c r="F288" s="22">
        <f>INDEX(Data[],MATCH($A288,Data[Dist],0),MATCH(F$4,Data[#Headers],0))</f>
        <v>28058</v>
      </c>
      <c r="G288" s="22">
        <f>INDEX(Data[],MATCH($A288,Data[Dist],0),MATCH(G$4,Data[#Headers],0))</f>
        <v>140299</v>
      </c>
      <c r="H288" s="22">
        <f>INDEX(Data[],MATCH($A288,Data[Dist],0),MATCH(H$4,Data[#Headers],0))</f>
        <v>2314767</v>
      </c>
      <c r="I288" s="22">
        <f>INDEX(Data[],MATCH($A288,Data[Dist],0),MATCH(I$4,Data[#Headers],0))</f>
        <v>2781528</v>
      </c>
      <c r="J288" s="23"/>
    </row>
    <row r="289" spans="1:10" x14ac:dyDescent="0.2">
      <c r="A289" s="20" t="str">
        <f>Data!B285</f>
        <v>6509</v>
      </c>
      <c r="B289" s="21" t="str">
        <f>INDEX(Data[],MATCH($A289,Data[Dist],0),MATCH(B$4,Data[#Headers],0))</f>
        <v>Turkey Valley</v>
      </c>
      <c r="C289" s="22">
        <f>INDEX(Data[],MATCH($A289,Data[Dist],0),MATCH(C$4,Data[#Headers],0))</f>
        <v>125431</v>
      </c>
      <c r="D289" s="22">
        <f>INDEX(Data[],MATCH($A289,Data[Dist],0),MATCH(D$4,Data[#Headers],0))</f>
        <v>248928</v>
      </c>
      <c r="E289" s="22">
        <f>INDEX(Data[],MATCH($A289,Data[Dist],0),MATCH(E$4,Data[#Headers],0))</f>
        <v>21572</v>
      </c>
      <c r="F289" s="22">
        <f>INDEX(Data[],MATCH($A289,Data[Dist],0),MATCH(F$4,Data[#Headers],0))</f>
        <v>28498</v>
      </c>
      <c r="G289" s="22">
        <f>INDEX(Data[],MATCH($A289,Data[Dist],0),MATCH(G$4,Data[#Headers],0))</f>
        <v>130754</v>
      </c>
      <c r="H289" s="22">
        <f>INDEX(Data[],MATCH($A289,Data[Dist],0),MATCH(H$4,Data[#Headers],0))</f>
        <v>1666689</v>
      </c>
      <c r="I289" s="22">
        <f>INDEX(Data[],MATCH($A289,Data[Dist],0),MATCH(I$4,Data[#Headers],0))</f>
        <v>2221872</v>
      </c>
      <c r="J289" s="23"/>
    </row>
    <row r="290" spans="1:10" x14ac:dyDescent="0.2">
      <c r="A290" s="20" t="str">
        <f>Data!B286</f>
        <v>6512</v>
      </c>
      <c r="B290" s="21" t="str">
        <f>INDEX(Data[],MATCH($A290,Data[Dist],0),MATCH(B$4,Data[#Headers],0))</f>
        <v>Twin Cedars</v>
      </c>
      <c r="C290" s="22">
        <f>INDEX(Data[],MATCH($A290,Data[Dist],0),MATCH(C$4,Data[#Headers],0))</f>
        <v>53213</v>
      </c>
      <c r="D290" s="22">
        <f>INDEX(Data[],MATCH($A290,Data[Dist],0),MATCH(D$4,Data[#Headers],0))</f>
        <v>229459</v>
      </c>
      <c r="E290" s="22">
        <f>INDEX(Data[],MATCH($A290,Data[Dist],0),MATCH(E$4,Data[#Headers],0))</f>
        <v>27981</v>
      </c>
      <c r="F290" s="22">
        <f>INDEX(Data[],MATCH($A290,Data[Dist],0),MATCH(F$4,Data[#Headers],0))</f>
        <v>24160</v>
      </c>
      <c r="G290" s="22">
        <f>INDEX(Data[],MATCH($A290,Data[Dist],0),MATCH(G$4,Data[#Headers],0))</f>
        <v>119035</v>
      </c>
      <c r="H290" s="22">
        <f>INDEX(Data[],MATCH($A290,Data[Dist],0),MATCH(H$4,Data[#Headers],0))</f>
        <v>2104944</v>
      </c>
      <c r="I290" s="22">
        <f>INDEX(Data[],MATCH($A290,Data[Dist],0),MATCH(I$4,Data[#Headers],0))</f>
        <v>2558792</v>
      </c>
      <c r="J290" s="23"/>
    </row>
    <row r="291" spans="1:10" x14ac:dyDescent="0.2">
      <c r="A291" s="20" t="str">
        <f>Data!B287</f>
        <v>6516</v>
      </c>
      <c r="B291" s="21" t="str">
        <f>INDEX(Data[],MATCH($A291,Data[Dist],0),MATCH(B$4,Data[#Headers],0))</f>
        <v>Twin Rivers</v>
      </c>
      <c r="C291" s="22">
        <f>INDEX(Data[],MATCH($A291,Data[Dist],0),MATCH(C$4,Data[#Headers],0))</f>
        <v>7602</v>
      </c>
      <c r="D291" s="22">
        <f>INDEX(Data[],MATCH($A291,Data[Dist],0),MATCH(D$4,Data[#Headers],0))</f>
        <v>117045</v>
      </c>
      <c r="E291" s="22">
        <f>INDEX(Data[],MATCH($A291,Data[Dist],0),MATCH(E$4,Data[#Headers],0))</f>
        <v>11654</v>
      </c>
      <c r="F291" s="22">
        <f>INDEX(Data[],MATCH($A291,Data[Dist],0),MATCH(F$4,Data[#Headers],0))</f>
        <v>11656</v>
      </c>
      <c r="G291" s="22">
        <f>INDEX(Data[],MATCH($A291,Data[Dist],0),MATCH(G$4,Data[#Headers],0))</f>
        <v>58965</v>
      </c>
      <c r="H291" s="22">
        <f>INDEX(Data[],MATCH($A291,Data[Dist],0),MATCH(H$4,Data[#Headers],0))</f>
        <v>602868</v>
      </c>
      <c r="I291" s="22">
        <f>INDEX(Data[],MATCH($A291,Data[Dist],0),MATCH(I$4,Data[#Headers],0))</f>
        <v>809790</v>
      </c>
      <c r="J291" s="23"/>
    </row>
    <row r="292" spans="1:10" x14ac:dyDescent="0.2">
      <c r="A292" s="20" t="str">
        <f>Data!B288</f>
        <v>6534</v>
      </c>
      <c r="B292" s="21" t="str">
        <f>INDEX(Data[],MATCH($A292,Data[Dist],0),MATCH(B$4,Data[#Headers],0))</f>
        <v>Underwood</v>
      </c>
      <c r="C292" s="22">
        <f>INDEX(Data[],MATCH($A292,Data[Dist],0),MATCH(C$4,Data[#Headers],0))</f>
        <v>133033</v>
      </c>
      <c r="D292" s="22">
        <f>INDEX(Data[],MATCH($A292,Data[Dist],0),MATCH(D$4,Data[#Headers],0))</f>
        <v>479612</v>
      </c>
      <c r="E292" s="22">
        <f>INDEX(Data[],MATCH($A292,Data[Dist],0),MATCH(E$4,Data[#Headers],0))</f>
        <v>55112</v>
      </c>
      <c r="F292" s="22">
        <f>INDEX(Data[],MATCH($A292,Data[Dist],0),MATCH(F$4,Data[#Headers],0))</f>
        <v>50011</v>
      </c>
      <c r="G292" s="22">
        <f>INDEX(Data[],MATCH($A292,Data[Dist],0),MATCH(G$4,Data[#Headers],0))</f>
        <v>281815</v>
      </c>
      <c r="H292" s="22">
        <f>INDEX(Data[],MATCH($A292,Data[Dist],0),MATCH(H$4,Data[#Headers],0))</f>
        <v>4146216</v>
      </c>
      <c r="I292" s="22">
        <f>INDEX(Data[],MATCH($A292,Data[Dist],0),MATCH(I$4,Data[#Headers],0))</f>
        <v>5145799</v>
      </c>
      <c r="J292" s="23"/>
    </row>
    <row r="293" spans="1:10" x14ac:dyDescent="0.2">
      <c r="A293" s="20" t="str">
        <f>Data!B289</f>
        <v>6561</v>
      </c>
      <c r="B293" s="21" t="str">
        <f>INDEX(Data[],MATCH($A293,Data[Dist],0),MATCH(B$4,Data[#Headers],0))</f>
        <v>United</v>
      </c>
      <c r="C293" s="22">
        <f>INDEX(Data[],MATCH($A293,Data[Dist],0),MATCH(C$4,Data[#Headers],0))</f>
        <v>201449</v>
      </c>
      <c r="D293" s="22">
        <f>INDEX(Data[],MATCH($A293,Data[Dist],0),MATCH(D$4,Data[#Headers],0))</f>
        <v>223035</v>
      </c>
      <c r="E293" s="22">
        <f>INDEX(Data[],MATCH($A293,Data[Dist],0),MATCH(E$4,Data[#Headers],0))</f>
        <v>29818</v>
      </c>
      <c r="F293" s="22">
        <f>INDEX(Data[],MATCH($A293,Data[Dist],0),MATCH(F$4,Data[#Headers],0))</f>
        <v>19924</v>
      </c>
      <c r="G293" s="22">
        <f>INDEX(Data[],MATCH($A293,Data[Dist],0),MATCH(G$4,Data[#Headers],0))</f>
        <v>142216</v>
      </c>
      <c r="H293" s="22">
        <f>INDEX(Data[],MATCH($A293,Data[Dist],0),MATCH(H$4,Data[#Headers],0))</f>
        <v>1016243</v>
      </c>
      <c r="I293" s="22">
        <f>INDEX(Data[],MATCH($A293,Data[Dist],0),MATCH(I$4,Data[#Headers],0))</f>
        <v>1632685</v>
      </c>
      <c r="J293" s="23"/>
    </row>
    <row r="294" spans="1:10" x14ac:dyDescent="0.2">
      <c r="A294" s="20" t="str">
        <f>Data!B290</f>
        <v>6579</v>
      </c>
      <c r="B294" s="21" t="str">
        <f>INDEX(Data[],MATCH($A294,Data[Dist],0),MATCH(B$4,Data[#Headers],0))</f>
        <v>Urbandale</v>
      </c>
      <c r="C294" s="22">
        <f>INDEX(Data[],MATCH($A294,Data[Dist],0),MATCH(C$4,Data[#Headers],0))</f>
        <v>748686</v>
      </c>
      <c r="D294" s="22">
        <f>INDEX(Data[],MATCH($A294,Data[Dist],0),MATCH(D$4,Data[#Headers],0))</f>
        <v>2284300</v>
      </c>
      <c r="E294" s="22">
        <f>INDEX(Data[],MATCH($A294,Data[Dist],0),MATCH(E$4,Data[#Headers],0))</f>
        <v>261600</v>
      </c>
      <c r="F294" s="22">
        <f>INDEX(Data[],MATCH($A294,Data[Dist],0),MATCH(F$4,Data[#Headers],0))</f>
        <v>268220</v>
      </c>
      <c r="G294" s="22">
        <f>INDEX(Data[],MATCH($A294,Data[Dist],0),MATCH(G$4,Data[#Headers],0))</f>
        <v>1270691</v>
      </c>
      <c r="H294" s="22">
        <f>INDEX(Data[],MATCH($A294,Data[Dist],0),MATCH(H$4,Data[#Headers],0))</f>
        <v>18865704</v>
      </c>
      <c r="I294" s="22">
        <f>INDEX(Data[],MATCH($A294,Data[Dist],0),MATCH(I$4,Data[#Headers],0))</f>
        <v>23699201</v>
      </c>
      <c r="J294" s="23"/>
    </row>
    <row r="295" spans="1:10" x14ac:dyDescent="0.2">
      <c r="A295" s="20" t="str">
        <f>Data!B291</f>
        <v>6592</v>
      </c>
      <c r="B295" s="21" t="str">
        <f>INDEX(Data[],MATCH($A295,Data[Dist],0),MATCH(B$4,Data[#Headers],0))</f>
        <v>Van Buren County</v>
      </c>
      <c r="C295" s="22">
        <f>INDEX(Data[],MATCH($A295,Data[Dist],0),MATCH(C$4,Data[#Headers],0))</f>
        <v>212851</v>
      </c>
      <c r="D295" s="22">
        <f>INDEX(Data[],MATCH($A295,Data[Dist],0),MATCH(D$4,Data[#Headers],0))</f>
        <v>632996</v>
      </c>
      <c r="E295" s="22">
        <f>INDEX(Data[],MATCH($A295,Data[Dist],0),MATCH(E$4,Data[#Headers],0))</f>
        <v>76546</v>
      </c>
      <c r="F295" s="22">
        <f>INDEX(Data[],MATCH($A295,Data[Dist],0),MATCH(F$4,Data[#Headers],0))</f>
        <v>63442</v>
      </c>
      <c r="G295" s="22">
        <f>INDEX(Data[],MATCH($A295,Data[Dist],0),MATCH(G$4,Data[#Headers],0))</f>
        <v>356405</v>
      </c>
      <c r="H295" s="22">
        <f>INDEX(Data[],MATCH($A295,Data[Dist],0),MATCH(H$4,Data[#Headers],0))</f>
        <v>4906323</v>
      </c>
      <c r="I295" s="22">
        <f>INDEX(Data[],MATCH($A295,Data[Dist],0),MATCH(I$4,Data[#Headers],0))</f>
        <v>6248563</v>
      </c>
      <c r="J295" s="23"/>
    </row>
    <row r="296" spans="1:10" x14ac:dyDescent="0.2">
      <c r="A296" s="20" t="str">
        <f>Data!B292</f>
        <v>6615</v>
      </c>
      <c r="B296" s="21" t="str">
        <f>INDEX(Data[],MATCH($A296,Data[Dist],0),MATCH(B$4,Data[#Headers],0))</f>
        <v>Van Meter</v>
      </c>
      <c r="C296" s="22">
        <f>INDEX(Data[],MATCH($A296,Data[Dist],0),MATCH(C$4,Data[#Headers],0))</f>
        <v>190046</v>
      </c>
      <c r="D296" s="22">
        <f>INDEX(Data[],MATCH($A296,Data[Dist],0),MATCH(D$4,Data[#Headers],0))</f>
        <v>601802</v>
      </c>
      <c r="E296" s="22">
        <f>INDEX(Data[],MATCH($A296,Data[Dist],0),MATCH(E$4,Data[#Headers],0))</f>
        <v>66274</v>
      </c>
      <c r="F296" s="22">
        <f>INDEX(Data[],MATCH($A296,Data[Dist],0),MATCH(F$4,Data[#Headers],0))</f>
        <v>62776</v>
      </c>
      <c r="G296" s="22">
        <f>INDEX(Data[],MATCH($A296,Data[Dist],0),MATCH(G$4,Data[#Headers],0))</f>
        <v>329650</v>
      </c>
      <c r="H296" s="22">
        <f>INDEX(Data[],MATCH($A296,Data[Dist],0),MATCH(H$4,Data[#Headers],0))</f>
        <v>4736244</v>
      </c>
      <c r="I296" s="22">
        <f>INDEX(Data[],MATCH($A296,Data[Dist],0),MATCH(I$4,Data[#Headers],0))</f>
        <v>5986792</v>
      </c>
      <c r="J296" s="23"/>
    </row>
    <row r="297" spans="1:10" x14ac:dyDescent="0.2">
      <c r="A297" s="20" t="str">
        <f>Data!B293</f>
        <v>6651</v>
      </c>
      <c r="B297" s="21" t="str">
        <f>INDEX(Data[],MATCH($A297,Data[Dist],0),MATCH(B$4,Data[#Headers],0))</f>
        <v>Villisca</v>
      </c>
      <c r="C297" s="22">
        <f>INDEX(Data[],MATCH($A297,Data[Dist],0),MATCH(C$4,Data[#Headers],0))</f>
        <v>60815</v>
      </c>
      <c r="D297" s="22">
        <f>INDEX(Data[],MATCH($A297,Data[Dist],0),MATCH(D$4,Data[#Headers],0))</f>
        <v>207992</v>
      </c>
      <c r="E297" s="22">
        <f>INDEX(Data[],MATCH($A297,Data[Dist],0),MATCH(E$4,Data[#Headers],0))</f>
        <v>25485</v>
      </c>
      <c r="F297" s="22">
        <f>INDEX(Data[],MATCH($A297,Data[Dist],0),MATCH(F$4,Data[#Headers],0))</f>
        <v>22496</v>
      </c>
      <c r="G297" s="22">
        <f>INDEX(Data[],MATCH($A297,Data[Dist],0),MATCH(G$4,Data[#Headers],0))</f>
        <v>114650</v>
      </c>
      <c r="H297" s="22">
        <f>INDEX(Data[],MATCH($A297,Data[Dist],0),MATCH(H$4,Data[#Headers],0))</f>
        <v>1656678</v>
      </c>
      <c r="I297" s="22">
        <f>INDEX(Data[],MATCH($A297,Data[Dist],0),MATCH(I$4,Data[#Headers],0))</f>
        <v>2088116</v>
      </c>
      <c r="J297" s="23"/>
    </row>
    <row r="298" spans="1:10" x14ac:dyDescent="0.2">
      <c r="A298" s="20" t="str">
        <f>Data!B294</f>
        <v>6660</v>
      </c>
      <c r="B298" s="21" t="str">
        <f>INDEX(Data[],MATCH($A298,Data[Dist],0),MATCH(B$4,Data[#Headers],0))</f>
        <v>Vinton-Shellsburg</v>
      </c>
      <c r="C298" s="22">
        <f>INDEX(Data[],MATCH($A298,Data[Dist],0),MATCH(C$4,Data[#Headers],0))</f>
        <v>326879</v>
      </c>
      <c r="D298" s="22">
        <f>INDEX(Data[],MATCH($A298,Data[Dist],0),MATCH(D$4,Data[#Headers],0))</f>
        <v>1096864</v>
      </c>
      <c r="E298" s="22">
        <f>INDEX(Data[],MATCH($A298,Data[Dist],0),MATCH(E$4,Data[#Headers],0))</f>
        <v>120964</v>
      </c>
      <c r="F298" s="22">
        <f>INDEX(Data[],MATCH($A298,Data[Dist],0),MATCH(F$4,Data[#Headers],0))</f>
        <v>123493</v>
      </c>
      <c r="G298" s="22">
        <f>INDEX(Data[],MATCH($A298,Data[Dist],0),MATCH(G$4,Data[#Headers],0))</f>
        <v>597571</v>
      </c>
      <c r="H298" s="22">
        <f>INDEX(Data[],MATCH($A298,Data[Dist],0),MATCH(H$4,Data[#Headers],0))</f>
        <v>9486210</v>
      </c>
      <c r="I298" s="22">
        <f>INDEX(Data[],MATCH($A298,Data[Dist],0),MATCH(I$4,Data[#Headers],0))</f>
        <v>11751981</v>
      </c>
      <c r="J298" s="23"/>
    </row>
    <row r="299" spans="1:10" x14ac:dyDescent="0.2">
      <c r="A299" s="20" t="str">
        <f>Data!B295</f>
        <v>6700</v>
      </c>
      <c r="B299" s="21" t="str">
        <f>INDEX(Data[],MATCH($A299,Data[Dist],0),MATCH(B$4,Data[#Headers],0))</f>
        <v>Waco</v>
      </c>
      <c r="C299" s="22">
        <f>INDEX(Data[],MATCH($A299,Data[Dist],0),MATCH(C$4,Data[#Headers],0))</f>
        <v>117829</v>
      </c>
      <c r="D299" s="22">
        <f>INDEX(Data[],MATCH($A299,Data[Dist],0),MATCH(D$4,Data[#Headers],0))</f>
        <v>356078</v>
      </c>
      <c r="E299" s="22">
        <f>INDEX(Data[],MATCH($A299,Data[Dist],0),MATCH(E$4,Data[#Headers],0))</f>
        <v>38888</v>
      </c>
      <c r="F299" s="22">
        <f>INDEX(Data[],MATCH($A299,Data[Dist],0),MATCH(F$4,Data[#Headers],0))</f>
        <v>38325</v>
      </c>
      <c r="G299" s="22">
        <f>INDEX(Data[],MATCH($A299,Data[Dist],0),MATCH(G$4,Data[#Headers],0))</f>
        <v>180359</v>
      </c>
      <c r="H299" s="22">
        <f>INDEX(Data[],MATCH($A299,Data[Dist],0),MATCH(H$4,Data[#Headers],0))</f>
        <v>3049190</v>
      </c>
      <c r="I299" s="22">
        <f>INDEX(Data[],MATCH($A299,Data[Dist],0),MATCH(I$4,Data[#Headers],0))</f>
        <v>3780669</v>
      </c>
      <c r="J299" s="23"/>
    </row>
    <row r="300" spans="1:10" x14ac:dyDescent="0.2">
      <c r="A300" s="20" t="str">
        <f>Data!B296</f>
        <v>6741</v>
      </c>
      <c r="B300" s="21" t="str">
        <f>INDEX(Data[],MATCH($A300,Data[Dist],0),MATCH(B$4,Data[#Headers],0))</f>
        <v>East Sac County</v>
      </c>
      <c r="C300" s="22">
        <f>INDEX(Data[],MATCH($A300,Data[Dist],0),MATCH(C$4,Data[#Headers],0))</f>
        <v>129326</v>
      </c>
      <c r="D300" s="22">
        <f>INDEX(Data[],MATCH($A300,Data[Dist],0),MATCH(D$4,Data[#Headers],0))</f>
        <v>579494</v>
      </c>
      <c r="E300" s="22">
        <f>INDEX(Data[],MATCH($A300,Data[Dist],0),MATCH(E$4,Data[#Headers],0))</f>
        <v>67007</v>
      </c>
      <c r="F300" s="22">
        <f>INDEX(Data[],MATCH($A300,Data[Dist],0),MATCH(F$4,Data[#Headers],0))</f>
        <v>61735</v>
      </c>
      <c r="G300" s="22">
        <f>INDEX(Data[],MATCH($A300,Data[Dist],0),MATCH(G$4,Data[#Headers],0))</f>
        <v>307907</v>
      </c>
      <c r="H300" s="22">
        <f>INDEX(Data[],MATCH($A300,Data[Dist],0),MATCH(H$4,Data[#Headers],0))</f>
        <v>3991172</v>
      </c>
      <c r="I300" s="22">
        <f>INDEX(Data[],MATCH($A300,Data[Dist],0),MATCH(I$4,Data[#Headers],0))</f>
        <v>5136641</v>
      </c>
      <c r="J300" s="23"/>
    </row>
    <row r="301" spans="1:10" x14ac:dyDescent="0.2">
      <c r="A301" s="20" t="str">
        <f>Data!B297</f>
        <v>6759</v>
      </c>
      <c r="B301" s="21" t="str">
        <f>INDEX(Data[],MATCH($A301,Data[Dist],0),MATCH(B$4,Data[#Headers],0))</f>
        <v>Wapello</v>
      </c>
      <c r="C301" s="22">
        <f>INDEX(Data[],MATCH($A301,Data[Dist],0),MATCH(C$4,Data[#Headers],0))</f>
        <v>98824</v>
      </c>
      <c r="D301" s="22">
        <f>INDEX(Data[],MATCH($A301,Data[Dist],0),MATCH(D$4,Data[#Headers],0))</f>
        <v>368501</v>
      </c>
      <c r="E301" s="22">
        <f>INDEX(Data[],MATCH($A301,Data[Dist],0),MATCH(E$4,Data[#Headers],0))</f>
        <v>45873</v>
      </c>
      <c r="F301" s="22">
        <f>INDEX(Data[],MATCH($A301,Data[Dist],0),MATCH(F$4,Data[#Headers],0))</f>
        <v>38541</v>
      </c>
      <c r="G301" s="22">
        <f>INDEX(Data[],MATCH($A301,Data[Dist],0),MATCH(G$4,Data[#Headers],0))</f>
        <v>196942</v>
      </c>
      <c r="H301" s="22">
        <f>INDEX(Data[],MATCH($A301,Data[Dist],0),MATCH(H$4,Data[#Headers],0))</f>
        <v>2994505</v>
      </c>
      <c r="I301" s="22">
        <f>INDEX(Data[],MATCH($A301,Data[Dist],0),MATCH(I$4,Data[#Headers],0))</f>
        <v>3743186</v>
      </c>
      <c r="J301" s="23"/>
    </row>
    <row r="302" spans="1:10" x14ac:dyDescent="0.2">
      <c r="A302" s="20" t="str">
        <f>Data!B298</f>
        <v>6762</v>
      </c>
      <c r="B302" s="21" t="str">
        <f>INDEX(Data[],MATCH($A302,Data[Dist],0),MATCH(B$4,Data[#Headers],0))</f>
        <v>Wapsie Valley</v>
      </c>
      <c r="C302" s="22">
        <f>INDEX(Data[],MATCH($A302,Data[Dist],0),MATCH(C$4,Data[#Headers],0))</f>
        <v>174842</v>
      </c>
      <c r="D302" s="22">
        <f>INDEX(Data[],MATCH($A302,Data[Dist],0),MATCH(D$4,Data[#Headers],0))</f>
        <v>463896</v>
      </c>
      <c r="E302" s="22">
        <f>INDEX(Data[],MATCH($A302,Data[Dist],0),MATCH(E$4,Data[#Headers],0))</f>
        <v>51162</v>
      </c>
      <c r="F302" s="22">
        <f>INDEX(Data[],MATCH($A302,Data[Dist],0),MATCH(F$4,Data[#Headers],0))</f>
        <v>48407</v>
      </c>
      <c r="G302" s="22">
        <f>INDEX(Data[],MATCH($A302,Data[Dist],0),MATCH(G$4,Data[#Headers],0))</f>
        <v>242382</v>
      </c>
      <c r="H302" s="22">
        <f>INDEX(Data[],MATCH($A302,Data[Dist],0),MATCH(H$4,Data[#Headers],0))</f>
        <v>3820581</v>
      </c>
      <c r="I302" s="22">
        <f>INDEX(Data[],MATCH($A302,Data[Dist],0),MATCH(I$4,Data[#Headers],0))</f>
        <v>4801270</v>
      </c>
      <c r="J302" s="23"/>
    </row>
    <row r="303" spans="1:10" x14ac:dyDescent="0.2">
      <c r="A303" s="20" t="str">
        <f>Data!B299</f>
        <v>6768</v>
      </c>
      <c r="B303" s="21" t="str">
        <f>INDEX(Data[],MATCH($A303,Data[Dist],0),MATCH(B$4,Data[#Headers],0))</f>
        <v>Washington</v>
      </c>
      <c r="C303" s="22">
        <f>INDEX(Data[],MATCH($A303,Data[Dist],0),MATCH(C$4,Data[#Headers],0))</f>
        <v>330680</v>
      </c>
      <c r="D303" s="22">
        <f>INDEX(Data[],MATCH($A303,Data[Dist],0),MATCH(D$4,Data[#Headers],0))</f>
        <v>1068233</v>
      </c>
      <c r="E303" s="22">
        <f>INDEX(Data[],MATCH($A303,Data[Dist],0),MATCH(E$4,Data[#Headers],0))</f>
        <v>131495</v>
      </c>
      <c r="F303" s="22">
        <f>INDEX(Data[],MATCH($A303,Data[Dist],0),MATCH(F$4,Data[#Headers],0))</f>
        <v>118649</v>
      </c>
      <c r="G303" s="22">
        <f>INDEX(Data[],MATCH($A303,Data[Dist],0),MATCH(G$4,Data[#Headers],0))</f>
        <v>599230</v>
      </c>
      <c r="H303" s="22">
        <f>INDEX(Data[],MATCH($A303,Data[Dist],0),MATCH(H$4,Data[#Headers],0))</f>
        <v>10215914</v>
      </c>
      <c r="I303" s="22">
        <f>INDEX(Data[],MATCH($A303,Data[Dist],0),MATCH(I$4,Data[#Headers],0))</f>
        <v>12464201</v>
      </c>
      <c r="J303" s="23"/>
    </row>
    <row r="304" spans="1:10" x14ac:dyDescent="0.2">
      <c r="A304" s="20" t="str">
        <f>Data!B300</f>
        <v>6795</v>
      </c>
      <c r="B304" s="21" t="str">
        <f>INDEX(Data[],MATCH($A304,Data[Dist],0),MATCH(B$4,Data[#Headers],0))</f>
        <v>Waterloo</v>
      </c>
      <c r="C304" s="22">
        <f>INDEX(Data[],MATCH($A304,Data[Dist],0),MATCH(C$4,Data[#Headers],0))</f>
        <v>1915661</v>
      </c>
      <c r="D304" s="22">
        <f>INDEX(Data[],MATCH($A304,Data[Dist],0),MATCH(D$4,Data[#Headers],0))</f>
        <v>6881712</v>
      </c>
      <c r="E304" s="22">
        <f>INDEX(Data[],MATCH($A304,Data[Dist],0),MATCH(E$4,Data[#Headers],0))</f>
        <v>944712</v>
      </c>
      <c r="F304" s="22">
        <f>INDEX(Data[],MATCH($A304,Data[Dist],0),MATCH(F$4,Data[#Headers],0))</f>
        <v>753037</v>
      </c>
      <c r="G304" s="22">
        <f>INDEX(Data[],MATCH($A304,Data[Dist],0),MATCH(G$4,Data[#Headers],0))</f>
        <v>3933063</v>
      </c>
      <c r="H304" s="22">
        <f>INDEX(Data[],MATCH($A304,Data[Dist],0),MATCH(H$4,Data[#Headers],0))</f>
        <v>78434409</v>
      </c>
      <c r="I304" s="22">
        <f>INDEX(Data[],MATCH($A304,Data[Dist],0),MATCH(I$4,Data[#Headers],0))</f>
        <v>92862594</v>
      </c>
      <c r="J304" s="23"/>
    </row>
    <row r="305" spans="1:10" x14ac:dyDescent="0.2">
      <c r="A305" s="20" t="str">
        <f>Data!B301</f>
        <v>6822</v>
      </c>
      <c r="B305" s="21" t="str">
        <f>INDEX(Data[],MATCH($A305,Data[Dist],0),MATCH(B$4,Data[#Headers],0))</f>
        <v>Waukee</v>
      </c>
      <c r="C305" s="22">
        <f>INDEX(Data[],MATCH($A305,Data[Dist],0),MATCH(C$4,Data[#Headers],0))</f>
        <v>836201</v>
      </c>
      <c r="D305" s="22">
        <f>INDEX(Data[],MATCH($A305,Data[Dist],0),MATCH(D$4,Data[#Headers],0))</f>
        <v>7713842</v>
      </c>
      <c r="E305" s="22">
        <f>INDEX(Data[],MATCH($A305,Data[Dist],0),MATCH(E$4,Data[#Headers],0))</f>
        <v>1012061</v>
      </c>
      <c r="F305" s="22">
        <f>INDEX(Data[],MATCH($A305,Data[Dist],0),MATCH(F$4,Data[#Headers],0))</f>
        <v>807123</v>
      </c>
      <c r="G305" s="22">
        <f>INDEX(Data[],MATCH($A305,Data[Dist],0),MATCH(G$4,Data[#Headers],0))</f>
        <v>4847607</v>
      </c>
      <c r="H305" s="22">
        <f>INDEX(Data[],MATCH($A305,Data[Dist],0),MATCH(H$4,Data[#Headers],0))</f>
        <v>67801713</v>
      </c>
      <c r="I305" s="22">
        <f>INDEX(Data[],MATCH($A305,Data[Dist],0),MATCH(I$4,Data[#Headers],0))</f>
        <v>83018547</v>
      </c>
      <c r="J305" s="23"/>
    </row>
    <row r="306" spans="1:10" x14ac:dyDescent="0.2">
      <c r="A306" s="20" t="str">
        <f>Data!B302</f>
        <v>6840</v>
      </c>
      <c r="B306" s="21" t="str">
        <f>INDEX(Data[],MATCH($A306,Data[Dist],0),MATCH(B$4,Data[#Headers],0))</f>
        <v>Waverly-Shell Rock</v>
      </c>
      <c r="C306" s="22">
        <f>INDEX(Data[],MATCH($A306,Data[Dist],0),MATCH(C$4,Data[#Headers],0))</f>
        <v>380186</v>
      </c>
      <c r="D306" s="22">
        <f>INDEX(Data[],MATCH($A306,Data[Dist],0),MATCH(D$4,Data[#Headers],0))</f>
        <v>1530064</v>
      </c>
      <c r="E306" s="22">
        <f>INDEX(Data[],MATCH($A306,Data[Dist],0),MATCH(E$4,Data[#Headers],0))</f>
        <v>148945</v>
      </c>
      <c r="F306" s="22">
        <f>INDEX(Data[],MATCH($A306,Data[Dist],0),MATCH(F$4,Data[#Headers],0))</f>
        <v>170264</v>
      </c>
      <c r="G306" s="22">
        <f>INDEX(Data[],MATCH($A306,Data[Dist],0),MATCH(G$4,Data[#Headers],0))</f>
        <v>809955</v>
      </c>
      <c r="H306" s="22">
        <f>INDEX(Data[],MATCH($A306,Data[Dist],0),MATCH(H$4,Data[#Headers],0))</f>
        <v>12665269</v>
      </c>
      <c r="I306" s="22">
        <f>INDEX(Data[],MATCH($A306,Data[Dist],0),MATCH(I$4,Data[#Headers],0))</f>
        <v>15704683</v>
      </c>
      <c r="J306" s="23"/>
    </row>
    <row r="307" spans="1:10" x14ac:dyDescent="0.2">
      <c r="A307" s="20" t="str">
        <f>Data!B303</f>
        <v>6854</v>
      </c>
      <c r="B307" s="21" t="str">
        <f>INDEX(Data[],MATCH($A307,Data[Dist],0),MATCH(B$4,Data[#Headers],0))</f>
        <v>Wayne</v>
      </c>
      <c r="C307" s="22">
        <f>INDEX(Data[],MATCH($A307,Data[Dist],0),MATCH(C$4,Data[#Headers],0))</f>
        <v>83620</v>
      </c>
      <c r="D307" s="22">
        <f>INDEX(Data[],MATCH($A307,Data[Dist],0),MATCH(D$4,Data[#Headers],0))</f>
        <v>435069</v>
      </c>
      <c r="E307" s="22">
        <f>INDEX(Data[],MATCH($A307,Data[Dist],0),MATCH(E$4,Data[#Headers],0))</f>
        <v>49148</v>
      </c>
      <c r="F307" s="22">
        <f>INDEX(Data[],MATCH($A307,Data[Dist],0),MATCH(F$4,Data[#Headers],0))</f>
        <v>48545</v>
      </c>
      <c r="G307" s="22">
        <f>INDEX(Data[],MATCH($A307,Data[Dist],0),MATCH(G$4,Data[#Headers],0))</f>
        <v>211720</v>
      </c>
      <c r="H307" s="22">
        <f>INDEX(Data[],MATCH($A307,Data[Dist],0),MATCH(H$4,Data[#Headers],0))</f>
        <v>2834329</v>
      </c>
      <c r="I307" s="22">
        <f>INDEX(Data[],MATCH($A307,Data[Dist],0),MATCH(I$4,Data[#Headers],0))</f>
        <v>3662431</v>
      </c>
      <c r="J307" s="23"/>
    </row>
    <row r="308" spans="1:10" x14ac:dyDescent="0.2">
      <c r="A308" s="20" t="str">
        <f>Data!B304</f>
        <v>6867</v>
      </c>
      <c r="B308" s="21" t="str">
        <f>INDEX(Data[],MATCH($A308,Data[Dist],0),MATCH(B$4,Data[#Headers],0))</f>
        <v>Webster City</v>
      </c>
      <c r="C308" s="22">
        <f>INDEX(Data[],MATCH($A308,Data[Dist],0),MATCH(C$4,Data[#Headers],0))</f>
        <v>410499</v>
      </c>
      <c r="D308" s="22">
        <f>INDEX(Data[],MATCH($A308,Data[Dist],0),MATCH(D$4,Data[#Headers],0))</f>
        <v>1160553</v>
      </c>
      <c r="E308" s="22">
        <f>INDEX(Data[],MATCH($A308,Data[Dist],0),MATCH(E$4,Data[#Headers],0))</f>
        <v>141950</v>
      </c>
      <c r="F308" s="22">
        <f>INDEX(Data[],MATCH($A308,Data[Dist],0),MATCH(F$4,Data[#Headers],0))</f>
        <v>128376</v>
      </c>
      <c r="G308" s="22">
        <f>INDEX(Data[],MATCH($A308,Data[Dist],0),MATCH(G$4,Data[#Headers],0))</f>
        <v>637262</v>
      </c>
      <c r="H308" s="22">
        <f>INDEX(Data[],MATCH($A308,Data[Dist],0),MATCH(H$4,Data[#Headers],0))</f>
        <v>9318196</v>
      </c>
      <c r="I308" s="22">
        <f>INDEX(Data[],MATCH($A308,Data[Dist],0),MATCH(I$4,Data[#Headers],0))</f>
        <v>11796836</v>
      </c>
      <c r="J308" s="23"/>
    </row>
    <row r="309" spans="1:10" x14ac:dyDescent="0.2">
      <c r="A309" s="20" t="str">
        <f>Data!B305</f>
        <v>6921</v>
      </c>
      <c r="B309" s="21" t="str">
        <f>INDEX(Data[],MATCH($A309,Data[Dist],0),MATCH(B$4,Data[#Headers],0))</f>
        <v>West Bend-Mallard</v>
      </c>
      <c r="C309" s="22">
        <f>INDEX(Data[],MATCH($A309,Data[Dist],0),MATCH(C$4,Data[#Headers],0))</f>
        <v>60815</v>
      </c>
      <c r="D309" s="22">
        <f>INDEX(Data[],MATCH($A309,Data[Dist],0),MATCH(D$4,Data[#Headers],0))</f>
        <v>240569</v>
      </c>
      <c r="E309" s="22">
        <f>INDEX(Data[],MATCH($A309,Data[Dist],0),MATCH(E$4,Data[#Headers],0))</f>
        <v>23266</v>
      </c>
      <c r="F309" s="22">
        <f>INDEX(Data[],MATCH($A309,Data[Dist],0),MATCH(F$4,Data[#Headers],0))</f>
        <v>25743</v>
      </c>
      <c r="G309" s="22">
        <f>INDEX(Data[],MATCH($A309,Data[Dist],0),MATCH(G$4,Data[#Headers],0))</f>
        <v>120915</v>
      </c>
      <c r="H309" s="22">
        <f>INDEX(Data[],MATCH($A309,Data[Dist],0),MATCH(H$4,Data[#Headers],0))</f>
        <v>1250862</v>
      </c>
      <c r="I309" s="22">
        <f>INDEX(Data[],MATCH($A309,Data[Dist],0),MATCH(I$4,Data[#Headers],0))</f>
        <v>1722170</v>
      </c>
      <c r="J309" s="23"/>
    </row>
    <row r="310" spans="1:10" x14ac:dyDescent="0.2">
      <c r="A310" s="20" t="str">
        <f>Data!B306</f>
        <v>6930</v>
      </c>
      <c r="B310" s="21" t="str">
        <f>INDEX(Data[],MATCH($A310,Data[Dist],0),MATCH(B$4,Data[#Headers],0))</f>
        <v>West Branch</v>
      </c>
      <c r="C310" s="22">
        <f>INDEX(Data[],MATCH($A310,Data[Dist],0),MATCH(C$4,Data[#Headers],0))</f>
        <v>197648</v>
      </c>
      <c r="D310" s="22">
        <f>INDEX(Data[],MATCH($A310,Data[Dist],0),MATCH(D$4,Data[#Headers],0))</f>
        <v>510717</v>
      </c>
      <c r="E310" s="22">
        <f>INDEX(Data[],MATCH($A310,Data[Dist],0),MATCH(E$4,Data[#Headers],0))</f>
        <v>56184</v>
      </c>
      <c r="F310" s="22">
        <f>INDEX(Data[],MATCH($A310,Data[Dist],0),MATCH(F$4,Data[#Headers],0))</f>
        <v>54596</v>
      </c>
      <c r="G310" s="22">
        <f>INDEX(Data[],MATCH($A310,Data[Dist],0),MATCH(G$4,Data[#Headers],0))</f>
        <v>289628</v>
      </c>
      <c r="H310" s="22">
        <f>INDEX(Data[],MATCH($A310,Data[Dist],0),MATCH(H$4,Data[#Headers],0))</f>
        <v>3867505</v>
      </c>
      <c r="I310" s="22">
        <f>INDEX(Data[],MATCH($A310,Data[Dist],0),MATCH(I$4,Data[#Headers],0))</f>
        <v>4976278</v>
      </c>
      <c r="J310" s="23"/>
    </row>
    <row r="311" spans="1:10" x14ac:dyDescent="0.2">
      <c r="A311" s="20" t="str">
        <f>Data!B307</f>
        <v>6937</v>
      </c>
      <c r="B311" s="21" t="str">
        <f>INDEX(Data[],MATCH($A311,Data[Dist],0),MATCH(B$4,Data[#Headers],0))</f>
        <v>West Burlington</v>
      </c>
      <c r="C311" s="22">
        <f>INDEX(Data[],MATCH($A311,Data[Dist],0),MATCH(C$4,Data[#Headers],0))</f>
        <v>110227</v>
      </c>
      <c r="D311" s="22">
        <f>INDEX(Data[],MATCH($A311,Data[Dist],0),MATCH(D$4,Data[#Headers],0))</f>
        <v>325818</v>
      </c>
      <c r="E311" s="22">
        <f>INDEX(Data[],MATCH($A311,Data[Dist],0),MATCH(E$4,Data[#Headers],0))</f>
        <v>52155</v>
      </c>
      <c r="F311" s="22">
        <f>INDEX(Data[],MATCH($A311,Data[Dist],0),MATCH(F$4,Data[#Headers],0))</f>
        <v>41629</v>
      </c>
      <c r="G311" s="22">
        <f>INDEX(Data[],MATCH($A311,Data[Dist],0),MATCH(G$4,Data[#Headers],0))</f>
        <v>152423</v>
      </c>
      <c r="H311" s="22">
        <f>INDEX(Data[],MATCH($A311,Data[Dist],0),MATCH(H$4,Data[#Headers],0))</f>
        <v>2122532</v>
      </c>
      <c r="I311" s="22">
        <f>INDEX(Data[],MATCH($A311,Data[Dist],0),MATCH(I$4,Data[#Headers],0))</f>
        <v>2804784</v>
      </c>
      <c r="J311" s="23"/>
    </row>
    <row r="312" spans="1:10" x14ac:dyDescent="0.2">
      <c r="A312" s="20" t="str">
        <f>Data!B308</f>
        <v>6943</v>
      </c>
      <c r="B312" s="21" t="str">
        <f>INDEX(Data[],MATCH($A312,Data[Dist],0),MATCH(B$4,Data[#Headers],0))</f>
        <v>West Central</v>
      </c>
      <c r="C312" s="22">
        <f>INDEX(Data[],MATCH($A312,Data[Dist],0),MATCH(C$4,Data[#Headers],0))</f>
        <v>79725</v>
      </c>
      <c r="D312" s="22">
        <f>INDEX(Data[],MATCH($A312,Data[Dist],0),MATCH(D$4,Data[#Headers],0))</f>
        <v>186619</v>
      </c>
      <c r="E312" s="22">
        <f>INDEX(Data[],MATCH($A312,Data[Dist],0),MATCH(E$4,Data[#Headers],0))</f>
        <v>18487</v>
      </c>
      <c r="F312" s="22">
        <f>INDEX(Data[],MATCH($A312,Data[Dist],0),MATCH(F$4,Data[#Headers],0))</f>
        <v>19646</v>
      </c>
      <c r="G312" s="22">
        <f>INDEX(Data[],MATCH($A312,Data[Dist],0),MATCH(G$4,Data[#Headers],0))</f>
        <v>98840</v>
      </c>
      <c r="H312" s="22">
        <f>INDEX(Data[],MATCH($A312,Data[Dist],0),MATCH(H$4,Data[#Headers],0))</f>
        <v>1223779</v>
      </c>
      <c r="I312" s="22">
        <f>INDEX(Data[],MATCH($A312,Data[Dist],0),MATCH(I$4,Data[#Headers],0))</f>
        <v>1627096</v>
      </c>
      <c r="J312" s="23"/>
    </row>
    <row r="313" spans="1:10" x14ac:dyDescent="0.2">
      <c r="A313" s="20" t="str">
        <f>Data!B309</f>
        <v>6950</v>
      </c>
      <c r="B313" s="21" t="str">
        <f>INDEX(Data[],MATCH($A313,Data[Dist],0),MATCH(B$4,Data[#Headers],0))</f>
        <v>West Delaware Co</v>
      </c>
      <c r="C313" s="22">
        <f>INDEX(Data[],MATCH($A313,Data[Dist],0),MATCH(C$4,Data[#Headers],0))</f>
        <v>304073</v>
      </c>
      <c r="D313" s="22">
        <f>INDEX(Data[],MATCH($A313,Data[Dist],0),MATCH(D$4,Data[#Headers],0))</f>
        <v>892997</v>
      </c>
      <c r="E313" s="22">
        <f>INDEX(Data[],MATCH($A313,Data[Dist],0),MATCH(E$4,Data[#Headers],0))</f>
        <v>98704</v>
      </c>
      <c r="F313" s="22">
        <f>INDEX(Data[],MATCH($A313,Data[Dist],0),MATCH(F$4,Data[#Headers],0))</f>
        <v>99276</v>
      </c>
      <c r="G313" s="22">
        <f>INDEX(Data[],MATCH($A313,Data[Dist],0),MATCH(G$4,Data[#Headers],0))</f>
        <v>502491</v>
      </c>
      <c r="H313" s="22">
        <f>INDEX(Data[],MATCH($A313,Data[Dist],0),MATCH(H$4,Data[#Headers],0))</f>
        <v>7037997</v>
      </c>
      <c r="I313" s="22">
        <f>INDEX(Data[],MATCH($A313,Data[Dist],0),MATCH(I$4,Data[#Headers],0))</f>
        <v>8935538</v>
      </c>
      <c r="J313" s="23"/>
    </row>
    <row r="314" spans="1:10" x14ac:dyDescent="0.2">
      <c r="A314" s="20" t="str">
        <f>Data!B310</f>
        <v>6957</v>
      </c>
      <c r="B314" s="21" t="str">
        <f>INDEX(Data[],MATCH($A314,Data[Dist],0),MATCH(B$4,Data[#Headers],0))</f>
        <v>West Des Moines</v>
      </c>
      <c r="C314" s="22">
        <f>INDEX(Data[],MATCH($A314,Data[Dist],0),MATCH(C$4,Data[#Headers],0))</f>
        <v>1360634</v>
      </c>
      <c r="D314" s="22">
        <f>INDEX(Data[],MATCH($A314,Data[Dist],0),MATCH(D$4,Data[#Headers],0))</f>
        <v>5450768</v>
      </c>
      <c r="E314" s="22">
        <f>INDEX(Data[],MATCH($A314,Data[Dist],0),MATCH(E$4,Data[#Headers],0))</f>
        <v>615226</v>
      </c>
      <c r="F314" s="22">
        <f>INDEX(Data[],MATCH($A314,Data[Dist],0),MATCH(F$4,Data[#Headers],0))</f>
        <v>620693</v>
      </c>
      <c r="G314" s="22">
        <f>INDEX(Data[],MATCH($A314,Data[Dist],0),MATCH(G$4,Data[#Headers],0))</f>
        <v>3198324</v>
      </c>
      <c r="H314" s="22">
        <f>INDEX(Data[],MATCH($A314,Data[Dist],0),MATCH(H$4,Data[#Headers],0))</f>
        <v>39812648</v>
      </c>
      <c r="I314" s="22">
        <f>INDEX(Data[],MATCH($A314,Data[Dist],0),MATCH(I$4,Data[#Headers],0))</f>
        <v>51058293</v>
      </c>
      <c r="J314" s="23"/>
    </row>
    <row r="315" spans="1:10" x14ac:dyDescent="0.2">
      <c r="A315" s="20" t="str">
        <f>Data!B311</f>
        <v>6961</v>
      </c>
      <c r="B315" s="21" t="str">
        <f>INDEX(Data[],MATCH($A315,Data[Dist],0),MATCH(B$4,Data[#Headers],0))</f>
        <v>Western Dubuque Co</v>
      </c>
      <c r="C315" s="22">
        <f>INDEX(Data[],MATCH($A315,Data[Dist],0),MATCH(C$4,Data[#Headers],0))</f>
        <v>1083261</v>
      </c>
      <c r="D315" s="22">
        <f>INDEX(Data[],MATCH($A315,Data[Dist],0),MATCH(D$4,Data[#Headers],0))</f>
        <v>2080098</v>
      </c>
      <c r="E315" s="22">
        <f>INDEX(Data[],MATCH($A315,Data[Dist],0),MATCH(E$4,Data[#Headers],0))</f>
        <v>240271</v>
      </c>
      <c r="F315" s="22">
        <f>INDEX(Data[],MATCH($A315,Data[Dist],0),MATCH(F$4,Data[#Headers],0))</f>
        <v>231630</v>
      </c>
      <c r="G315" s="22">
        <f>INDEX(Data[],MATCH($A315,Data[Dist],0),MATCH(G$4,Data[#Headers],0))</f>
        <v>1179370</v>
      </c>
      <c r="H315" s="22">
        <f>INDEX(Data[],MATCH($A315,Data[Dist],0),MATCH(H$4,Data[#Headers],0))</f>
        <v>15663390</v>
      </c>
      <c r="I315" s="22">
        <f>INDEX(Data[],MATCH($A315,Data[Dist],0),MATCH(I$4,Data[#Headers],0))</f>
        <v>20478020</v>
      </c>
      <c r="J315" s="23"/>
    </row>
    <row r="316" spans="1:10" x14ac:dyDescent="0.2">
      <c r="A316" s="20" t="str">
        <f>Data!B312</f>
        <v>6969</v>
      </c>
      <c r="B316" s="21" t="str">
        <f>INDEX(Data[],MATCH($A316,Data[Dist],0),MATCH(B$4,Data[#Headers],0))</f>
        <v>West Harrison</v>
      </c>
      <c r="C316" s="22">
        <f>INDEX(Data[],MATCH($A316,Data[Dist],0),MATCH(C$4,Data[#Headers],0))</f>
        <v>45611</v>
      </c>
      <c r="D316" s="22">
        <f>INDEX(Data[],MATCH($A316,Data[Dist],0),MATCH(D$4,Data[#Headers],0))</f>
        <v>239252</v>
      </c>
      <c r="E316" s="22">
        <f>INDEX(Data[],MATCH($A316,Data[Dist],0),MATCH(E$4,Data[#Headers],0))</f>
        <v>22832</v>
      </c>
      <c r="F316" s="22">
        <f>INDEX(Data[],MATCH($A316,Data[Dist],0),MATCH(F$4,Data[#Headers],0))</f>
        <v>26227</v>
      </c>
      <c r="G316" s="22">
        <f>INDEX(Data[],MATCH($A316,Data[Dist],0),MATCH(G$4,Data[#Headers],0))</f>
        <v>131307</v>
      </c>
      <c r="H316" s="22">
        <f>INDEX(Data[],MATCH($A316,Data[Dist],0),MATCH(H$4,Data[#Headers],0))</f>
        <v>1530571</v>
      </c>
      <c r="I316" s="22">
        <f>INDEX(Data[],MATCH($A316,Data[Dist],0),MATCH(I$4,Data[#Headers],0))</f>
        <v>1995800</v>
      </c>
      <c r="J316" s="23"/>
    </row>
    <row r="317" spans="1:10" x14ac:dyDescent="0.2">
      <c r="A317" s="20" t="str">
        <f>Data!B313</f>
        <v>6975</v>
      </c>
      <c r="B317" s="21" t="str">
        <f>INDEX(Data[],MATCH($A317,Data[Dist],0),MATCH(B$4,Data[#Headers],0))</f>
        <v>West Liberty</v>
      </c>
      <c r="C317" s="22">
        <f>INDEX(Data[],MATCH($A317,Data[Dist],0),MATCH(C$4,Data[#Headers],0))</f>
        <v>239458</v>
      </c>
      <c r="D317" s="22">
        <f>INDEX(Data[],MATCH($A317,Data[Dist],0),MATCH(D$4,Data[#Headers],0))</f>
        <v>816982</v>
      </c>
      <c r="E317" s="22">
        <f>INDEX(Data[],MATCH($A317,Data[Dist],0),MATCH(E$4,Data[#Headers],0))</f>
        <v>111023</v>
      </c>
      <c r="F317" s="22">
        <f>INDEX(Data[],MATCH($A317,Data[Dist],0),MATCH(F$4,Data[#Headers],0))</f>
        <v>86161</v>
      </c>
      <c r="G317" s="22">
        <f>INDEX(Data[],MATCH($A317,Data[Dist],0),MATCH(G$4,Data[#Headers],0))</f>
        <v>455171</v>
      </c>
      <c r="H317" s="22">
        <f>INDEX(Data[],MATCH($A317,Data[Dist],0),MATCH(H$4,Data[#Headers],0))</f>
        <v>8107853</v>
      </c>
      <c r="I317" s="22">
        <f>INDEX(Data[],MATCH($A317,Data[Dist],0),MATCH(I$4,Data[#Headers],0))</f>
        <v>9816648</v>
      </c>
      <c r="J317" s="23"/>
    </row>
    <row r="318" spans="1:10" x14ac:dyDescent="0.2">
      <c r="A318" s="20" t="str">
        <f>Data!B314</f>
        <v>6983</v>
      </c>
      <c r="B318" s="21" t="str">
        <f>INDEX(Data[],MATCH($A318,Data[Dist],0),MATCH(B$4,Data[#Headers],0))</f>
        <v>West Lyon</v>
      </c>
      <c r="C318" s="22">
        <f>INDEX(Data[],MATCH($A318,Data[Dist],0),MATCH(C$4,Data[#Headers],0))</f>
        <v>300273</v>
      </c>
      <c r="D318" s="22">
        <f>INDEX(Data[],MATCH($A318,Data[Dist],0),MATCH(D$4,Data[#Headers],0))</f>
        <v>582606</v>
      </c>
      <c r="E318" s="22">
        <f>INDEX(Data[],MATCH($A318,Data[Dist],0),MATCH(E$4,Data[#Headers],0))</f>
        <v>67405</v>
      </c>
      <c r="F318" s="22">
        <f>INDEX(Data[],MATCH($A318,Data[Dist],0),MATCH(F$4,Data[#Headers],0))</f>
        <v>65575</v>
      </c>
      <c r="G318" s="22">
        <f>INDEX(Data[],MATCH($A318,Data[Dist],0),MATCH(G$4,Data[#Headers],0))</f>
        <v>345829</v>
      </c>
      <c r="H318" s="22">
        <f>INDEX(Data[],MATCH($A318,Data[Dist],0),MATCH(H$4,Data[#Headers],0))</f>
        <v>4274046</v>
      </c>
      <c r="I318" s="22">
        <f>INDEX(Data[],MATCH($A318,Data[Dist],0),MATCH(I$4,Data[#Headers],0))</f>
        <v>5635734</v>
      </c>
      <c r="J318" s="23"/>
    </row>
    <row r="319" spans="1:10" x14ac:dyDescent="0.2">
      <c r="A319" s="20" t="str">
        <f>Data!B315</f>
        <v>6985</v>
      </c>
      <c r="B319" s="21" t="str">
        <f>INDEX(Data[],MATCH($A319,Data[Dist],0),MATCH(B$4,Data[#Headers],0))</f>
        <v>West Marshall</v>
      </c>
      <c r="C319" s="22">
        <f>INDEX(Data[],MATCH($A319,Data[Dist],0),MATCH(C$4,Data[#Headers],0))</f>
        <v>178644</v>
      </c>
      <c r="D319" s="22">
        <f>INDEX(Data[],MATCH($A319,Data[Dist],0),MATCH(D$4,Data[#Headers],0))</f>
        <v>517718</v>
      </c>
      <c r="E319" s="22">
        <f>INDEX(Data[],MATCH($A319,Data[Dist],0),MATCH(E$4,Data[#Headers],0))</f>
        <v>62419</v>
      </c>
      <c r="F319" s="22">
        <f>INDEX(Data[],MATCH($A319,Data[Dist],0),MATCH(F$4,Data[#Headers],0))</f>
        <v>51261</v>
      </c>
      <c r="G319" s="22">
        <f>INDEX(Data[],MATCH($A319,Data[Dist],0),MATCH(G$4,Data[#Headers],0))</f>
        <v>291106</v>
      </c>
      <c r="H319" s="22">
        <f>INDEX(Data[],MATCH($A319,Data[Dist],0),MATCH(H$4,Data[#Headers],0))</f>
        <v>4107490</v>
      </c>
      <c r="I319" s="22">
        <f>INDEX(Data[],MATCH($A319,Data[Dist],0),MATCH(I$4,Data[#Headers],0))</f>
        <v>5208638</v>
      </c>
      <c r="J319" s="23"/>
    </row>
    <row r="320" spans="1:10" x14ac:dyDescent="0.2">
      <c r="A320" s="20" t="str">
        <f>Data!B316</f>
        <v>6987</v>
      </c>
      <c r="B320" s="21" t="str">
        <f>INDEX(Data[],MATCH($A320,Data[Dist],0),MATCH(B$4,Data[#Headers],0))</f>
        <v>West Monona</v>
      </c>
      <c r="C320" s="22">
        <f>INDEX(Data[],MATCH($A320,Data[Dist],0),MATCH(C$4,Data[#Headers],0))</f>
        <v>117922</v>
      </c>
      <c r="D320" s="22">
        <f>INDEX(Data[],MATCH($A320,Data[Dist],0),MATCH(D$4,Data[#Headers],0))</f>
        <v>407184</v>
      </c>
      <c r="E320" s="22">
        <f>INDEX(Data[],MATCH($A320,Data[Dist],0),MATCH(E$4,Data[#Headers],0))</f>
        <v>46537</v>
      </c>
      <c r="F320" s="22">
        <f>INDEX(Data[],MATCH($A320,Data[Dist],0),MATCH(F$4,Data[#Headers],0))</f>
        <v>43396</v>
      </c>
      <c r="G320" s="22">
        <f>INDEX(Data[],MATCH($A320,Data[Dist],0),MATCH(G$4,Data[#Headers],0))</f>
        <v>221781</v>
      </c>
      <c r="H320" s="22">
        <f>INDEX(Data[],MATCH($A320,Data[Dist],0),MATCH(H$4,Data[#Headers],0))</f>
        <v>3185363</v>
      </c>
      <c r="I320" s="22">
        <f>INDEX(Data[],MATCH($A320,Data[Dist],0),MATCH(I$4,Data[#Headers],0))</f>
        <v>4022183</v>
      </c>
      <c r="J320" s="23"/>
    </row>
    <row r="321" spans="1:10" x14ac:dyDescent="0.2">
      <c r="A321" s="20" t="str">
        <f>Data!B317</f>
        <v>6990</v>
      </c>
      <c r="B321" s="21" t="str">
        <f>INDEX(Data[],MATCH($A321,Data[Dist],0),MATCH(B$4,Data[#Headers],0))</f>
        <v>West Sioux</v>
      </c>
      <c r="C321" s="22">
        <f>INDEX(Data[],MATCH($A321,Data[Dist],0),MATCH(C$4,Data[#Headers],0))</f>
        <v>140634</v>
      </c>
      <c r="D321" s="22">
        <f>INDEX(Data[],MATCH($A321,Data[Dist],0),MATCH(D$4,Data[#Headers],0))</f>
        <v>546210</v>
      </c>
      <c r="E321" s="22">
        <f>INDEX(Data[],MATCH($A321,Data[Dist],0),MATCH(E$4,Data[#Headers],0))</f>
        <v>64991</v>
      </c>
      <c r="F321" s="22">
        <f>INDEX(Data[],MATCH($A321,Data[Dist],0),MATCH(F$4,Data[#Headers],0))</f>
        <v>62662</v>
      </c>
      <c r="G321" s="22">
        <f>INDEX(Data[],MATCH($A321,Data[Dist],0),MATCH(G$4,Data[#Headers],0))</f>
        <v>293018</v>
      </c>
      <c r="H321" s="22">
        <f>INDEX(Data[],MATCH($A321,Data[Dist],0),MATCH(H$4,Data[#Headers],0))</f>
        <v>5329698</v>
      </c>
      <c r="I321" s="22">
        <f>INDEX(Data[],MATCH($A321,Data[Dist],0),MATCH(I$4,Data[#Headers],0))</f>
        <v>6437213</v>
      </c>
      <c r="J321" s="23"/>
    </row>
    <row r="322" spans="1:10" x14ac:dyDescent="0.2">
      <c r="A322" s="20" t="str">
        <f>Data!B318</f>
        <v>6992</v>
      </c>
      <c r="B322" s="21" t="str">
        <f>INDEX(Data[],MATCH($A322,Data[Dist],0),MATCH(B$4,Data[#Headers],0))</f>
        <v>Westwood</v>
      </c>
      <c r="C322" s="22">
        <f>INDEX(Data[],MATCH($A322,Data[Dist],0),MATCH(C$4,Data[#Headers],0))</f>
        <v>125431</v>
      </c>
      <c r="D322" s="22">
        <f>INDEX(Data[],MATCH($A322,Data[Dist],0),MATCH(D$4,Data[#Headers],0))</f>
        <v>366990</v>
      </c>
      <c r="E322" s="22">
        <f>INDEX(Data[],MATCH($A322,Data[Dist],0),MATCH(E$4,Data[#Headers],0))</f>
        <v>42031</v>
      </c>
      <c r="F322" s="22">
        <f>INDEX(Data[],MATCH($A322,Data[Dist],0),MATCH(F$4,Data[#Headers],0))</f>
        <v>42254</v>
      </c>
      <c r="G322" s="22">
        <f>INDEX(Data[],MATCH($A322,Data[Dist],0),MATCH(G$4,Data[#Headers],0))</f>
        <v>195947</v>
      </c>
      <c r="H322" s="22">
        <f>INDEX(Data[],MATCH($A322,Data[Dist],0),MATCH(H$4,Data[#Headers],0))</f>
        <v>1991038</v>
      </c>
      <c r="I322" s="22">
        <f>INDEX(Data[],MATCH($A322,Data[Dist],0),MATCH(I$4,Data[#Headers],0))</f>
        <v>2763691</v>
      </c>
      <c r="J322" s="23"/>
    </row>
    <row r="323" spans="1:10" x14ac:dyDescent="0.2">
      <c r="A323" s="20" t="str">
        <f>Data!B319</f>
        <v>7002</v>
      </c>
      <c r="B323" s="21" t="str">
        <f>INDEX(Data[],MATCH($A323,Data[Dist],0),MATCH(B$4,Data[#Headers],0))</f>
        <v>Whiting</v>
      </c>
      <c r="C323" s="22">
        <f>INDEX(Data[],MATCH($A323,Data[Dist],0),MATCH(C$4,Data[#Headers],0))</f>
        <v>41811</v>
      </c>
      <c r="D323" s="22">
        <f>INDEX(Data[],MATCH($A323,Data[Dist],0),MATCH(D$4,Data[#Headers],0))</f>
        <v>148903</v>
      </c>
      <c r="E323" s="22">
        <f>INDEX(Data[],MATCH($A323,Data[Dist],0),MATCH(E$4,Data[#Headers],0))</f>
        <v>18474</v>
      </c>
      <c r="F323" s="22">
        <f>INDEX(Data[],MATCH($A323,Data[Dist],0),MATCH(F$4,Data[#Headers],0))</f>
        <v>16793</v>
      </c>
      <c r="G323" s="22">
        <f>INDEX(Data[],MATCH($A323,Data[Dist],0),MATCH(G$4,Data[#Headers],0))</f>
        <v>69055</v>
      </c>
      <c r="H323" s="22">
        <f>INDEX(Data[],MATCH($A323,Data[Dist],0),MATCH(H$4,Data[#Headers],0))</f>
        <v>757163</v>
      </c>
      <c r="I323" s="22">
        <f>INDEX(Data[],MATCH($A323,Data[Dist],0),MATCH(I$4,Data[#Headers],0))</f>
        <v>1052199</v>
      </c>
      <c r="J323" s="23"/>
    </row>
    <row r="324" spans="1:10" x14ac:dyDescent="0.2">
      <c r="A324" s="20" t="str">
        <f>Data!B320</f>
        <v>7029</v>
      </c>
      <c r="B324" s="21" t="str">
        <f>INDEX(Data[],MATCH($A324,Data[Dist],0),MATCH(B$4,Data[#Headers],0))</f>
        <v>Williamsburg</v>
      </c>
      <c r="C324" s="22">
        <f>INDEX(Data[],MATCH($A324,Data[Dist],0),MATCH(C$4,Data[#Headers],0))</f>
        <v>235751</v>
      </c>
      <c r="D324" s="22">
        <f>INDEX(Data[],MATCH($A324,Data[Dist],0),MATCH(D$4,Data[#Headers],0))</f>
        <v>761022</v>
      </c>
      <c r="E324" s="22">
        <f>INDEX(Data[],MATCH($A324,Data[Dist],0),MATCH(E$4,Data[#Headers],0))</f>
        <v>74670</v>
      </c>
      <c r="F324" s="22">
        <f>INDEX(Data[],MATCH($A324,Data[Dist],0),MATCH(F$4,Data[#Headers],0))</f>
        <v>83546</v>
      </c>
      <c r="G324" s="22">
        <f>INDEX(Data[],MATCH($A324,Data[Dist],0),MATCH(G$4,Data[#Headers],0))</f>
        <v>427569</v>
      </c>
      <c r="H324" s="22">
        <f>INDEX(Data[],MATCH($A324,Data[Dist],0),MATCH(H$4,Data[#Headers],0))</f>
        <v>6228749</v>
      </c>
      <c r="I324" s="22">
        <f>INDEX(Data[],MATCH($A324,Data[Dist],0),MATCH(I$4,Data[#Headers],0))</f>
        <v>7811307</v>
      </c>
      <c r="J324" s="23"/>
    </row>
    <row r="325" spans="1:10" x14ac:dyDescent="0.2">
      <c r="A325" s="20" t="str">
        <f>Data!B321</f>
        <v>7038</v>
      </c>
      <c r="B325" s="21" t="str">
        <f>INDEX(Data[],MATCH($A325,Data[Dist],0),MATCH(B$4,Data[#Headers],0))</f>
        <v>Wilton</v>
      </c>
      <c r="C325" s="22">
        <f>INDEX(Data[],MATCH($A325,Data[Dist],0),MATCH(C$4,Data[#Headers],0))</f>
        <v>212851</v>
      </c>
      <c r="D325" s="22">
        <f>INDEX(Data[],MATCH($A325,Data[Dist],0),MATCH(D$4,Data[#Headers],0))</f>
        <v>570739</v>
      </c>
      <c r="E325" s="22">
        <f>INDEX(Data[],MATCH($A325,Data[Dist],0),MATCH(E$4,Data[#Headers],0))</f>
        <v>65281</v>
      </c>
      <c r="F325" s="22">
        <f>INDEX(Data[],MATCH($A325,Data[Dist],0),MATCH(F$4,Data[#Headers],0))</f>
        <v>63824</v>
      </c>
      <c r="G325" s="22">
        <f>INDEX(Data[],MATCH($A325,Data[Dist],0),MATCH(G$4,Data[#Headers],0))</f>
        <v>313951</v>
      </c>
      <c r="H325" s="22">
        <f>INDEX(Data[],MATCH($A325,Data[Dist],0),MATCH(H$4,Data[#Headers],0))</f>
        <v>5059160</v>
      </c>
      <c r="I325" s="22">
        <f>INDEX(Data[],MATCH($A325,Data[Dist],0),MATCH(I$4,Data[#Headers],0))</f>
        <v>6285806</v>
      </c>
      <c r="J325" s="23"/>
    </row>
    <row r="326" spans="1:10" x14ac:dyDescent="0.2">
      <c r="A326" s="20" t="str">
        <f>Data!B322</f>
        <v>7047</v>
      </c>
      <c r="B326" s="21" t="str">
        <f>INDEX(Data[],MATCH($A326,Data[Dist],0),MATCH(B$4,Data[#Headers],0))</f>
        <v>Winfield-Mt Union</v>
      </c>
      <c r="C326" s="22">
        <f>INDEX(Data[],MATCH($A326,Data[Dist],0),MATCH(C$4,Data[#Headers],0))</f>
        <v>72218</v>
      </c>
      <c r="D326" s="22">
        <f>INDEX(Data[],MATCH($A326,Data[Dist],0),MATCH(D$4,Data[#Headers],0))</f>
        <v>209148</v>
      </c>
      <c r="E326" s="22">
        <f>INDEX(Data[],MATCH($A326,Data[Dist],0),MATCH(E$4,Data[#Headers],0))</f>
        <v>25747</v>
      </c>
      <c r="F326" s="22">
        <f>INDEX(Data[],MATCH($A326,Data[Dist],0),MATCH(F$4,Data[#Headers],0))</f>
        <v>22775</v>
      </c>
      <c r="G326" s="22">
        <f>INDEX(Data[],MATCH($A326,Data[Dist],0),MATCH(G$4,Data[#Headers],0))</f>
        <v>112844</v>
      </c>
      <c r="H326" s="22">
        <f>INDEX(Data[],MATCH($A326,Data[Dist],0),MATCH(H$4,Data[#Headers],0))</f>
        <v>1739743</v>
      </c>
      <c r="I326" s="22">
        <f>INDEX(Data[],MATCH($A326,Data[Dist],0),MATCH(I$4,Data[#Headers],0))</f>
        <v>2182475</v>
      </c>
      <c r="J326" s="23"/>
    </row>
    <row r="327" spans="1:10" x14ac:dyDescent="0.2">
      <c r="A327" s="20" t="str">
        <f>Data!B323</f>
        <v>7056</v>
      </c>
      <c r="B327" s="21" t="str">
        <f>INDEX(Data[],MATCH($A327,Data[Dist],0),MATCH(B$4,Data[#Headers],0))</f>
        <v>Winterset</v>
      </c>
      <c r="C327" s="22">
        <f>INDEX(Data[],MATCH($A327,Data[Dist],0),MATCH(C$4,Data[#Headers],0))</f>
        <v>254662</v>
      </c>
      <c r="D327" s="22">
        <f>INDEX(Data[],MATCH($A327,Data[Dist],0),MATCH(D$4,Data[#Headers],0))</f>
        <v>1061670</v>
      </c>
      <c r="E327" s="22">
        <f>INDEX(Data[],MATCH($A327,Data[Dist],0),MATCH(E$4,Data[#Headers],0))</f>
        <v>137019</v>
      </c>
      <c r="F327" s="22">
        <f>INDEX(Data[],MATCH($A327,Data[Dist],0),MATCH(F$4,Data[#Headers],0))</f>
        <v>115444</v>
      </c>
      <c r="G327" s="22">
        <f>INDEX(Data[],MATCH($A327,Data[Dist],0),MATCH(G$4,Data[#Headers],0))</f>
        <v>614450</v>
      </c>
      <c r="H327" s="22">
        <f>INDEX(Data[],MATCH($A327,Data[Dist],0),MATCH(H$4,Data[#Headers],0))</f>
        <v>9633299</v>
      </c>
      <c r="I327" s="22">
        <f>INDEX(Data[],MATCH($A327,Data[Dist],0),MATCH(I$4,Data[#Headers],0))</f>
        <v>11816544</v>
      </c>
      <c r="J327" s="23"/>
    </row>
    <row r="328" spans="1:10" x14ac:dyDescent="0.2">
      <c r="A328" s="20" t="str">
        <f>Data!B324</f>
        <v>7092</v>
      </c>
      <c r="B328" s="21" t="str">
        <f>INDEX(Data[],MATCH($A328,Data[Dist],0),MATCH(B$4,Data[#Headers],0))</f>
        <v>Woodbine</v>
      </c>
      <c r="C328" s="22">
        <f>INDEX(Data[],MATCH($A328,Data[Dist],0),MATCH(C$4,Data[#Headers],0))</f>
        <v>152037</v>
      </c>
      <c r="D328" s="22">
        <f>INDEX(Data[],MATCH($A328,Data[Dist],0),MATCH(D$4,Data[#Headers],0))</f>
        <v>329290</v>
      </c>
      <c r="E328" s="22">
        <f>INDEX(Data[],MATCH($A328,Data[Dist],0),MATCH(E$4,Data[#Headers],0))</f>
        <v>38543</v>
      </c>
      <c r="F328" s="22">
        <f>INDEX(Data[],MATCH($A328,Data[Dist],0),MATCH(F$4,Data[#Headers],0))</f>
        <v>36917</v>
      </c>
      <c r="G328" s="22">
        <f>INDEX(Data[],MATCH($A328,Data[Dist],0),MATCH(G$4,Data[#Headers],0))</f>
        <v>171735</v>
      </c>
      <c r="H328" s="22">
        <f>INDEX(Data[],MATCH($A328,Data[Dist],0),MATCH(H$4,Data[#Headers],0))</f>
        <v>2524462</v>
      </c>
      <c r="I328" s="22">
        <f>INDEX(Data[],MATCH($A328,Data[Dist],0),MATCH(I$4,Data[#Headers],0))</f>
        <v>3252984</v>
      </c>
      <c r="J328" s="23"/>
    </row>
    <row r="329" spans="1:10" x14ac:dyDescent="0.2">
      <c r="A329" s="20" t="str">
        <f>Data!B325</f>
        <v>7098</v>
      </c>
      <c r="B329" s="21" t="str">
        <f>INDEX(Data[],MATCH($A329,Data[Dist],0),MATCH(B$4,Data[#Headers],0))</f>
        <v>Woodbury Central</v>
      </c>
      <c r="C329" s="22">
        <f>INDEX(Data[],MATCH($A329,Data[Dist],0),MATCH(C$4,Data[#Headers],0))</f>
        <v>102625</v>
      </c>
      <c r="D329" s="22">
        <f>INDEX(Data[],MATCH($A329,Data[Dist],0),MATCH(D$4,Data[#Headers],0))</f>
        <v>339836</v>
      </c>
      <c r="E329" s="22">
        <f>INDEX(Data[],MATCH($A329,Data[Dist],0),MATCH(E$4,Data[#Headers],0))</f>
        <v>39011</v>
      </c>
      <c r="F329" s="22">
        <f>INDEX(Data[],MATCH($A329,Data[Dist],0),MATCH(F$4,Data[#Headers],0))</f>
        <v>37173</v>
      </c>
      <c r="G329" s="22">
        <f>INDEX(Data[],MATCH($A329,Data[Dist],0),MATCH(G$4,Data[#Headers],0))</f>
        <v>190346</v>
      </c>
      <c r="H329" s="22">
        <f>INDEX(Data[],MATCH($A329,Data[Dist],0),MATCH(H$4,Data[#Headers],0))</f>
        <v>2943054</v>
      </c>
      <c r="I329" s="22">
        <f>INDEX(Data[],MATCH($A329,Data[Dist],0),MATCH(I$4,Data[#Headers],0))</f>
        <v>3652045</v>
      </c>
      <c r="J329" s="23"/>
    </row>
    <row r="330" spans="1:10" x14ac:dyDescent="0.2">
      <c r="A330" s="20" t="str">
        <f>Data!B326</f>
        <v>7110</v>
      </c>
      <c r="B330" s="21" t="str">
        <f>INDEX(Data[],MATCH($A330,Data[Dist],0),MATCH(B$4,Data[#Headers],0))</f>
        <v>Woodward-Granger</v>
      </c>
      <c r="C330" s="22">
        <f>INDEX(Data[],MATCH($A330,Data[Dist],0),MATCH(C$4,Data[#Headers],0))</f>
        <v>243259</v>
      </c>
      <c r="D330" s="22">
        <f>INDEX(Data[],MATCH($A330,Data[Dist],0),MATCH(D$4,Data[#Headers],0))</f>
        <v>691799</v>
      </c>
      <c r="E330" s="22">
        <f>INDEX(Data[],MATCH($A330,Data[Dist],0),MATCH(E$4,Data[#Headers],0))</f>
        <v>77507</v>
      </c>
      <c r="F330" s="22">
        <f>INDEX(Data[],MATCH($A330,Data[Dist],0),MATCH(F$4,Data[#Headers],0))</f>
        <v>73106</v>
      </c>
      <c r="G330" s="22">
        <f>INDEX(Data[],MATCH($A330,Data[Dist],0),MATCH(G$4,Data[#Headers],0))</f>
        <v>391711</v>
      </c>
      <c r="H330" s="22">
        <f>INDEX(Data[],MATCH($A330,Data[Dist],0),MATCH(H$4,Data[#Headers],0))</f>
        <v>5932253</v>
      </c>
      <c r="I330" s="22">
        <f>INDEX(Data[],MATCH($A330,Data[Dist],0),MATCH(I$4,Data[#Headers],0))</f>
        <v>7409635</v>
      </c>
      <c r="J330" s="23"/>
    </row>
    <row r="331" spans="1:10" ht="13.5" thickBot="1" x14ac:dyDescent="0.25">
      <c r="C331" s="24">
        <f t="shared" ref="C331:I331" si="0">SUM(C6:C330)</f>
        <v>89823116</v>
      </c>
      <c r="D331" s="24">
        <f t="shared" si="0"/>
        <v>317930217</v>
      </c>
      <c r="E331" s="24">
        <f t="shared" si="0"/>
        <v>39115945</v>
      </c>
      <c r="F331" s="24">
        <f t="shared" si="0"/>
        <v>35987009</v>
      </c>
      <c r="G331" s="24">
        <f t="shared" si="0"/>
        <v>179415199</v>
      </c>
      <c r="H331" s="24">
        <f t="shared" si="0"/>
        <v>2811513012</v>
      </c>
      <c r="I331" s="24">
        <f t="shared" si="0"/>
        <v>3473784498</v>
      </c>
    </row>
    <row r="332" spans="1:10" ht="13.5" thickTop="1" x14ac:dyDescent="0.2"/>
  </sheetData>
  <sheetProtection sheet="1" objects="1" scenarios="1"/>
  <mergeCells count="1">
    <mergeCell ref="A1:I1"/>
  </mergeCells>
  <pageMargins left="0.5" right="0.45" top="0.6" bottom="0.5" header="0.3" footer="0.3"/>
  <pageSetup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Y343"/>
  <sheetViews>
    <sheetView workbookViewId="0">
      <pane xSplit="2" ySplit="5" topLeftCell="C300" activePane="bottomRight" state="frozen"/>
      <selection pane="topRight" activeCell="C1" sqref="C1"/>
      <selection pane="bottomLeft" activeCell="A6" sqref="A6"/>
      <selection pane="bottomRight" sqref="A1:H1"/>
    </sheetView>
  </sheetViews>
  <sheetFormatPr defaultRowHeight="11.25" x14ac:dyDescent="0.2"/>
  <cols>
    <col min="1" max="1" width="9.140625" style="46" customWidth="1"/>
    <col min="2" max="2" width="24.5703125" style="47" bestFit="1" customWidth="1"/>
    <col min="3" max="3" width="15.42578125" style="48" customWidth="1"/>
    <col min="4" max="6" width="15.42578125" style="163" hidden="1" customWidth="1"/>
    <col min="7" max="8" width="15.42578125" style="48" customWidth="1"/>
    <col min="9" max="9" width="9.140625" style="47" customWidth="1"/>
    <col min="10" max="15" width="9.140625" style="47" hidden="1" customWidth="1"/>
    <col min="16" max="16" width="12.85546875" style="47" hidden="1" customWidth="1"/>
    <col min="17" max="18" width="9.140625" style="47" hidden="1" customWidth="1"/>
    <col min="19" max="19" width="10" style="47" hidden="1" customWidth="1"/>
    <col min="20" max="20" width="9.140625" style="66" hidden="1" customWidth="1"/>
    <col min="21" max="25" width="9.140625" style="47" hidden="1" customWidth="1"/>
    <col min="26" max="26" width="9.140625" style="47" customWidth="1"/>
    <col min="27" max="16384" width="9.140625" style="47"/>
  </cols>
  <sheetData>
    <row r="1" spans="1:25" s="11" customFormat="1" ht="17.25" customHeight="1" x14ac:dyDescent="0.3">
      <c r="A1" s="210" t="str">
        <f>CONCATENATE("FY ",Notes!$B$1," State Payments to School Districts (",Notes!$B$2," Total)")</f>
        <v>FY 2024 State Payments to School Districts (November Total)</v>
      </c>
      <c r="B1" s="210"/>
      <c r="C1" s="210"/>
      <c r="D1" s="210"/>
      <c r="E1" s="210"/>
      <c r="F1" s="210"/>
      <c r="G1" s="210"/>
      <c r="H1" s="210"/>
      <c r="I1" s="10"/>
      <c r="J1" s="221" t="s">
        <v>765</v>
      </c>
      <c r="K1" s="221"/>
      <c r="L1" s="221"/>
      <c r="M1" s="221"/>
      <c r="N1" s="221"/>
      <c r="O1" s="10"/>
      <c r="P1" s="35"/>
      <c r="Q1" s="35"/>
      <c r="R1" s="36"/>
      <c r="S1" s="36"/>
      <c r="T1" s="222" t="s">
        <v>768</v>
      </c>
    </row>
    <row r="2" spans="1:25" s="11" customFormat="1" ht="27.75" customHeight="1" x14ac:dyDescent="0.2">
      <c r="A2" s="218" t="s">
        <v>17</v>
      </c>
      <c r="B2" s="218"/>
      <c r="C2" s="218"/>
      <c r="D2" s="218"/>
      <c r="E2" s="218"/>
      <c r="F2" s="218"/>
      <c r="G2" s="218"/>
      <c r="H2" s="218"/>
      <c r="I2" s="28"/>
      <c r="J2" s="220" t="s">
        <v>757</v>
      </c>
      <c r="K2" s="220" t="s">
        <v>758</v>
      </c>
      <c r="L2" s="220" t="s">
        <v>759</v>
      </c>
      <c r="M2" s="220" t="s">
        <v>769</v>
      </c>
      <c r="N2" s="220" t="s">
        <v>760</v>
      </c>
      <c r="O2" s="28"/>
      <c r="P2" s="37"/>
      <c r="Q2" s="37"/>
      <c r="R2" s="36"/>
      <c r="S2" s="219" t="s">
        <v>749</v>
      </c>
      <c r="T2" s="222"/>
      <c r="V2" s="212" t="s">
        <v>805</v>
      </c>
      <c r="W2" s="212"/>
      <c r="X2" s="212"/>
      <c r="Y2" s="212"/>
    </row>
    <row r="3" spans="1:25" s="14" customFormat="1" ht="12.75" customHeight="1" x14ac:dyDescent="0.2">
      <c r="A3" s="213"/>
      <c r="B3" s="214"/>
      <c r="C3" s="215" t="s">
        <v>12</v>
      </c>
      <c r="D3" s="216"/>
      <c r="E3" s="216"/>
      <c r="F3" s="216"/>
      <c r="G3" s="216"/>
      <c r="H3" s="217"/>
      <c r="J3" s="220"/>
      <c r="K3" s="220"/>
      <c r="L3" s="220"/>
      <c r="M3" s="220"/>
      <c r="N3" s="220"/>
      <c r="P3" s="38"/>
      <c r="Q3" s="38"/>
      <c r="R3" s="38"/>
      <c r="S3" s="219"/>
      <c r="T3" s="222"/>
      <c r="V3" s="212"/>
      <c r="W3" s="212"/>
      <c r="X3" s="212"/>
      <c r="Y3" s="212"/>
    </row>
    <row r="4" spans="1:25" s="14" customFormat="1" ht="11.25" customHeight="1" x14ac:dyDescent="0.2">
      <c r="A4" s="13"/>
      <c r="C4" s="60" t="str">
        <f>IF(OR(Notes!$B$2="September",Notes!$B$2="October",Notes!$B$2="November",Notes!$B$2="December"),Notes!$B$2,"Sept - Dec")</f>
        <v>November</v>
      </c>
      <c r="D4" s="157" t="str">
        <f>IF(OR(Notes!$B$2="January",Notes!$B$2="February"),Notes!$B$2,"Jan - Feb")</f>
        <v>Jan - Feb</v>
      </c>
      <c r="E4" s="157" t="str">
        <f>IF(OR(Notes!$B$2="March",Notes!$B$2="April",Notes!$B$2="May"),Notes!$B$2,"March - May")</f>
        <v>March - May</v>
      </c>
      <c r="F4" s="157" t="str">
        <f>IF(Notes!$B$2="June",Notes!$B$2,"June")</f>
        <v>June</v>
      </c>
      <c r="G4" s="60" t="s">
        <v>727</v>
      </c>
      <c r="H4" s="39" t="s">
        <v>746</v>
      </c>
      <c r="J4" s="220"/>
      <c r="K4" s="220"/>
      <c r="L4" s="220"/>
      <c r="M4" s="220"/>
      <c r="N4" s="220"/>
      <c r="P4" s="38"/>
      <c r="Q4" s="38"/>
      <c r="R4" s="38"/>
      <c r="S4" s="219"/>
      <c r="T4" s="222"/>
      <c r="V4" s="212"/>
      <c r="W4" s="212"/>
      <c r="X4" s="212"/>
      <c r="Y4" s="212"/>
    </row>
    <row r="5" spans="1:25" s="14" customFormat="1" ht="11.25" customHeight="1" x14ac:dyDescent="0.2">
      <c r="A5" s="13"/>
      <c r="C5" s="40" t="s">
        <v>726</v>
      </c>
      <c r="D5" s="158" t="s">
        <v>726</v>
      </c>
      <c r="E5" s="158" t="s">
        <v>726</v>
      </c>
      <c r="F5" s="158" t="s">
        <v>726</v>
      </c>
      <c r="G5" s="40" t="str">
        <f>Notes!$B$2</f>
        <v>November</v>
      </c>
      <c r="H5" s="41" t="s">
        <v>747</v>
      </c>
      <c r="J5" s="220"/>
      <c r="K5" s="220"/>
      <c r="L5" s="220"/>
      <c r="M5" s="220"/>
      <c r="N5" s="220"/>
      <c r="P5" s="38" t="s">
        <v>752</v>
      </c>
      <c r="Q5" s="38"/>
      <c r="R5" s="38"/>
      <c r="S5" s="219"/>
      <c r="T5" s="222"/>
      <c r="V5" s="212"/>
      <c r="W5" s="212"/>
      <c r="X5" s="212"/>
      <c r="Y5" s="212"/>
    </row>
    <row r="6" spans="1:25" s="14" customFormat="1" ht="11.25" hidden="1" customHeight="1" x14ac:dyDescent="0.2">
      <c r="A6" s="17"/>
      <c r="B6" s="18" t="str">
        <f>Data[[#Headers],[Label]]</f>
        <v>Label</v>
      </c>
      <c r="C6" s="42" t="str">
        <f>IF(OR(Notes!$B$2="September",Notes!$B$2="October",Notes!$B$2="November",Notes!$B$2="December"),CONCATENATE(Notes!$B$2," Payment"),"December Payment")</f>
        <v>November Payment</v>
      </c>
      <c r="D6" s="159" t="str">
        <f>IF(OR(Notes!$B$2="January",Notes!$B$2="February"),CONCATENATE(Notes!$B$2," Payment"),"February Payment")</f>
        <v>February Payment</v>
      </c>
      <c r="E6" s="159" t="str">
        <f>IF(OR(Notes!$B$2="March",Notes!$B$2="April",Notes!$B$2="May"),CONCATENATE(Notes!$B$2," Payment"),"May Payment")</f>
        <v>May Payment</v>
      </c>
      <c r="F6" s="159" t="str">
        <f>IF(Notes!$B$2="June",CONCATENATE(Notes!$B$2," Payment"),"June Payment")</f>
        <v>June Payment</v>
      </c>
      <c r="G6" s="42" t="str">
        <f>CONCATENATE("Paid Thru ",Notes!$B$2)</f>
        <v>Paid Thru November</v>
      </c>
      <c r="H6" s="43" t="str">
        <f>Notes!$B$3</f>
        <v>Pay 1 Regular State Payment Budget</v>
      </c>
      <c r="P6" s="38" t="s">
        <v>748</v>
      </c>
      <c r="Q6" s="38"/>
      <c r="R6" s="38"/>
      <c r="S6" s="38"/>
      <c r="T6" s="64" t="s">
        <v>750</v>
      </c>
    </row>
    <row r="7" spans="1:25" s="21" customFormat="1" ht="12.75" x14ac:dyDescent="0.2">
      <c r="A7" s="20" t="str">
        <f>Data!B2</f>
        <v>0009</v>
      </c>
      <c r="B7" s="21" t="str">
        <f>INDEX(Data[],MATCH($A7,Data[Dist],0),MATCH(B$6,Data[#Headers],0))</f>
        <v>AGWSR</v>
      </c>
      <c r="C7" s="22">
        <f>INDEX(Data[],MATCH($A7,Data[Dist],0),MATCH(C$6,Data[#Headers],0))</f>
        <v>389254</v>
      </c>
      <c r="D7" s="160">
        <f>INDEX(Data[],MATCH($A7,Data[Dist],0),MATCH(D$6,Data[#Headers],0))</f>
        <v>386625</v>
      </c>
      <c r="E7" s="160">
        <f>INDEX(Data[],MATCH($A7,Data[Dist],0),MATCH(E$6,Data[#Headers],0))</f>
        <v>386626</v>
      </c>
      <c r="F7" s="160">
        <f>INDEX(Data[],MATCH($A7,Data[Dist],0),MATCH(F$6,Data[#Headers],0))</f>
        <v>386624</v>
      </c>
      <c r="G7" s="22">
        <f>INDEX(Data[],MATCH($A7,Data[Dist],0),MATCH(G$6,Data[#Headers],0))</f>
        <v>1167762</v>
      </c>
      <c r="H7" s="22">
        <f>INDEX(Data[],MATCH($A7,Data[Dist],0),MATCH(H$6,Data[#Headers],0))-G7</f>
        <v>2724773</v>
      </c>
      <c r="I7" s="23"/>
      <c r="J7" s="22">
        <f>INDEX(Notes!$I$2:$N$11,MATCH(Notes!$B$2,Notes!$I$2:$I$11,0),4)*$C7</f>
        <v>1167762</v>
      </c>
      <c r="K7" s="22">
        <f>INDEX(Notes!$I$2:$N$11,MATCH(Notes!$B$2,Notes!$I$2:$I$11,0),5)*$D7</f>
        <v>0</v>
      </c>
      <c r="L7" s="22">
        <f>INDEX(Notes!$I$2:$N$11,MATCH(Notes!$B$2,Notes!$I$2:$I$11,0),6)*$E7</f>
        <v>0</v>
      </c>
      <c r="M7" s="22">
        <f>IF(Notes!$B$2="June",'Payment Total'!$F7,0)</f>
        <v>0</v>
      </c>
      <c r="N7" s="22">
        <f>SUM(J7:M7)-G7</f>
        <v>0</v>
      </c>
      <c r="P7" s="21" t="s">
        <v>843</v>
      </c>
      <c r="Q7" s="21">
        <v>389254</v>
      </c>
      <c r="R7" s="21" t="str">
        <f>TEXT(P7/10000,"0000")</f>
        <v>0009</v>
      </c>
      <c r="S7" s="44" t="str">
        <f>IF(R7="1968","3582",IF(R7="5160","5319",IF(R7="5510","4824",IF(R7="6536","1935",IF(R7="6035","6048",IF(R7="5325","5323",IF(R7="6099","5157",R7)))))))</f>
        <v>0009</v>
      </c>
      <c r="T7" s="45">
        <f>INDEX($A$7:$H$331,MATCH($S7,$A$7:$A$331,0),3)-Q7</f>
        <v>0</v>
      </c>
      <c r="V7" s="45"/>
    </row>
    <row r="8" spans="1:25" s="21" customFormat="1" ht="12.75" x14ac:dyDescent="0.2">
      <c r="A8" s="20" t="str">
        <f>Data!B3</f>
        <v>0018</v>
      </c>
      <c r="B8" s="21" t="str">
        <f>INDEX(Data[],MATCH($A8,Data[Dist],0),MATCH(B$6,Data[#Headers],0))</f>
        <v>Adair-Casey</v>
      </c>
      <c r="C8" s="22">
        <f>INDEX(Data[],MATCH($A8,Data[Dist],0),MATCH(C$6,Data[#Headers],0))</f>
        <v>193391</v>
      </c>
      <c r="D8" s="160">
        <f>INDEX(Data[],MATCH($A8,Data[Dist],0),MATCH(D$6,Data[#Headers],0))</f>
        <v>192219</v>
      </c>
      <c r="E8" s="160">
        <f>INDEX(Data[],MATCH($A8,Data[Dist],0),MATCH(E$6,Data[#Headers],0))</f>
        <v>192218</v>
      </c>
      <c r="F8" s="160">
        <f>INDEX(Data[],MATCH($A8,Data[Dist],0),MATCH(F$6,Data[#Headers],0))</f>
        <v>192219</v>
      </c>
      <c r="G8" s="22">
        <f>INDEX(Data[],MATCH($A8,Data[Dist],0),MATCH(G$6,Data[#Headers],0))</f>
        <v>580173</v>
      </c>
      <c r="H8" s="22">
        <f>INDEX(Data[],MATCH($A8,Data[Dist],0),MATCH(H$6,Data[#Headers],0))-G8</f>
        <v>1353738</v>
      </c>
      <c r="I8" s="23"/>
      <c r="J8" s="22">
        <f>INDEX(Notes!$I$2:$N$11,MATCH(Notes!$B$2,Notes!$I$2:$I$11,0),4)*$C8</f>
        <v>580173</v>
      </c>
      <c r="K8" s="22">
        <f>INDEX(Notes!$I$2:$N$11,MATCH(Notes!$B$2,Notes!$I$2:$I$11,0),5)*$D8</f>
        <v>0</v>
      </c>
      <c r="L8" s="22">
        <f>INDEX(Notes!$I$2:$N$11,MATCH(Notes!$B$2,Notes!$I$2:$I$11,0),6)*$E8</f>
        <v>0</v>
      </c>
      <c r="M8" s="22">
        <f>IF(Notes!$B$2="June",'Payment Total'!$F8,0)</f>
        <v>0</v>
      </c>
      <c r="N8" s="22">
        <f t="shared" ref="N8:N71" si="0">SUM(J8:M8)-G8</f>
        <v>0</v>
      </c>
      <c r="P8" s="21" t="s">
        <v>844</v>
      </c>
      <c r="Q8" s="21">
        <v>193391</v>
      </c>
      <c r="R8" s="21" t="str">
        <f t="shared" ref="R8:R71" si="1">TEXT(P8/10000,"0000")</f>
        <v>0018</v>
      </c>
      <c r="S8" s="44" t="str">
        <f t="shared" ref="S8:S71" si="2">IF(R8="1968","3582",IF(R8="5160","5319",IF(R8="5510","4824",IF(R8="6536","1935",IF(R8="6035","6048",IF(R8="5325","5323",IF(R8="6099","5157",R8)))))))</f>
        <v>0018</v>
      </c>
      <c r="T8" s="45">
        <f t="shared" ref="T8:T71" si="3">INDEX($A$7:$H$331,MATCH($S8,$A$7:$A$331,0),3)-Q8</f>
        <v>0</v>
      </c>
      <c r="V8" s="45"/>
    </row>
    <row r="9" spans="1:25" s="21" customFormat="1" ht="12.75" x14ac:dyDescent="0.2">
      <c r="A9" s="20" t="str">
        <f>Data!B4</f>
        <v>0027</v>
      </c>
      <c r="B9" s="21" t="str">
        <f>INDEX(Data[],MATCH($A9,Data[Dist],0),MATCH(B$6,Data[#Headers],0))</f>
        <v>Adel-Desoto-Minburn</v>
      </c>
      <c r="C9" s="22">
        <f>INDEX(Data[],MATCH($A9,Data[Dist],0),MATCH(C$6,Data[#Headers],0))</f>
        <v>1558123</v>
      </c>
      <c r="D9" s="160">
        <f>INDEX(Data[],MATCH($A9,Data[Dist],0),MATCH(D$6,Data[#Headers],0))</f>
        <v>1549965</v>
      </c>
      <c r="E9" s="160">
        <f>INDEX(Data[],MATCH($A9,Data[Dist],0),MATCH(E$6,Data[#Headers],0))</f>
        <v>1549965</v>
      </c>
      <c r="F9" s="160">
        <f>INDEX(Data[],MATCH($A9,Data[Dist],0),MATCH(F$6,Data[#Headers],0))</f>
        <v>1549965</v>
      </c>
      <c r="G9" s="22">
        <f>INDEX(Data[],MATCH($A9,Data[Dist],0),MATCH(G$6,Data[#Headers],0))</f>
        <v>4674369</v>
      </c>
      <c r="H9" s="22">
        <f>INDEX(Data[],MATCH($A9,Data[Dist],0),MATCH(H$6,Data[#Headers],0))-G9</f>
        <v>10906860</v>
      </c>
      <c r="I9" s="23"/>
      <c r="J9" s="22">
        <f>INDEX(Notes!$I$2:$N$11,MATCH(Notes!$B$2,Notes!$I$2:$I$11,0),4)*$C9</f>
        <v>4674369</v>
      </c>
      <c r="K9" s="22">
        <f>INDEX(Notes!$I$2:$N$11,MATCH(Notes!$B$2,Notes!$I$2:$I$11,0),5)*$D9</f>
        <v>0</v>
      </c>
      <c r="L9" s="22">
        <f>INDEX(Notes!$I$2:$N$11,MATCH(Notes!$B$2,Notes!$I$2:$I$11,0),6)*$E9</f>
        <v>0</v>
      </c>
      <c r="M9" s="22">
        <f>IF(Notes!$B$2="June",'Payment Total'!$F9,0)</f>
        <v>0</v>
      </c>
      <c r="N9" s="22">
        <f t="shared" si="0"/>
        <v>0</v>
      </c>
      <c r="P9" s="21" t="s">
        <v>845</v>
      </c>
      <c r="Q9" s="21">
        <v>1558123</v>
      </c>
      <c r="R9" s="21" t="str">
        <f t="shared" si="1"/>
        <v>0027</v>
      </c>
      <c r="S9" s="44" t="str">
        <f t="shared" si="2"/>
        <v>0027</v>
      </c>
      <c r="T9" s="45">
        <f t="shared" si="3"/>
        <v>0</v>
      </c>
      <c r="V9" s="45"/>
    </row>
    <row r="10" spans="1:25" s="21" customFormat="1" ht="12.75" x14ac:dyDescent="0.2">
      <c r="A10" s="20" t="str">
        <f>Data!B5</f>
        <v>0063</v>
      </c>
      <c r="B10" s="21" t="str">
        <f>INDEX(Data[],MATCH($A10,Data[Dist],0),MATCH(B$6,Data[#Headers],0))</f>
        <v>Akron-Westfield</v>
      </c>
      <c r="C10" s="22">
        <f>INDEX(Data[],MATCH($A10,Data[Dist],0),MATCH(C$6,Data[#Headers],0))</f>
        <v>398622</v>
      </c>
      <c r="D10" s="160">
        <f>INDEX(Data[],MATCH($A10,Data[Dist],0),MATCH(D$6,Data[#Headers],0))</f>
        <v>396497</v>
      </c>
      <c r="E10" s="160">
        <f>INDEX(Data[],MATCH($A10,Data[Dist],0),MATCH(E$6,Data[#Headers],0))</f>
        <v>396497</v>
      </c>
      <c r="F10" s="160">
        <f>INDEX(Data[],MATCH($A10,Data[Dist],0),MATCH(F$6,Data[#Headers],0))</f>
        <v>396496</v>
      </c>
      <c r="G10" s="22">
        <f>INDEX(Data[],MATCH($A10,Data[Dist],0),MATCH(G$6,Data[#Headers],0))</f>
        <v>1195866</v>
      </c>
      <c r="H10" s="22">
        <f>INDEX(Data[],MATCH($A10,Data[Dist],0),MATCH(H$6,Data[#Headers],0))-G10</f>
        <v>2790356</v>
      </c>
      <c r="I10" s="23"/>
      <c r="J10" s="22">
        <f>INDEX(Notes!$I$2:$N$11,MATCH(Notes!$B$2,Notes!$I$2:$I$11,0),4)*$C10</f>
        <v>1195866</v>
      </c>
      <c r="K10" s="22">
        <f>INDEX(Notes!$I$2:$N$11,MATCH(Notes!$B$2,Notes!$I$2:$I$11,0),5)*$D10</f>
        <v>0</v>
      </c>
      <c r="L10" s="22">
        <f>INDEX(Notes!$I$2:$N$11,MATCH(Notes!$B$2,Notes!$I$2:$I$11,0),6)*$E10</f>
        <v>0</v>
      </c>
      <c r="M10" s="22">
        <f>IF(Notes!$B$2="June",'Payment Total'!$F10,0)</f>
        <v>0</v>
      </c>
      <c r="N10" s="22">
        <f t="shared" si="0"/>
        <v>0</v>
      </c>
      <c r="P10" s="21" t="s">
        <v>846</v>
      </c>
      <c r="Q10" s="21">
        <v>398622</v>
      </c>
      <c r="R10" s="21" t="str">
        <f t="shared" si="1"/>
        <v>0063</v>
      </c>
      <c r="S10" s="44" t="str">
        <f t="shared" si="2"/>
        <v>0063</v>
      </c>
      <c r="T10" s="45">
        <f t="shared" si="3"/>
        <v>0</v>
      </c>
      <c r="V10" s="45"/>
    </row>
    <row r="11" spans="1:25" s="21" customFormat="1" ht="12.75" x14ac:dyDescent="0.2">
      <c r="A11" s="20" t="str">
        <f>Data!B6</f>
        <v>0072</v>
      </c>
      <c r="B11" s="21" t="str">
        <f>INDEX(Data[],MATCH($A11,Data[Dist],0),MATCH(B$6,Data[#Headers],0))</f>
        <v>Albert City-Truesdale</v>
      </c>
      <c r="C11" s="22">
        <f>INDEX(Data[],MATCH($A11,Data[Dist],0),MATCH(C$6,Data[#Headers],0))</f>
        <v>102363</v>
      </c>
      <c r="D11" s="160">
        <f>INDEX(Data[],MATCH($A11,Data[Dist],0),MATCH(D$6,Data[#Headers],0))</f>
        <v>101561</v>
      </c>
      <c r="E11" s="160">
        <f>INDEX(Data[],MATCH($A11,Data[Dist],0),MATCH(E$6,Data[#Headers],0))</f>
        <v>101561</v>
      </c>
      <c r="F11" s="160">
        <f>INDEX(Data[],MATCH($A11,Data[Dist],0),MATCH(F$6,Data[#Headers],0))</f>
        <v>101559</v>
      </c>
      <c r="G11" s="22">
        <f>INDEX(Data[],MATCH($A11,Data[Dist],0),MATCH(G$6,Data[#Headers],0))</f>
        <v>307089</v>
      </c>
      <c r="H11" s="22">
        <f>INDEX(Data[],MATCH($A11,Data[Dist],0),MATCH(H$6,Data[#Headers],0))-G11</f>
        <v>716542</v>
      </c>
      <c r="I11" s="23"/>
      <c r="J11" s="22">
        <f>INDEX(Notes!$I$2:$N$11,MATCH(Notes!$B$2,Notes!$I$2:$I$11,0),4)*$C11</f>
        <v>307089</v>
      </c>
      <c r="K11" s="22">
        <f>INDEX(Notes!$I$2:$N$11,MATCH(Notes!$B$2,Notes!$I$2:$I$11,0),5)*$D11</f>
        <v>0</v>
      </c>
      <c r="L11" s="22">
        <f>INDEX(Notes!$I$2:$N$11,MATCH(Notes!$B$2,Notes!$I$2:$I$11,0),6)*$E11</f>
        <v>0</v>
      </c>
      <c r="M11" s="22">
        <f>IF(Notes!$B$2="June",'Payment Total'!$F11,0)</f>
        <v>0</v>
      </c>
      <c r="N11" s="22">
        <f t="shared" si="0"/>
        <v>0</v>
      </c>
      <c r="P11" s="21" t="s">
        <v>847</v>
      </c>
      <c r="Q11" s="21">
        <v>102363</v>
      </c>
      <c r="R11" s="21" t="str">
        <f t="shared" si="1"/>
        <v>0072</v>
      </c>
      <c r="S11" s="44" t="str">
        <f t="shared" si="2"/>
        <v>0072</v>
      </c>
      <c r="T11" s="45">
        <f t="shared" si="3"/>
        <v>0</v>
      </c>
      <c r="V11" s="45"/>
    </row>
    <row r="12" spans="1:25" s="21" customFormat="1" ht="12.75" x14ac:dyDescent="0.2">
      <c r="A12" s="20" t="str">
        <f>Data!B7</f>
        <v>0081</v>
      </c>
      <c r="B12" s="21" t="str">
        <f>INDEX(Data[],MATCH($A12,Data[Dist],0),MATCH(B$6,Data[#Headers],0))</f>
        <v>Albia</v>
      </c>
      <c r="C12" s="22">
        <f>INDEX(Data[],MATCH($A12,Data[Dist],0),MATCH(C$6,Data[#Headers],0))</f>
        <v>826850</v>
      </c>
      <c r="D12" s="160">
        <f>INDEX(Data[],MATCH($A12,Data[Dist],0),MATCH(D$6,Data[#Headers],0))</f>
        <v>822641</v>
      </c>
      <c r="E12" s="160">
        <f>INDEX(Data[],MATCH($A12,Data[Dist],0),MATCH(E$6,Data[#Headers],0))</f>
        <v>822641</v>
      </c>
      <c r="F12" s="160">
        <f>INDEX(Data[],MATCH($A12,Data[Dist],0),MATCH(F$6,Data[#Headers],0))</f>
        <v>822642</v>
      </c>
      <c r="G12" s="22">
        <f>INDEX(Data[],MATCH($A12,Data[Dist],0),MATCH(G$6,Data[#Headers],0))</f>
        <v>2480550</v>
      </c>
      <c r="H12" s="22">
        <f>INDEX(Data[],MATCH($A12,Data[Dist],0),MATCH(H$6,Data[#Headers],0))-G12</f>
        <v>5787950</v>
      </c>
      <c r="I12" s="23"/>
      <c r="J12" s="22">
        <f>INDEX(Notes!$I$2:$N$11,MATCH(Notes!$B$2,Notes!$I$2:$I$11,0),4)*$C12</f>
        <v>2480550</v>
      </c>
      <c r="K12" s="22">
        <f>INDEX(Notes!$I$2:$N$11,MATCH(Notes!$B$2,Notes!$I$2:$I$11,0),5)*$D12</f>
        <v>0</v>
      </c>
      <c r="L12" s="22">
        <f>INDEX(Notes!$I$2:$N$11,MATCH(Notes!$B$2,Notes!$I$2:$I$11,0),6)*$E12</f>
        <v>0</v>
      </c>
      <c r="M12" s="22">
        <f>IF(Notes!$B$2="June",'Payment Total'!$F12,0)</f>
        <v>0</v>
      </c>
      <c r="N12" s="22">
        <f t="shared" si="0"/>
        <v>0</v>
      </c>
      <c r="P12" s="21" t="s">
        <v>848</v>
      </c>
      <c r="Q12" s="21">
        <v>826850</v>
      </c>
      <c r="R12" s="21" t="str">
        <f t="shared" si="1"/>
        <v>0081</v>
      </c>
      <c r="S12" s="44" t="str">
        <f t="shared" si="2"/>
        <v>0081</v>
      </c>
      <c r="T12" s="45">
        <f t="shared" si="3"/>
        <v>0</v>
      </c>
      <c r="V12" s="45"/>
    </row>
    <row r="13" spans="1:25" s="21" customFormat="1" ht="12.75" x14ac:dyDescent="0.2">
      <c r="A13" s="20" t="str">
        <f>Data!B8</f>
        <v>0099</v>
      </c>
      <c r="B13" s="21" t="str">
        <f>INDEX(Data[],MATCH($A13,Data[Dist],0),MATCH(B$6,Data[#Headers],0))</f>
        <v>Alburnett</v>
      </c>
      <c r="C13" s="22">
        <f>INDEX(Data[],MATCH($A13,Data[Dist],0),MATCH(C$6,Data[#Headers],0))</f>
        <v>332186</v>
      </c>
      <c r="D13" s="160">
        <f>INDEX(Data[],MATCH($A13,Data[Dist],0),MATCH(D$6,Data[#Headers],0))</f>
        <v>330170</v>
      </c>
      <c r="E13" s="160">
        <f>INDEX(Data[],MATCH($A13,Data[Dist],0),MATCH(E$6,Data[#Headers],0))</f>
        <v>330169</v>
      </c>
      <c r="F13" s="160">
        <f>INDEX(Data[],MATCH($A13,Data[Dist],0),MATCH(F$6,Data[#Headers],0))</f>
        <v>330170</v>
      </c>
      <c r="G13" s="22">
        <f>INDEX(Data[],MATCH($A13,Data[Dist],0),MATCH(G$6,Data[#Headers],0))</f>
        <v>996558</v>
      </c>
      <c r="H13" s="22">
        <f>INDEX(Data[],MATCH($A13,Data[Dist],0),MATCH(H$6,Data[#Headers],0))-G13</f>
        <v>2325297</v>
      </c>
      <c r="I13" s="23"/>
      <c r="J13" s="22">
        <f>INDEX(Notes!$I$2:$N$11,MATCH(Notes!$B$2,Notes!$I$2:$I$11,0),4)*$C13</f>
        <v>996558</v>
      </c>
      <c r="K13" s="22">
        <f>INDEX(Notes!$I$2:$N$11,MATCH(Notes!$B$2,Notes!$I$2:$I$11,0),5)*$D13</f>
        <v>0</v>
      </c>
      <c r="L13" s="22">
        <f>INDEX(Notes!$I$2:$N$11,MATCH(Notes!$B$2,Notes!$I$2:$I$11,0),6)*$E13</f>
        <v>0</v>
      </c>
      <c r="M13" s="22">
        <f>IF(Notes!$B$2="June",'Payment Total'!$F13,0)</f>
        <v>0</v>
      </c>
      <c r="N13" s="22">
        <f t="shared" si="0"/>
        <v>0</v>
      </c>
      <c r="P13" s="21" t="s">
        <v>849</v>
      </c>
      <c r="Q13" s="21">
        <v>332186</v>
      </c>
      <c r="R13" s="21" t="str">
        <f t="shared" si="1"/>
        <v>0099</v>
      </c>
      <c r="S13" s="44" t="str">
        <f t="shared" si="2"/>
        <v>0099</v>
      </c>
      <c r="T13" s="45">
        <f t="shared" si="3"/>
        <v>0</v>
      </c>
      <c r="V13" s="45"/>
    </row>
    <row r="14" spans="1:25" s="21" customFormat="1" ht="12.75" x14ac:dyDescent="0.2">
      <c r="A14" s="20" t="str">
        <f>Data!B9</f>
        <v>0108</v>
      </c>
      <c r="B14" s="21" t="str">
        <f>INDEX(Data[],MATCH($A14,Data[Dist],0),MATCH(B$6,Data[#Headers],0))</f>
        <v>Alden</v>
      </c>
      <c r="C14" s="22">
        <f>INDEX(Data[],MATCH($A14,Data[Dist],0),MATCH(C$6,Data[#Headers],0))</f>
        <v>161653</v>
      </c>
      <c r="D14" s="160">
        <f>INDEX(Data[],MATCH($A14,Data[Dist],0),MATCH(D$6,Data[#Headers],0))</f>
        <v>160605</v>
      </c>
      <c r="E14" s="160">
        <f>INDEX(Data[],MATCH($A14,Data[Dist],0),MATCH(E$6,Data[#Headers],0))</f>
        <v>160605</v>
      </c>
      <c r="F14" s="160">
        <f>INDEX(Data[],MATCH($A14,Data[Dist],0),MATCH(F$6,Data[#Headers],0))</f>
        <v>160604</v>
      </c>
      <c r="G14" s="22">
        <f>INDEX(Data[],MATCH($A14,Data[Dist],0),MATCH(G$6,Data[#Headers],0))</f>
        <v>484959</v>
      </c>
      <c r="H14" s="22">
        <f>INDEX(Data[],MATCH($A14,Data[Dist],0),MATCH(H$6,Data[#Headers],0))-G14</f>
        <v>1131569</v>
      </c>
      <c r="I14" s="23"/>
      <c r="J14" s="22">
        <f>INDEX(Notes!$I$2:$N$11,MATCH(Notes!$B$2,Notes!$I$2:$I$11,0),4)*$C14</f>
        <v>484959</v>
      </c>
      <c r="K14" s="22">
        <f>INDEX(Notes!$I$2:$N$11,MATCH(Notes!$B$2,Notes!$I$2:$I$11,0),5)*$D14</f>
        <v>0</v>
      </c>
      <c r="L14" s="22">
        <f>INDEX(Notes!$I$2:$N$11,MATCH(Notes!$B$2,Notes!$I$2:$I$11,0),6)*$E14</f>
        <v>0</v>
      </c>
      <c r="M14" s="22">
        <f>IF(Notes!$B$2="June",'Payment Total'!$F14,0)</f>
        <v>0</v>
      </c>
      <c r="N14" s="22">
        <f t="shared" si="0"/>
        <v>0</v>
      </c>
      <c r="P14" s="21" t="s">
        <v>850</v>
      </c>
      <c r="Q14" s="21">
        <v>161653</v>
      </c>
      <c r="R14" s="21" t="str">
        <f t="shared" si="1"/>
        <v>0108</v>
      </c>
      <c r="S14" s="44" t="str">
        <f t="shared" si="2"/>
        <v>0108</v>
      </c>
      <c r="T14" s="45">
        <f t="shared" si="3"/>
        <v>0</v>
      </c>
      <c r="V14" s="45"/>
    </row>
    <row r="15" spans="1:25" s="21" customFormat="1" ht="12.75" x14ac:dyDescent="0.2">
      <c r="A15" s="20" t="str">
        <f>Data!B10</f>
        <v>0126</v>
      </c>
      <c r="B15" s="21" t="str">
        <f>INDEX(Data[],MATCH($A15,Data[Dist],0),MATCH(B$6,Data[#Headers],0))</f>
        <v>Algona</v>
      </c>
      <c r="C15" s="22">
        <f>INDEX(Data[],MATCH($A15,Data[Dist],0),MATCH(C$6,Data[#Headers],0))</f>
        <v>887278</v>
      </c>
      <c r="D15" s="160">
        <f>INDEX(Data[],MATCH($A15,Data[Dist],0),MATCH(D$6,Data[#Headers],0))</f>
        <v>881741</v>
      </c>
      <c r="E15" s="160">
        <f>INDEX(Data[],MATCH($A15,Data[Dist],0),MATCH(E$6,Data[#Headers],0))</f>
        <v>881741</v>
      </c>
      <c r="F15" s="160">
        <f>INDEX(Data[],MATCH($A15,Data[Dist],0),MATCH(F$6,Data[#Headers],0))</f>
        <v>881741</v>
      </c>
      <c r="G15" s="22">
        <f>INDEX(Data[],MATCH($A15,Data[Dist],0),MATCH(G$6,Data[#Headers],0))</f>
        <v>2661834</v>
      </c>
      <c r="H15" s="22">
        <f>INDEX(Data[],MATCH($A15,Data[Dist],0),MATCH(H$6,Data[#Headers],0))-G15</f>
        <v>6210948</v>
      </c>
      <c r="I15" s="23"/>
      <c r="J15" s="22">
        <f>INDEX(Notes!$I$2:$N$11,MATCH(Notes!$B$2,Notes!$I$2:$I$11,0),4)*$C15</f>
        <v>2661834</v>
      </c>
      <c r="K15" s="22">
        <f>INDEX(Notes!$I$2:$N$11,MATCH(Notes!$B$2,Notes!$I$2:$I$11,0),5)*$D15</f>
        <v>0</v>
      </c>
      <c r="L15" s="22">
        <f>INDEX(Notes!$I$2:$N$11,MATCH(Notes!$B$2,Notes!$I$2:$I$11,0),6)*$E15</f>
        <v>0</v>
      </c>
      <c r="M15" s="22">
        <f>IF(Notes!$B$2="June",'Payment Total'!$F15,0)</f>
        <v>0</v>
      </c>
      <c r="N15" s="22">
        <f t="shared" si="0"/>
        <v>0</v>
      </c>
      <c r="P15" s="21" t="s">
        <v>851</v>
      </c>
      <c r="Q15" s="21">
        <v>887278</v>
      </c>
      <c r="R15" s="21" t="str">
        <f t="shared" si="1"/>
        <v>0126</v>
      </c>
      <c r="S15" s="44" t="str">
        <f t="shared" si="2"/>
        <v>0126</v>
      </c>
      <c r="T15" s="45">
        <f t="shared" si="3"/>
        <v>0</v>
      </c>
      <c r="V15" s="45"/>
    </row>
    <row r="16" spans="1:25" s="21" customFormat="1" ht="12.75" x14ac:dyDescent="0.2">
      <c r="A16" s="20" t="str">
        <f>Data!B11</f>
        <v>0135</v>
      </c>
      <c r="B16" s="21" t="str">
        <f>INDEX(Data[],MATCH($A16,Data[Dist],0),MATCH(B$6,Data[#Headers],0))</f>
        <v>Allamakee</v>
      </c>
      <c r="C16" s="22">
        <f>INDEX(Data[],MATCH($A16,Data[Dist],0),MATCH(C$6,Data[#Headers],0))</f>
        <v>735100</v>
      </c>
      <c r="D16" s="160">
        <f>INDEX(Data[],MATCH($A16,Data[Dist],0),MATCH(D$6,Data[#Headers],0))</f>
        <v>730937</v>
      </c>
      <c r="E16" s="160">
        <f>INDEX(Data[],MATCH($A16,Data[Dist],0),MATCH(E$6,Data[#Headers],0))</f>
        <v>730938</v>
      </c>
      <c r="F16" s="160">
        <f>INDEX(Data[],MATCH($A16,Data[Dist],0),MATCH(F$6,Data[#Headers],0))</f>
        <v>730936</v>
      </c>
      <c r="G16" s="22">
        <f>INDEX(Data[],MATCH($A16,Data[Dist],0),MATCH(G$6,Data[#Headers],0))</f>
        <v>2205300</v>
      </c>
      <c r="H16" s="22">
        <f>INDEX(Data[],MATCH($A16,Data[Dist],0),MATCH(H$6,Data[#Headers],0))-G16</f>
        <v>5145702</v>
      </c>
      <c r="I16" s="23"/>
      <c r="J16" s="22">
        <f>INDEX(Notes!$I$2:$N$11,MATCH(Notes!$B$2,Notes!$I$2:$I$11,0),4)*$C16</f>
        <v>2205300</v>
      </c>
      <c r="K16" s="22">
        <f>INDEX(Notes!$I$2:$N$11,MATCH(Notes!$B$2,Notes!$I$2:$I$11,0),5)*$D16</f>
        <v>0</v>
      </c>
      <c r="L16" s="22">
        <f>INDEX(Notes!$I$2:$N$11,MATCH(Notes!$B$2,Notes!$I$2:$I$11,0),6)*$E16</f>
        <v>0</v>
      </c>
      <c r="M16" s="22">
        <f>IF(Notes!$B$2="June",'Payment Total'!$F16,0)</f>
        <v>0</v>
      </c>
      <c r="N16" s="22">
        <f t="shared" si="0"/>
        <v>0</v>
      </c>
      <c r="P16" s="21" t="s">
        <v>852</v>
      </c>
      <c r="Q16" s="21">
        <v>735100</v>
      </c>
      <c r="R16" s="21" t="str">
        <f t="shared" si="1"/>
        <v>0135</v>
      </c>
      <c r="S16" s="44" t="str">
        <f t="shared" si="2"/>
        <v>0135</v>
      </c>
      <c r="T16" s="45">
        <f t="shared" si="3"/>
        <v>0</v>
      </c>
      <c r="V16" s="45"/>
    </row>
    <row r="17" spans="1:22" s="21" customFormat="1" ht="12.75" x14ac:dyDescent="0.2">
      <c r="A17" s="20" t="str">
        <f>Data!B12</f>
        <v>0153</v>
      </c>
      <c r="B17" s="21" t="str">
        <f>INDEX(Data[],MATCH($A17,Data[Dist],0),MATCH(B$6,Data[#Headers],0))</f>
        <v>North Butler</v>
      </c>
      <c r="C17" s="22">
        <f>INDEX(Data[],MATCH($A17,Data[Dist],0),MATCH(C$6,Data[#Headers],0))</f>
        <v>353878</v>
      </c>
      <c r="D17" s="160">
        <f>INDEX(Data[],MATCH($A17,Data[Dist],0),MATCH(D$6,Data[#Headers],0))</f>
        <v>351824</v>
      </c>
      <c r="E17" s="160">
        <f>INDEX(Data[],MATCH($A17,Data[Dist],0),MATCH(E$6,Data[#Headers],0))</f>
        <v>351823</v>
      </c>
      <c r="F17" s="160">
        <f>INDEX(Data[],MATCH($A17,Data[Dist],0),MATCH(F$6,Data[#Headers],0))</f>
        <v>351824</v>
      </c>
      <c r="G17" s="22">
        <f>INDEX(Data[],MATCH($A17,Data[Dist],0),MATCH(G$6,Data[#Headers],0))</f>
        <v>1061634</v>
      </c>
      <c r="H17" s="22">
        <f>INDEX(Data[],MATCH($A17,Data[Dist],0),MATCH(H$6,Data[#Headers],0))-G17</f>
        <v>2477145</v>
      </c>
      <c r="I17" s="23"/>
      <c r="J17" s="22">
        <f>INDEX(Notes!$I$2:$N$11,MATCH(Notes!$B$2,Notes!$I$2:$I$11,0),4)*$C17</f>
        <v>1061634</v>
      </c>
      <c r="K17" s="22">
        <f>INDEX(Notes!$I$2:$N$11,MATCH(Notes!$B$2,Notes!$I$2:$I$11,0),5)*$D17</f>
        <v>0</v>
      </c>
      <c r="L17" s="22">
        <f>INDEX(Notes!$I$2:$N$11,MATCH(Notes!$B$2,Notes!$I$2:$I$11,0),6)*$E17</f>
        <v>0</v>
      </c>
      <c r="M17" s="22">
        <f>IF(Notes!$B$2="June",'Payment Total'!$F17,0)</f>
        <v>0</v>
      </c>
      <c r="N17" s="22">
        <f t="shared" si="0"/>
        <v>0</v>
      </c>
      <c r="P17" s="21" t="s">
        <v>853</v>
      </c>
      <c r="Q17" s="21">
        <v>353878</v>
      </c>
      <c r="R17" s="21" t="str">
        <f t="shared" si="1"/>
        <v>0153</v>
      </c>
      <c r="S17" s="44" t="str">
        <f t="shared" si="2"/>
        <v>0153</v>
      </c>
      <c r="T17" s="45">
        <f t="shared" si="3"/>
        <v>0</v>
      </c>
      <c r="V17" s="45"/>
    </row>
    <row r="18" spans="1:22" s="21" customFormat="1" ht="12.75" x14ac:dyDescent="0.2">
      <c r="A18" s="20" t="str">
        <f>Data!B13</f>
        <v>0171</v>
      </c>
      <c r="B18" s="21" t="str">
        <f>INDEX(Data[],MATCH($A18,Data[Dist],0),MATCH(B$6,Data[#Headers],0))</f>
        <v>Alta-Aurelia</v>
      </c>
      <c r="C18" s="22">
        <f>INDEX(Data[],MATCH($A18,Data[Dist],0),MATCH(C$6,Data[#Headers],0))</f>
        <v>511200</v>
      </c>
      <c r="D18" s="160">
        <f>INDEX(Data[],MATCH($A18,Data[Dist],0),MATCH(D$6,Data[#Headers],0))</f>
        <v>507859</v>
      </c>
      <c r="E18" s="160">
        <f>INDEX(Data[],MATCH($A18,Data[Dist],0),MATCH(E$6,Data[#Headers],0))</f>
        <v>507859</v>
      </c>
      <c r="F18" s="160">
        <f>INDEX(Data[],MATCH($A18,Data[Dist],0),MATCH(F$6,Data[#Headers],0))</f>
        <v>507859</v>
      </c>
      <c r="G18" s="22">
        <f>INDEX(Data[],MATCH($A18,Data[Dist],0),MATCH(G$6,Data[#Headers],0))</f>
        <v>1533600</v>
      </c>
      <c r="H18" s="22">
        <f>INDEX(Data[],MATCH($A18,Data[Dist],0),MATCH(H$6,Data[#Headers],0))-G18</f>
        <v>3578402</v>
      </c>
      <c r="I18" s="23"/>
      <c r="J18" s="22">
        <f>INDEX(Notes!$I$2:$N$11,MATCH(Notes!$B$2,Notes!$I$2:$I$11,0),4)*$C18</f>
        <v>1533600</v>
      </c>
      <c r="K18" s="22">
        <f>INDEX(Notes!$I$2:$N$11,MATCH(Notes!$B$2,Notes!$I$2:$I$11,0),5)*$D18</f>
        <v>0</v>
      </c>
      <c r="L18" s="22">
        <f>INDEX(Notes!$I$2:$N$11,MATCH(Notes!$B$2,Notes!$I$2:$I$11,0),6)*$E18</f>
        <v>0</v>
      </c>
      <c r="M18" s="22">
        <f>IF(Notes!$B$2="June",'Payment Total'!$F18,0)</f>
        <v>0</v>
      </c>
      <c r="N18" s="22">
        <f t="shared" si="0"/>
        <v>0</v>
      </c>
      <c r="P18" s="21" t="s">
        <v>854</v>
      </c>
      <c r="Q18" s="21">
        <v>511200</v>
      </c>
      <c r="R18" s="21" t="str">
        <f t="shared" si="1"/>
        <v>0171</v>
      </c>
      <c r="S18" s="44" t="str">
        <f t="shared" si="2"/>
        <v>0171</v>
      </c>
      <c r="T18" s="45">
        <f t="shared" si="3"/>
        <v>0</v>
      </c>
      <c r="V18" s="45"/>
    </row>
    <row r="19" spans="1:22" s="21" customFormat="1" ht="12.75" x14ac:dyDescent="0.2">
      <c r="A19" s="20" t="str">
        <f>Data!B14</f>
        <v>0225</v>
      </c>
      <c r="B19" s="21" t="str">
        <f>INDEX(Data[],MATCH($A19,Data[Dist],0),MATCH(B$6,Data[#Headers],0))</f>
        <v>Ames</v>
      </c>
      <c r="C19" s="22">
        <f>INDEX(Data[],MATCH($A19,Data[Dist],0),MATCH(C$6,Data[#Headers],0))</f>
        <v>2389456</v>
      </c>
      <c r="D19" s="160">
        <f>INDEX(Data[],MATCH($A19,Data[Dist],0),MATCH(D$6,Data[#Headers],0))</f>
        <v>2372460</v>
      </c>
      <c r="E19" s="160">
        <f>INDEX(Data[],MATCH($A19,Data[Dist],0),MATCH(E$6,Data[#Headers],0))</f>
        <v>2372460</v>
      </c>
      <c r="F19" s="160">
        <f>INDEX(Data[],MATCH($A19,Data[Dist],0),MATCH(F$6,Data[#Headers],0))</f>
        <v>2372460</v>
      </c>
      <c r="G19" s="22">
        <f>INDEX(Data[],MATCH($A19,Data[Dist],0),MATCH(G$6,Data[#Headers],0))</f>
        <v>7168368</v>
      </c>
      <c r="H19" s="22">
        <f>INDEX(Data[],MATCH($A19,Data[Dist],0),MATCH(H$6,Data[#Headers],0))-G19</f>
        <v>16726194</v>
      </c>
      <c r="I19" s="23"/>
      <c r="J19" s="22">
        <f>INDEX(Notes!$I$2:$N$11,MATCH(Notes!$B$2,Notes!$I$2:$I$11,0),4)*$C19</f>
        <v>7168368</v>
      </c>
      <c r="K19" s="22">
        <f>INDEX(Notes!$I$2:$N$11,MATCH(Notes!$B$2,Notes!$I$2:$I$11,0),5)*$D19</f>
        <v>0</v>
      </c>
      <c r="L19" s="22">
        <f>INDEX(Notes!$I$2:$N$11,MATCH(Notes!$B$2,Notes!$I$2:$I$11,0),6)*$E19</f>
        <v>0</v>
      </c>
      <c r="M19" s="22">
        <f>IF(Notes!$B$2="June",'Payment Total'!$F19,0)</f>
        <v>0</v>
      </c>
      <c r="N19" s="22">
        <f t="shared" si="0"/>
        <v>0</v>
      </c>
      <c r="P19" s="21" t="s">
        <v>855</v>
      </c>
      <c r="Q19" s="21">
        <v>2389456</v>
      </c>
      <c r="R19" s="21" t="str">
        <f t="shared" si="1"/>
        <v>0225</v>
      </c>
      <c r="S19" s="44" t="str">
        <f t="shared" si="2"/>
        <v>0225</v>
      </c>
      <c r="T19" s="45">
        <f t="shared" si="3"/>
        <v>0</v>
      </c>
      <c r="V19" s="45"/>
    </row>
    <row r="20" spans="1:22" s="21" customFormat="1" ht="12.75" x14ac:dyDescent="0.2">
      <c r="A20" s="20" t="str">
        <f>Data!B15</f>
        <v>0234</v>
      </c>
      <c r="B20" s="21" t="str">
        <f>INDEX(Data[],MATCH($A20,Data[Dist],0),MATCH(B$6,Data[#Headers],0))</f>
        <v>Anamosa</v>
      </c>
      <c r="C20" s="22">
        <f>INDEX(Data[],MATCH($A20,Data[Dist],0),MATCH(C$6,Data[#Headers],0))</f>
        <v>889245</v>
      </c>
      <c r="D20" s="160">
        <f>INDEX(Data[],MATCH($A20,Data[Dist],0),MATCH(D$6,Data[#Headers],0))</f>
        <v>884436</v>
      </c>
      <c r="E20" s="160">
        <f>INDEX(Data[],MATCH($A20,Data[Dist],0),MATCH(E$6,Data[#Headers],0))</f>
        <v>884436</v>
      </c>
      <c r="F20" s="160">
        <f>INDEX(Data[],MATCH($A20,Data[Dist],0),MATCH(F$6,Data[#Headers],0))</f>
        <v>884436</v>
      </c>
      <c r="G20" s="22">
        <f>INDEX(Data[],MATCH($A20,Data[Dist],0),MATCH(G$6,Data[#Headers],0))</f>
        <v>2667735</v>
      </c>
      <c r="H20" s="22">
        <f>INDEX(Data[],MATCH($A20,Data[Dist],0),MATCH(H$6,Data[#Headers],0))-G20</f>
        <v>6224714</v>
      </c>
      <c r="I20" s="23"/>
      <c r="J20" s="22">
        <f>INDEX(Notes!$I$2:$N$11,MATCH(Notes!$B$2,Notes!$I$2:$I$11,0),4)*$C20</f>
        <v>2667735</v>
      </c>
      <c r="K20" s="22">
        <f>INDEX(Notes!$I$2:$N$11,MATCH(Notes!$B$2,Notes!$I$2:$I$11,0),5)*$D20</f>
        <v>0</v>
      </c>
      <c r="L20" s="22">
        <f>INDEX(Notes!$I$2:$N$11,MATCH(Notes!$B$2,Notes!$I$2:$I$11,0),6)*$E20</f>
        <v>0</v>
      </c>
      <c r="M20" s="22">
        <f>IF(Notes!$B$2="June",'Payment Total'!$F20,0)</f>
        <v>0</v>
      </c>
      <c r="N20" s="22">
        <f t="shared" si="0"/>
        <v>0</v>
      </c>
      <c r="P20" s="21" t="s">
        <v>856</v>
      </c>
      <c r="Q20" s="21">
        <v>889245</v>
      </c>
      <c r="R20" s="21" t="str">
        <f t="shared" si="1"/>
        <v>0234</v>
      </c>
      <c r="S20" s="44" t="str">
        <f t="shared" si="2"/>
        <v>0234</v>
      </c>
      <c r="T20" s="45">
        <f t="shared" si="3"/>
        <v>0</v>
      </c>
      <c r="V20" s="45"/>
    </row>
    <row r="21" spans="1:22" s="21" customFormat="1" ht="12.75" x14ac:dyDescent="0.2">
      <c r="A21" s="20" t="str">
        <f>Data!B16</f>
        <v>0243</v>
      </c>
      <c r="B21" s="21" t="str">
        <f>INDEX(Data[],MATCH($A21,Data[Dist],0),MATCH(B$6,Data[#Headers],0))</f>
        <v>Andrew</v>
      </c>
      <c r="C21" s="22">
        <f>INDEX(Data[],MATCH($A21,Data[Dist],0),MATCH(C$6,Data[#Headers],0))</f>
        <v>159159</v>
      </c>
      <c r="D21" s="160">
        <f>INDEX(Data[],MATCH($A21,Data[Dist],0),MATCH(D$6,Data[#Headers],0))</f>
        <v>158267</v>
      </c>
      <c r="E21" s="160">
        <f>INDEX(Data[],MATCH($A21,Data[Dist],0),MATCH(E$6,Data[#Headers],0))</f>
        <v>158267</v>
      </c>
      <c r="F21" s="160">
        <f>INDEX(Data[],MATCH($A21,Data[Dist],0),MATCH(F$6,Data[#Headers],0))</f>
        <v>158268</v>
      </c>
      <c r="G21" s="22">
        <f>INDEX(Data[],MATCH($A21,Data[Dist],0),MATCH(G$6,Data[#Headers],0))</f>
        <v>477477</v>
      </c>
      <c r="H21" s="22">
        <f>INDEX(Data[],MATCH($A21,Data[Dist],0),MATCH(H$6,Data[#Headers],0))-G21</f>
        <v>1114114</v>
      </c>
      <c r="I21" s="23"/>
      <c r="J21" s="22">
        <f>INDEX(Notes!$I$2:$N$11,MATCH(Notes!$B$2,Notes!$I$2:$I$11,0),4)*$C21</f>
        <v>477477</v>
      </c>
      <c r="K21" s="22">
        <f>INDEX(Notes!$I$2:$N$11,MATCH(Notes!$B$2,Notes!$I$2:$I$11,0),5)*$D21</f>
        <v>0</v>
      </c>
      <c r="L21" s="22">
        <f>INDEX(Notes!$I$2:$N$11,MATCH(Notes!$B$2,Notes!$I$2:$I$11,0),6)*$E21</f>
        <v>0</v>
      </c>
      <c r="M21" s="22">
        <f>IF(Notes!$B$2="June",'Payment Total'!$F21,0)</f>
        <v>0</v>
      </c>
      <c r="N21" s="22">
        <f t="shared" si="0"/>
        <v>0</v>
      </c>
      <c r="P21" s="21" t="s">
        <v>857</v>
      </c>
      <c r="Q21" s="21">
        <v>159159</v>
      </c>
      <c r="R21" s="21" t="str">
        <f t="shared" si="1"/>
        <v>0243</v>
      </c>
      <c r="S21" s="44" t="str">
        <f t="shared" si="2"/>
        <v>0243</v>
      </c>
      <c r="T21" s="45">
        <f t="shared" si="3"/>
        <v>0</v>
      </c>
      <c r="V21" s="45"/>
    </row>
    <row r="22" spans="1:22" s="26" customFormat="1" ht="12.75" x14ac:dyDescent="0.2">
      <c r="A22" s="20" t="str">
        <f>Data!B17</f>
        <v>0261</v>
      </c>
      <c r="B22" s="21" t="str">
        <f>INDEX(Data[],MATCH($A22,Data[Dist],0),MATCH(B$6,Data[#Headers],0))</f>
        <v>Ankeny</v>
      </c>
      <c r="C22" s="22">
        <f>INDEX(Data[],MATCH($A22,Data[Dist],0),MATCH(C$6,Data[#Headers],0))</f>
        <v>8580825</v>
      </c>
      <c r="D22" s="160">
        <f>INDEX(Data[],MATCH($A22,Data[Dist],0),MATCH(D$6,Data[#Headers],0))</f>
        <v>8532314</v>
      </c>
      <c r="E22" s="160">
        <f>INDEX(Data[],MATCH($A22,Data[Dist],0),MATCH(E$6,Data[#Headers],0))</f>
        <v>8532314</v>
      </c>
      <c r="F22" s="160">
        <f>INDEX(Data[],MATCH($A22,Data[Dist],0),MATCH(F$6,Data[#Headers],0))</f>
        <v>8532313</v>
      </c>
      <c r="G22" s="22">
        <f>INDEX(Data[],MATCH($A22,Data[Dist],0),MATCH(G$6,Data[#Headers],0))</f>
        <v>25742475</v>
      </c>
      <c r="H22" s="22">
        <f>INDEX(Data[],MATCH($A22,Data[Dist],0),MATCH(H$6,Data[#Headers],0))-G22</f>
        <v>60065771</v>
      </c>
      <c r="I22" s="25"/>
      <c r="J22" s="22">
        <f>INDEX(Notes!$I$2:$N$11,MATCH(Notes!$B$2,Notes!$I$2:$I$11,0),4)*$C22</f>
        <v>25742475</v>
      </c>
      <c r="K22" s="22">
        <f>INDEX(Notes!$I$2:$N$11,MATCH(Notes!$B$2,Notes!$I$2:$I$11,0),5)*$D22</f>
        <v>0</v>
      </c>
      <c r="L22" s="22">
        <f>INDEX(Notes!$I$2:$N$11,MATCH(Notes!$B$2,Notes!$I$2:$I$11,0),6)*$E22</f>
        <v>0</v>
      </c>
      <c r="M22" s="22">
        <f>IF(Notes!$B$2="June",'Payment Total'!$F22,0)</f>
        <v>0</v>
      </c>
      <c r="N22" s="22">
        <f t="shared" si="0"/>
        <v>0</v>
      </c>
      <c r="P22" s="26" t="s">
        <v>858</v>
      </c>
      <c r="Q22" s="26">
        <v>8580825</v>
      </c>
      <c r="R22" s="21" t="str">
        <f t="shared" si="1"/>
        <v>0261</v>
      </c>
      <c r="S22" s="44" t="str">
        <f t="shared" si="2"/>
        <v>0261</v>
      </c>
      <c r="T22" s="45">
        <f t="shared" si="3"/>
        <v>0</v>
      </c>
      <c r="V22" s="45"/>
    </row>
    <row r="23" spans="1:22" s="26" customFormat="1" ht="12.75" x14ac:dyDescent="0.2">
      <c r="A23" s="20" t="str">
        <f>Data!B18</f>
        <v>0279</v>
      </c>
      <c r="B23" s="21" t="str">
        <f>INDEX(Data[],MATCH($A23,Data[Dist],0),MATCH(B$6,Data[#Headers],0))</f>
        <v>Aplington-Parkersburg</v>
      </c>
      <c r="C23" s="22">
        <f>INDEX(Data[],MATCH($A23,Data[Dist],0),MATCH(C$6,Data[#Headers],0))</f>
        <v>577411</v>
      </c>
      <c r="D23" s="160">
        <f>INDEX(Data[],MATCH($A23,Data[Dist],0),MATCH(D$6,Data[#Headers],0))</f>
        <v>574298</v>
      </c>
      <c r="E23" s="160">
        <f>INDEX(Data[],MATCH($A23,Data[Dist],0),MATCH(E$6,Data[#Headers],0))</f>
        <v>574297</v>
      </c>
      <c r="F23" s="160">
        <f>INDEX(Data[],MATCH($A23,Data[Dist],0),MATCH(F$6,Data[#Headers],0))</f>
        <v>574298</v>
      </c>
      <c r="G23" s="22">
        <f>INDEX(Data[],MATCH($A23,Data[Dist],0),MATCH(G$6,Data[#Headers],0))</f>
        <v>1732233</v>
      </c>
      <c r="H23" s="22">
        <f>INDEX(Data[],MATCH($A23,Data[Dist],0),MATCH(H$6,Data[#Headers],0))-G23</f>
        <v>4041875</v>
      </c>
      <c r="I23" s="25"/>
      <c r="J23" s="22">
        <f>INDEX(Notes!$I$2:$N$11,MATCH(Notes!$B$2,Notes!$I$2:$I$11,0),4)*$C23</f>
        <v>1732233</v>
      </c>
      <c r="K23" s="22">
        <f>INDEX(Notes!$I$2:$N$11,MATCH(Notes!$B$2,Notes!$I$2:$I$11,0),5)*$D23</f>
        <v>0</v>
      </c>
      <c r="L23" s="22">
        <f>INDEX(Notes!$I$2:$N$11,MATCH(Notes!$B$2,Notes!$I$2:$I$11,0),6)*$E23</f>
        <v>0</v>
      </c>
      <c r="M23" s="22">
        <f>IF(Notes!$B$2="June",'Payment Total'!$F23,0)</f>
        <v>0</v>
      </c>
      <c r="N23" s="22">
        <f t="shared" si="0"/>
        <v>0</v>
      </c>
      <c r="P23" s="26" t="s">
        <v>859</v>
      </c>
      <c r="Q23" s="26">
        <v>577411</v>
      </c>
      <c r="R23" s="21" t="str">
        <f t="shared" si="1"/>
        <v>0279</v>
      </c>
      <c r="S23" s="44" t="str">
        <f t="shared" si="2"/>
        <v>0279</v>
      </c>
      <c r="T23" s="45">
        <f t="shared" si="3"/>
        <v>0</v>
      </c>
      <c r="V23" s="45"/>
    </row>
    <row r="24" spans="1:22" s="26" customFormat="1" ht="12.75" x14ac:dyDescent="0.2">
      <c r="A24" s="20" t="str">
        <f>Data!B19</f>
        <v>0333</v>
      </c>
      <c r="B24" s="21" t="str">
        <f>INDEX(Data[],MATCH($A24,Data[Dist],0),MATCH(B$6,Data[#Headers],0))</f>
        <v>North Union</v>
      </c>
      <c r="C24" s="22">
        <f>INDEX(Data[],MATCH($A24,Data[Dist],0),MATCH(C$6,Data[#Headers],0))</f>
        <v>168790</v>
      </c>
      <c r="D24" s="160">
        <f>INDEX(Data[],MATCH($A24,Data[Dist],0),MATCH(D$6,Data[#Headers],0))</f>
        <v>167251</v>
      </c>
      <c r="E24" s="160">
        <f>INDEX(Data[],MATCH($A24,Data[Dist],0),MATCH(E$6,Data[#Headers],0))</f>
        <v>167251</v>
      </c>
      <c r="F24" s="160">
        <f>INDEX(Data[],MATCH($A24,Data[Dist],0),MATCH(F$6,Data[#Headers],0))</f>
        <v>167251</v>
      </c>
      <c r="G24" s="22">
        <f>INDEX(Data[],MATCH($A24,Data[Dist],0),MATCH(G$6,Data[#Headers],0))</f>
        <v>506370</v>
      </c>
      <c r="H24" s="22">
        <f>INDEX(Data[],MATCH($A24,Data[Dist],0),MATCH(H$6,Data[#Headers],0))-G24</f>
        <v>1181530</v>
      </c>
      <c r="I24" s="25"/>
      <c r="J24" s="22">
        <f>INDEX(Notes!$I$2:$N$11,MATCH(Notes!$B$2,Notes!$I$2:$I$11,0),4)*$C24</f>
        <v>506370</v>
      </c>
      <c r="K24" s="22">
        <f>INDEX(Notes!$I$2:$N$11,MATCH(Notes!$B$2,Notes!$I$2:$I$11,0),5)*$D24</f>
        <v>0</v>
      </c>
      <c r="L24" s="22">
        <f>INDEX(Notes!$I$2:$N$11,MATCH(Notes!$B$2,Notes!$I$2:$I$11,0),6)*$E24</f>
        <v>0</v>
      </c>
      <c r="M24" s="22">
        <f>IF(Notes!$B$2="June",'Payment Total'!$F24,0)</f>
        <v>0</v>
      </c>
      <c r="N24" s="22">
        <f t="shared" si="0"/>
        <v>0</v>
      </c>
      <c r="P24" s="26" t="s">
        <v>860</v>
      </c>
      <c r="Q24" s="26">
        <v>168790</v>
      </c>
      <c r="R24" s="21" t="str">
        <f t="shared" si="1"/>
        <v>0333</v>
      </c>
      <c r="S24" s="44" t="str">
        <f t="shared" si="2"/>
        <v>0333</v>
      </c>
      <c r="T24" s="45">
        <f t="shared" si="3"/>
        <v>0</v>
      </c>
      <c r="V24" s="45"/>
    </row>
    <row r="25" spans="1:22" s="26" customFormat="1" ht="12.75" x14ac:dyDescent="0.2">
      <c r="A25" s="20" t="str">
        <f>Data!B20</f>
        <v>0355</v>
      </c>
      <c r="B25" s="21" t="str">
        <f>INDEX(Data[],MATCH($A25,Data[Dist],0),MATCH(B$6,Data[#Headers],0))</f>
        <v>Ar-We-Va</v>
      </c>
      <c r="C25" s="22">
        <f>INDEX(Data[],MATCH($A25,Data[Dist],0),MATCH(C$6,Data[#Headers],0))</f>
        <v>118840</v>
      </c>
      <c r="D25" s="160">
        <f>INDEX(Data[],MATCH($A25,Data[Dist],0),MATCH(D$6,Data[#Headers],0))</f>
        <v>117782</v>
      </c>
      <c r="E25" s="160">
        <f>INDEX(Data[],MATCH($A25,Data[Dist],0),MATCH(E$6,Data[#Headers],0))</f>
        <v>117782</v>
      </c>
      <c r="F25" s="160">
        <f>INDEX(Data[],MATCH($A25,Data[Dist],0),MATCH(F$6,Data[#Headers],0))</f>
        <v>117783</v>
      </c>
      <c r="G25" s="22">
        <f>INDEX(Data[],MATCH($A25,Data[Dist],0),MATCH(G$6,Data[#Headers],0))</f>
        <v>356520</v>
      </c>
      <c r="H25" s="22">
        <f>INDEX(Data[],MATCH($A25,Data[Dist],0),MATCH(H$6,Data[#Headers],0))-G25</f>
        <v>831877</v>
      </c>
      <c r="I25" s="25"/>
      <c r="J25" s="22">
        <f>INDEX(Notes!$I$2:$N$11,MATCH(Notes!$B$2,Notes!$I$2:$I$11,0),4)*$C25</f>
        <v>356520</v>
      </c>
      <c r="K25" s="22">
        <f>INDEX(Notes!$I$2:$N$11,MATCH(Notes!$B$2,Notes!$I$2:$I$11,0),5)*$D25</f>
        <v>0</v>
      </c>
      <c r="L25" s="22">
        <f>INDEX(Notes!$I$2:$N$11,MATCH(Notes!$B$2,Notes!$I$2:$I$11,0),6)*$E25</f>
        <v>0</v>
      </c>
      <c r="M25" s="22">
        <f>IF(Notes!$B$2="June",'Payment Total'!$F25,0)</f>
        <v>0</v>
      </c>
      <c r="N25" s="22">
        <f t="shared" si="0"/>
        <v>0</v>
      </c>
      <c r="P25" s="26" t="s">
        <v>861</v>
      </c>
      <c r="Q25" s="26">
        <v>118840</v>
      </c>
      <c r="R25" s="21" t="str">
        <f t="shared" si="1"/>
        <v>0355</v>
      </c>
      <c r="S25" s="44" t="str">
        <f t="shared" si="2"/>
        <v>0355</v>
      </c>
      <c r="T25" s="45">
        <f t="shared" si="3"/>
        <v>0</v>
      </c>
      <c r="V25" s="45"/>
    </row>
    <row r="26" spans="1:22" s="26" customFormat="1" ht="12.75" x14ac:dyDescent="0.2">
      <c r="A26" s="20" t="str">
        <f>Data!B21</f>
        <v>0387</v>
      </c>
      <c r="B26" s="21" t="str">
        <f>INDEX(Data[],MATCH($A26,Data[Dist],0),MATCH(B$6,Data[#Headers],0))</f>
        <v>Atlantic</v>
      </c>
      <c r="C26" s="22">
        <f>INDEX(Data[],MATCH($A26,Data[Dist],0),MATCH(C$6,Data[#Headers],0))</f>
        <v>1074434</v>
      </c>
      <c r="D26" s="160">
        <f>INDEX(Data[],MATCH($A26,Data[Dist],0),MATCH(D$6,Data[#Headers],0))</f>
        <v>1069068</v>
      </c>
      <c r="E26" s="160">
        <f>INDEX(Data[],MATCH($A26,Data[Dist],0),MATCH(E$6,Data[#Headers],0))</f>
        <v>1069068</v>
      </c>
      <c r="F26" s="160">
        <f>INDEX(Data[],MATCH($A26,Data[Dist],0),MATCH(F$6,Data[#Headers],0))</f>
        <v>1069066</v>
      </c>
      <c r="G26" s="22">
        <f>INDEX(Data[],MATCH($A26,Data[Dist],0),MATCH(G$6,Data[#Headers],0))</f>
        <v>3223302</v>
      </c>
      <c r="H26" s="22">
        <f>INDEX(Data[],MATCH($A26,Data[Dist],0),MATCH(H$6,Data[#Headers],0))-G26</f>
        <v>7521042</v>
      </c>
      <c r="I26" s="25"/>
      <c r="J26" s="22">
        <f>INDEX(Notes!$I$2:$N$11,MATCH(Notes!$B$2,Notes!$I$2:$I$11,0),4)*$C26</f>
        <v>3223302</v>
      </c>
      <c r="K26" s="22">
        <f>INDEX(Notes!$I$2:$N$11,MATCH(Notes!$B$2,Notes!$I$2:$I$11,0),5)*$D26</f>
        <v>0</v>
      </c>
      <c r="L26" s="22">
        <f>INDEX(Notes!$I$2:$N$11,MATCH(Notes!$B$2,Notes!$I$2:$I$11,0),6)*$E26</f>
        <v>0</v>
      </c>
      <c r="M26" s="22">
        <f>IF(Notes!$B$2="June",'Payment Total'!$F26,0)</f>
        <v>0</v>
      </c>
      <c r="N26" s="22">
        <f t="shared" si="0"/>
        <v>0</v>
      </c>
      <c r="P26" s="26" t="s">
        <v>862</v>
      </c>
      <c r="Q26" s="26">
        <v>1074434</v>
      </c>
      <c r="R26" s="21" t="str">
        <f t="shared" si="1"/>
        <v>0387</v>
      </c>
      <c r="S26" s="44" t="str">
        <f t="shared" si="2"/>
        <v>0387</v>
      </c>
      <c r="T26" s="45">
        <f t="shared" si="3"/>
        <v>0</v>
      </c>
      <c r="V26" s="45"/>
    </row>
    <row r="27" spans="1:22" s="26" customFormat="1" ht="12.75" x14ac:dyDescent="0.2">
      <c r="A27" s="20" t="str">
        <f>Data!B22</f>
        <v>0414</v>
      </c>
      <c r="B27" s="21" t="str">
        <f>INDEX(Data[],MATCH($A27,Data[Dist],0),MATCH(B$6,Data[#Headers],0))</f>
        <v>Audubon</v>
      </c>
      <c r="C27" s="22">
        <f>INDEX(Data[],MATCH($A27,Data[Dist],0),MATCH(C$6,Data[#Headers],0))</f>
        <v>332700</v>
      </c>
      <c r="D27" s="160">
        <f>INDEX(Data[],MATCH($A27,Data[Dist],0),MATCH(D$6,Data[#Headers],0))</f>
        <v>330746</v>
      </c>
      <c r="E27" s="160">
        <f>INDEX(Data[],MATCH($A27,Data[Dist],0),MATCH(E$6,Data[#Headers],0))</f>
        <v>330745</v>
      </c>
      <c r="F27" s="160">
        <f>INDEX(Data[],MATCH($A27,Data[Dist],0),MATCH(F$6,Data[#Headers],0))</f>
        <v>330746</v>
      </c>
      <c r="G27" s="22">
        <f>INDEX(Data[],MATCH($A27,Data[Dist],0),MATCH(G$6,Data[#Headers],0))</f>
        <v>998100</v>
      </c>
      <c r="H27" s="22">
        <f>INDEX(Data[],MATCH($A27,Data[Dist],0),MATCH(H$6,Data[#Headers],0))-G27</f>
        <v>2328902</v>
      </c>
      <c r="I27" s="25"/>
      <c r="J27" s="22">
        <f>INDEX(Notes!$I$2:$N$11,MATCH(Notes!$B$2,Notes!$I$2:$I$11,0),4)*$C27</f>
        <v>998100</v>
      </c>
      <c r="K27" s="22">
        <f>INDEX(Notes!$I$2:$N$11,MATCH(Notes!$B$2,Notes!$I$2:$I$11,0),5)*$D27</f>
        <v>0</v>
      </c>
      <c r="L27" s="22">
        <f>INDEX(Notes!$I$2:$N$11,MATCH(Notes!$B$2,Notes!$I$2:$I$11,0),6)*$E27</f>
        <v>0</v>
      </c>
      <c r="M27" s="22">
        <f>IF(Notes!$B$2="June",'Payment Total'!$F27,0)</f>
        <v>0</v>
      </c>
      <c r="N27" s="22">
        <f t="shared" si="0"/>
        <v>0</v>
      </c>
      <c r="P27" s="26" t="s">
        <v>863</v>
      </c>
      <c r="Q27" s="26">
        <v>332700</v>
      </c>
      <c r="R27" s="21" t="str">
        <f t="shared" si="1"/>
        <v>0414</v>
      </c>
      <c r="S27" s="44" t="str">
        <f t="shared" si="2"/>
        <v>0414</v>
      </c>
      <c r="T27" s="45">
        <f t="shared" si="3"/>
        <v>0</v>
      </c>
      <c r="V27" s="45"/>
    </row>
    <row r="28" spans="1:22" s="26" customFormat="1" ht="12.75" x14ac:dyDescent="0.2">
      <c r="A28" s="20" t="str">
        <f>Data!B23</f>
        <v>0441</v>
      </c>
      <c r="B28" s="21" t="str">
        <f>INDEX(Data[],MATCH($A28,Data[Dist],0),MATCH(B$6,Data[#Headers],0))</f>
        <v>AHSTW</v>
      </c>
      <c r="C28" s="22">
        <f>INDEX(Data[],MATCH($A28,Data[Dist],0),MATCH(C$6,Data[#Headers],0))</f>
        <v>417462</v>
      </c>
      <c r="D28" s="160">
        <f>INDEX(Data[],MATCH($A28,Data[Dist],0),MATCH(D$6,Data[#Headers],0))</f>
        <v>414428</v>
      </c>
      <c r="E28" s="160">
        <f>INDEX(Data[],MATCH($A28,Data[Dist],0),MATCH(E$6,Data[#Headers],0))</f>
        <v>414427</v>
      </c>
      <c r="F28" s="160">
        <f>INDEX(Data[],MATCH($A28,Data[Dist],0),MATCH(F$6,Data[#Headers],0))</f>
        <v>414428</v>
      </c>
      <c r="G28" s="22">
        <f>INDEX(Data[],MATCH($A28,Data[Dist],0),MATCH(G$6,Data[#Headers],0))</f>
        <v>1252386</v>
      </c>
      <c r="H28" s="22">
        <f>INDEX(Data[],MATCH($A28,Data[Dist],0),MATCH(H$6,Data[#Headers],0))-G28</f>
        <v>2922233</v>
      </c>
      <c r="I28" s="25"/>
      <c r="J28" s="22">
        <f>INDEX(Notes!$I$2:$N$11,MATCH(Notes!$B$2,Notes!$I$2:$I$11,0),4)*$C28</f>
        <v>1252386</v>
      </c>
      <c r="K28" s="22">
        <f>INDEX(Notes!$I$2:$N$11,MATCH(Notes!$B$2,Notes!$I$2:$I$11,0),5)*$D28</f>
        <v>0</v>
      </c>
      <c r="L28" s="22">
        <f>INDEX(Notes!$I$2:$N$11,MATCH(Notes!$B$2,Notes!$I$2:$I$11,0),6)*$E28</f>
        <v>0</v>
      </c>
      <c r="M28" s="22">
        <f>IF(Notes!$B$2="June",'Payment Total'!$F28,0)</f>
        <v>0</v>
      </c>
      <c r="N28" s="22">
        <f t="shared" si="0"/>
        <v>0</v>
      </c>
      <c r="P28" s="26" t="s">
        <v>864</v>
      </c>
      <c r="Q28" s="26">
        <v>417462</v>
      </c>
      <c r="R28" s="21" t="str">
        <f t="shared" si="1"/>
        <v>0441</v>
      </c>
      <c r="S28" s="44" t="str">
        <f t="shared" si="2"/>
        <v>0441</v>
      </c>
      <c r="T28" s="45">
        <f t="shared" si="3"/>
        <v>0</v>
      </c>
      <c r="V28" s="45"/>
    </row>
    <row r="29" spans="1:22" s="26" customFormat="1" ht="12.75" x14ac:dyDescent="0.2">
      <c r="A29" s="20" t="str">
        <f>Data!B24</f>
        <v>0472</v>
      </c>
      <c r="B29" s="21" t="str">
        <f>INDEX(Data[],MATCH($A29,Data[Dist],0),MATCH(B$6,Data[#Headers],0))</f>
        <v>Ballard</v>
      </c>
      <c r="C29" s="22">
        <f>INDEX(Data[],MATCH($A29,Data[Dist],0),MATCH(C$6,Data[#Headers],0))</f>
        <v>1353835</v>
      </c>
      <c r="D29" s="160">
        <f>INDEX(Data[],MATCH($A29,Data[Dist],0),MATCH(D$6,Data[#Headers],0))</f>
        <v>1347100</v>
      </c>
      <c r="E29" s="160">
        <f>INDEX(Data[],MATCH($A29,Data[Dist],0),MATCH(E$6,Data[#Headers],0))</f>
        <v>1347100</v>
      </c>
      <c r="F29" s="160">
        <f>INDEX(Data[],MATCH($A29,Data[Dist],0),MATCH(F$6,Data[#Headers],0))</f>
        <v>1347101</v>
      </c>
      <c r="G29" s="22">
        <f>INDEX(Data[],MATCH($A29,Data[Dist],0),MATCH(G$6,Data[#Headers],0))</f>
        <v>4061505</v>
      </c>
      <c r="H29" s="22">
        <f>INDEX(Data[],MATCH($A29,Data[Dist],0),MATCH(H$6,Data[#Headers],0))-G29</f>
        <v>9476845</v>
      </c>
      <c r="I29" s="25"/>
      <c r="J29" s="22">
        <f>INDEX(Notes!$I$2:$N$11,MATCH(Notes!$B$2,Notes!$I$2:$I$11,0),4)*$C29</f>
        <v>4061505</v>
      </c>
      <c r="K29" s="22">
        <f>INDEX(Notes!$I$2:$N$11,MATCH(Notes!$B$2,Notes!$I$2:$I$11,0),5)*$D29</f>
        <v>0</v>
      </c>
      <c r="L29" s="22">
        <f>INDEX(Notes!$I$2:$N$11,MATCH(Notes!$B$2,Notes!$I$2:$I$11,0),6)*$E29</f>
        <v>0</v>
      </c>
      <c r="M29" s="22">
        <f>IF(Notes!$B$2="June",'Payment Total'!$F29,0)</f>
        <v>0</v>
      </c>
      <c r="N29" s="22">
        <f t="shared" si="0"/>
        <v>0</v>
      </c>
      <c r="P29" s="26" t="s">
        <v>865</v>
      </c>
      <c r="Q29" s="26">
        <v>1353835</v>
      </c>
      <c r="R29" s="21" t="str">
        <f t="shared" si="1"/>
        <v>0472</v>
      </c>
      <c r="S29" s="44" t="str">
        <f t="shared" si="2"/>
        <v>0472</v>
      </c>
      <c r="T29" s="45">
        <f t="shared" si="3"/>
        <v>0</v>
      </c>
      <c r="V29" s="45"/>
    </row>
    <row r="30" spans="1:22" s="26" customFormat="1" ht="12.75" x14ac:dyDescent="0.2">
      <c r="A30" s="20" t="str">
        <f>Data!B25</f>
        <v>0513</v>
      </c>
      <c r="B30" s="21" t="str">
        <f>INDEX(Data[],MATCH($A30,Data[Dist],0),MATCH(B$6,Data[#Headers],0))</f>
        <v>Baxter</v>
      </c>
      <c r="C30" s="22">
        <f>INDEX(Data[],MATCH($A30,Data[Dist],0),MATCH(C$6,Data[#Headers],0))</f>
        <v>273179</v>
      </c>
      <c r="D30" s="160">
        <f>INDEX(Data[],MATCH($A30,Data[Dist],0),MATCH(D$6,Data[#Headers],0))</f>
        <v>271798</v>
      </c>
      <c r="E30" s="160">
        <f>INDEX(Data[],MATCH($A30,Data[Dist],0),MATCH(E$6,Data[#Headers],0))</f>
        <v>271798</v>
      </c>
      <c r="F30" s="160">
        <f>INDEX(Data[],MATCH($A30,Data[Dist],0),MATCH(F$6,Data[#Headers],0))</f>
        <v>271799</v>
      </c>
      <c r="G30" s="22">
        <f>INDEX(Data[],MATCH($A30,Data[Dist],0),MATCH(G$6,Data[#Headers],0))</f>
        <v>819537</v>
      </c>
      <c r="H30" s="22">
        <f>INDEX(Data[],MATCH($A30,Data[Dist],0),MATCH(H$6,Data[#Headers],0))-G30</f>
        <v>1912253</v>
      </c>
      <c r="I30" s="25"/>
      <c r="J30" s="22">
        <f>INDEX(Notes!$I$2:$N$11,MATCH(Notes!$B$2,Notes!$I$2:$I$11,0),4)*$C30</f>
        <v>819537</v>
      </c>
      <c r="K30" s="22">
        <f>INDEX(Notes!$I$2:$N$11,MATCH(Notes!$B$2,Notes!$I$2:$I$11,0),5)*$D30</f>
        <v>0</v>
      </c>
      <c r="L30" s="22">
        <f>INDEX(Notes!$I$2:$N$11,MATCH(Notes!$B$2,Notes!$I$2:$I$11,0),6)*$E30</f>
        <v>0</v>
      </c>
      <c r="M30" s="22">
        <f>IF(Notes!$B$2="June",'Payment Total'!$F30,0)</f>
        <v>0</v>
      </c>
      <c r="N30" s="22">
        <f t="shared" si="0"/>
        <v>0</v>
      </c>
      <c r="P30" s="26" t="s">
        <v>866</v>
      </c>
      <c r="Q30" s="26">
        <v>273179</v>
      </c>
      <c r="R30" s="21" t="str">
        <f t="shared" si="1"/>
        <v>0513</v>
      </c>
      <c r="S30" s="44" t="str">
        <f t="shared" si="2"/>
        <v>0513</v>
      </c>
      <c r="T30" s="45">
        <f t="shared" si="3"/>
        <v>0</v>
      </c>
      <c r="V30" s="45"/>
    </row>
    <row r="31" spans="1:22" s="26" customFormat="1" ht="12.75" x14ac:dyDescent="0.2">
      <c r="A31" s="20" t="str">
        <f>Data!B26</f>
        <v>0540</v>
      </c>
      <c r="B31" s="21" t="str">
        <f>INDEX(Data[],MATCH($A31,Data[Dist],0),MATCH(B$6,Data[#Headers],0))</f>
        <v>BCLUW</v>
      </c>
      <c r="C31" s="22">
        <f>INDEX(Data[],MATCH($A31,Data[Dist],0),MATCH(C$6,Data[#Headers],0))</f>
        <v>256258</v>
      </c>
      <c r="D31" s="160">
        <f>INDEX(Data[],MATCH($A31,Data[Dist],0),MATCH(D$6,Data[#Headers],0))</f>
        <v>254491</v>
      </c>
      <c r="E31" s="160">
        <f>INDEX(Data[],MATCH($A31,Data[Dist],0),MATCH(E$6,Data[#Headers],0))</f>
        <v>254492</v>
      </c>
      <c r="F31" s="160">
        <f>INDEX(Data[],MATCH($A31,Data[Dist],0),MATCH(F$6,Data[#Headers],0))</f>
        <v>254490</v>
      </c>
      <c r="G31" s="22">
        <f>INDEX(Data[],MATCH($A31,Data[Dist],0),MATCH(G$6,Data[#Headers],0))</f>
        <v>768774</v>
      </c>
      <c r="H31" s="22">
        <f>INDEX(Data[],MATCH($A31,Data[Dist],0),MATCH(H$6,Data[#Headers],0))-G31</f>
        <v>1793809</v>
      </c>
      <c r="I31" s="25"/>
      <c r="J31" s="22">
        <f>INDEX(Notes!$I$2:$N$11,MATCH(Notes!$B$2,Notes!$I$2:$I$11,0),4)*$C31</f>
        <v>768774</v>
      </c>
      <c r="K31" s="22">
        <f>INDEX(Notes!$I$2:$N$11,MATCH(Notes!$B$2,Notes!$I$2:$I$11,0),5)*$D31</f>
        <v>0</v>
      </c>
      <c r="L31" s="22">
        <f>INDEX(Notes!$I$2:$N$11,MATCH(Notes!$B$2,Notes!$I$2:$I$11,0),6)*$E31</f>
        <v>0</v>
      </c>
      <c r="M31" s="22">
        <f>IF(Notes!$B$2="June",'Payment Total'!$F31,0)</f>
        <v>0</v>
      </c>
      <c r="N31" s="22">
        <f t="shared" si="0"/>
        <v>0</v>
      </c>
      <c r="P31" s="26" t="s">
        <v>867</v>
      </c>
      <c r="Q31" s="26">
        <v>256258</v>
      </c>
      <c r="R31" s="21" t="str">
        <f t="shared" si="1"/>
        <v>0540</v>
      </c>
      <c r="S31" s="44" t="str">
        <f t="shared" si="2"/>
        <v>0540</v>
      </c>
      <c r="T31" s="45">
        <f t="shared" si="3"/>
        <v>0</v>
      </c>
      <c r="V31" s="45"/>
    </row>
    <row r="32" spans="1:22" s="26" customFormat="1" ht="12.75" x14ac:dyDescent="0.2">
      <c r="A32" s="20" t="str">
        <f>Data!B27</f>
        <v>0549</v>
      </c>
      <c r="B32" s="21" t="str">
        <f>INDEX(Data[],MATCH($A32,Data[Dist],0),MATCH(B$6,Data[#Headers],0))</f>
        <v>Bedford</v>
      </c>
      <c r="C32" s="22">
        <f>INDEX(Data[],MATCH($A32,Data[Dist],0),MATCH(C$6,Data[#Headers],0))</f>
        <v>335123</v>
      </c>
      <c r="D32" s="160">
        <f>INDEX(Data[],MATCH($A32,Data[Dist],0),MATCH(D$6,Data[#Headers],0))</f>
        <v>333202</v>
      </c>
      <c r="E32" s="160">
        <f>INDEX(Data[],MATCH($A32,Data[Dist],0),MATCH(E$6,Data[#Headers],0))</f>
        <v>333202</v>
      </c>
      <c r="F32" s="160">
        <f>INDEX(Data[],MATCH($A32,Data[Dist],0),MATCH(F$6,Data[#Headers],0))</f>
        <v>333203</v>
      </c>
      <c r="G32" s="22">
        <f>INDEX(Data[],MATCH($A32,Data[Dist],0),MATCH(G$6,Data[#Headers],0))</f>
        <v>1005369</v>
      </c>
      <c r="H32" s="22">
        <f>INDEX(Data[],MATCH($A32,Data[Dist],0),MATCH(H$6,Data[#Headers],0))-G32</f>
        <v>2345862</v>
      </c>
      <c r="I32" s="25"/>
      <c r="J32" s="22">
        <f>INDEX(Notes!$I$2:$N$11,MATCH(Notes!$B$2,Notes!$I$2:$I$11,0),4)*$C32</f>
        <v>1005369</v>
      </c>
      <c r="K32" s="22">
        <f>INDEX(Notes!$I$2:$N$11,MATCH(Notes!$B$2,Notes!$I$2:$I$11,0),5)*$D32</f>
        <v>0</v>
      </c>
      <c r="L32" s="22">
        <f>INDEX(Notes!$I$2:$N$11,MATCH(Notes!$B$2,Notes!$I$2:$I$11,0),6)*$E32</f>
        <v>0</v>
      </c>
      <c r="M32" s="22">
        <f>IF(Notes!$B$2="June",'Payment Total'!$F32,0)</f>
        <v>0</v>
      </c>
      <c r="N32" s="22">
        <f t="shared" si="0"/>
        <v>0</v>
      </c>
      <c r="P32" s="26" t="s">
        <v>868</v>
      </c>
      <c r="Q32" s="26">
        <v>335123</v>
      </c>
      <c r="R32" s="21" t="str">
        <f t="shared" si="1"/>
        <v>0549</v>
      </c>
      <c r="S32" s="44" t="str">
        <f t="shared" si="2"/>
        <v>0549</v>
      </c>
      <c r="T32" s="45">
        <f t="shared" si="3"/>
        <v>0</v>
      </c>
      <c r="V32" s="45"/>
    </row>
    <row r="33" spans="1:22" s="26" customFormat="1" ht="12.75" x14ac:dyDescent="0.2">
      <c r="A33" s="20" t="str">
        <f>Data!B28</f>
        <v>0576</v>
      </c>
      <c r="B33" s="21" t="str">
        <f>INDEX(Data[],MATCH($A33,Data[Dist],0),MATCH(B$6,Data[#Headers],0))</f>
        <v>Belle Plaine</v>
      </c>
      <c r="C33" s="22">
        <f>INDEX(Data[],MATCH($A33,Data[Dist],0),MATCH(C$6,Data[#Headers],0))</f>
        <v>333192</v>
      </c>
      <c r="D33" s="160">
        <f>INDEX(Data[],MATCH($A33,Data[Dist],0),MATCH(D$6,Data[#Headers],0))</f>
        <v>331382</v>
      </c>
      <c r="E33" s="160">
        <f>INDEX(Data[],MATCH($A33,Data[Dist],0),MATCH(E$6,Data[#Headers],0))</f>
        <v>331383</v>
      </c>
      <c r="F33" s="160">
        <f>INDEX(Data[],MATCH($A33,Data[Dist],0),MATCH(F$6,Data[#Headers],0))</f>
        <v>331381</v>
      </c>
      <c r="G33" s="22">
        <f>INDEX(Data[],MATCH($A33,Data[Dist],0),MATCH(G$6,Data[#Headers],0))</f>
        <v>999576</v>
      </c>
      <c r="H33" s="22">
        <f>INDEX(Data[],MATCH($A33,Data[Dist],0),MATCH(H$6,Data[#Headers],0))-G33</f>
        <v>2332344</v>
      </c>
      <c r="I33" s="25"/>
      <c r="J33" s="22">
        <f>INDEX(Notes!$I$2:$N$11,MATCH(Notes!$B$2,Notes!$I$2:$I$11,0),4)*$C33</f>
        <v>999576</v>
      </c>
      <c r="K33" s="22">
        <f>INDEX(Notes!$I$2:$N$11,MATCH(Notes!$B$2,Notes!$I$2:$I$11,0),5)*$D33</f>
        <v>0</v>
      </c>
      <c r="L33" s="22">
        <f>INDEX(Notes!$I$2:$N$11,MATCH(Notes!$B$2,Notes!$I$2:$I$11,0),6)*$E33</f>
        <v>0</v>
      </c>
      <c r="M33" s="22">
        <f>IF(Notes!$B$2="June",'Payment Total'!$F33,0)</f>
        <v>0</v>
      </c>
      <c r="N33" s="22">
        <f t="shared" si="0"/>
        <v>0</v>
      </c>
      <c r="P33" s="26" t="s">
        <v>869</v>
      </c>
      <c r="Q33" s="26">
        <v>333192</v>
      </c>
      <c r="R33" s="21" t="str">
        <f t="shared" si="1"/>
        <v>0576</v>
      </c>
      <c r="S33" s="44" t="str">
        <f t="shared" si="2"/>
        <v>0576</v>
      </c>
      <c r="T33" s="45">
        <f t="shared" si="3"/>
        <v>0</v>
      </c>
      <c r="V33" s="45"/>
    </row>
    <row r="34" spans="1:22" s="26" customFormat="1" ht="12.75" x14ac:dyDescent="0.2">
      <c r="A34" s="20" t="str">
        <f>Data!B29</f>
        <v>0585</v>
      </c>
      <c r="B34" s="21" t="str">
        <f>INDEX(Data[],MATCH($A34,Data[Dist],0),MATCH(B$6,Data[#Headers],0))</f>
        <v>Bellevue</v>
      </c>
      <c r="C34" s="22">
        <f>INDEX(Data[],MATCH($A34,Data[Dist],0),MATCH(C$6,Data[#Headers],0))</f>
        <v>400316</v>
      </c>
      <c r="D34" s="160">
        <f>INDEX(Data[],MATCH($A34,Data[Dist],0),MATCH(D$6,Data[#Headers],0))</f>
        <v>397897</v>
      </c>
      <c r="E34" s="160">
        <f>INDEX(Data[],MATCH($A34,Data[Dist],0),MATCH(E$6,Data[#Headers],0))</f>
        <v>397897</v>
      </c>
      <c r="F34" s="160">
        <f>INDEX(Data[],MATCH($A34,Data[Dist],0),MATCH(F$6,Data[#Headers],0))</f>
        <v>397896</v>
      </c>
      <c r="G34" s="22">
        <f>INDEX(Data[],MATCH($A34,Data[Dist],0),MATCH(G$6,Data[#Headers],0))</f>
        <v>1200948</v>
      </c>
      <c r="H34" s="22">
        <f>INDEX(Data[],MATCH($A34,Data[Dist],0),MATCH(H$6,Data[#Headers],0))-G34</f>
        <v>2802207</v>
      </c>
      <c r="I34" s="25"/>
      <c r="J34" s="22">
        <f>INDEX(Notes!$I$2:$N$11,MATCH(Notes!$B$2,Notes!$I$2:$I$11,0),4)*$C34</f>
        <v>1200948</v>
      </c>
      <c r="K34" s="22">
        <f>INDEX(Notes!$I$2:$N$11,MATCH(Notes!$B$2,Notes!$I$2:$I$11,0),5)*$D34</f>
        <v>0</v>
      </c>
      <c r="L34" s="22">
        <f>INDEX(Notes!$I$2:$N$11,MATCH(Notes!$B$2,Notes!$I$2:$I$11,0),6)*$E34</f>
        <v>0</v>
      </c>
      <c r="M34" s="22">
        <f>IF(Notes!$B$2="June",'Payment Total'!$F34,0)</f>
        <v>0</v>
      </c>
      <c r="N34" s="22">
        <f t="shared" si="0"/>
        <v>0</v>
      </c>
      <c r="P34" s="26" t="s">
        <v>870</v>
      </c>
      <c r="Q34" s="26">
        <v>400316</v>
      </c>
      <c r="R34" s="21" t="str">
        <f t="shared" si="1"/>
        <v>0585</v>
      </c>
      <c r="S34" s="44" t="str">
        <f t="shared" si="2"/>
        <v>0585</v>
      </c>
      <c r="T34" s="45">
        <f t="shared" si="3"/>
        <v>0</v>
      </c>
      <c r="V34" s="45"/>
    </row>
    <row r="35" spans="1:22" s="26" customFormat="1" ht="12.75" x14ac:dyDescent="0.2">
      <c r="A35" s="20" t="str">
        <f>Data!B30</f>
        <v>0594</v>
      </c>
      <c r="B35" s="21" t="str">
        <f>INDEX(Data[],MATCH($A35,Data[Dist],0),MATCH(B$6,Data[#Headers],0))</f>
        <v>Belmond-Klemme</v>
      </c>
      <c r="C35" s="22">
        <f>INDEX(Data[],MATCH($A35,Data[Dist],0),MATCH(C$6,Data[#Headers],0))</f>
        <v>494265</v>
      </c>
      <c r="D35" s="160">
        <f>INDEX(Data[],MATCH($A35,Data[Dist],0),MATCH(D$6,Data[#Headers],0))</f>
        <v>491432</v>
      </c>
      <c r="E35" s="160">
        <f>INDEX(Data[],MATCH($A35,Data[Dist],0),MATCH(E$6,Data[#Headers],0))</f>
        <v>491431</v>
      </c>
      <c r="F35" s="160">
        <f>INDEX(Data[],MATCH($A35,Data[Dist],0),MATCH(F$6,Data[#Headers],0))</f>
        <v>491432</v>
      </c>
      <c r="G35" s="22">
        <f>INDEX(Data[],MATCH($A35,Data[Dist],0),MATCH(G$6,Data[#Headers],0))</f>
        <v>1482795</v>
      </c>
      <c r="H35" s="22">
        <f>INDEX(Data[],MATCH($A35,Data[Dist],0),MATCH(H$6,Data[#Headers],0))-G35</f>
        <v>3459854</v>
      </c>
      <c r="I35" s="25"/>
      <c r="J35" s="22">
        <f>INDEX(Notes!$I$2:$N$11,MATCH(Notes!$B$2,Notes!$I$2:$I$11,0),4)*$C35</f>
        <v>1482795</v>
      </c>
      <c r="K35" s="22">
        <f>INDEX(Notes!$I$2:$N$11,MATCH(Notes!$B$2,Notes!$I$2:$I$11,0),5)*$D35</f>
        <v>0</v>
      </c>
      <c r="L35" s="22">
        <f>INDEX(Notes!$I$2:$N$11,MATCH(Notes!$B$2,Notes!$I$2:$I$11,0),6)*$E35</f>
        <v>0</v>
      </c>
      <c r="M35" s="22">
        <f>IF(Notes!$B$2="June",'Payment Total'!$F35,0)</f>
        <v>0</v>
      </c>
      <c r="N35" s="22">
        <f t="shared" si="0"/>
        <v>0</v>
      </c>
      <c r="P35" s="26" t="s">
        <v>871</v>
      </c>
      <c r="Q35" s="26">
        <v>494265</v>
      </c>
      <c r="R35" s="21" t="str">
        <f t="shared" si="1"/>
        <v>0594</v>
      </c>
      <c r="S35" s="44" t="str">
        <f t="shared" si="2"/>
        <v>0594</v>
      </c>
      <c r="T35" s="45">
        <f t="shared" si="3"/>
        <v>0</v>
      </c>
      <c r="V35" s="45"/>
    </row>
    <row r="36" spans="1:22" s="26" customFormat="1" ht="12.75" x14ac:dyDescent="0.2">
      <c r="A36" s="20" t="str">
        <f>Data!B31</f>
        <v>0603</v>
      </c>
      <c r="B36" s="21" t="str">
        <f>INDEX(Data[],MATCH($A36,Data[Dist],0),MATCH(B$6,Data[#Headers],0))</f>
        <v>Bennett</v>
      </c>
      <c r="C36" s="22">
        <f>INDEX(Data[],MATCH($A36,Data[Dist],0),MATCH(C$6,Data[#Headers],0))</f>
        <v>103181</v>
      </c>
      <c r="D36" s="160">
        <f>INDEX(Data[],MATCH($A36,Data[Dist],0),MATCH(D$6,Data[#Headers],0))</f>
        <v>102510</v>
      </c>
      <c r="E36" s="160">
        <f>INDEX(Data[],MATCH($A36,Data[Dist],0),MATCH(E$6,Data[#Headers],0))</f>
        <v>102510</v>
      </c>
      <c r="F36" s="160">
        <f>INDEX(Data[],MATCH($A36,Data[Dist],0),MATCH(F$6,Data[#Headers],0))</f>
        <v>102511</v>
      </c>
      <c r="G36" s="22">
        <f>INDEX(Data[],MATCH($A36,Data[Dist],0),MATCH(G$6,Data[#Headers],0))</f>
        <v>309543</v>
      </c>
      <c r="H36" s="22">
        <f>INDEX(Data[],MATCH($A36,Data[Dist],0),MATCH(H$6,Data[#Headers],0))-G36</f>
        <v>722266</v>
      </c>
      <c r="I36" s="25"/>
      <c r="J36" s="22">
        <f>INDEX(Notes!$I$2:$N$11,MATCH(Notes!$B$2,Notes!$I$2:$I$11,0),4)*$C36</f>
        <v>309543</v>
      </c>
      <c r="K36" s="22">
        <f>INDEX(Notes!$I$2:$N$11,MATCH(Notes!$B$2,Notes!$I$2:$I$11,0),5)*$D36</f>
        <v>0</v>
      </c>
      <c r="L36" s="22">
        <f>INDEX(Notes!$I$2:$N$11,MATCH(Notes!$B$2,Notes!$I$2:$I$11,0),6)*$E36</f>
        <v>0</v>
      </c>
      <c r="M36" s="22">
        <f>IF(Notes!$B$2="June",'Payment Total'!$F36,0)</f>
        <v>0</v>
      </c>
      <c r="N36" s="22">
        <f t="shared" si="0"/>
        <v>0</v>
      </c>
      <c r="P36" s="26" t="s">
        <v>872</v>
      </c>
      <c r="Q36" s="26">
        <v>103181</v>
      </c>
      <c r="R36" s="21" t="str">
        <f t="shared" si="1"/>
        <v>0603</v>
      </c>
      <c r="S36" s="44" t="str">
        <f t="shared" si="2"/>
        <v>0603</v>
      </c>
      <c r="T36" s="45">
        <f t="shared" si="3"/>
        <v>0</v>
      </c>
      <c r="V36" s="45"/>
    </row>
    <row r="37" spans="1:22" s="26" customFormat="1" ht="12.75" x14ac:dyDescent="0.2">
      <c r="A37" s="20" t="str">
        <f>Data!B32</f>
        <v>0609</v>
      </c>
      <c r="B37" s="21" t="str">
        <f>INDEX(Data[],MATCH($A37,Data[Dist],0),MATCH(B$6,Data[#Headers],0))</f>
        <v>Benton</v>
      </c>
      <c r="C37" s="22">
        <f>INDEX(Data[],MATCH($A37,Data[Dist],0),MATCH(C$6,Data[#Headers],0))</f>
        <v>965133</v>
      </c>
      <c r="D37" s="160">
        <f>INDEX(Data[],MATCH($A37,Data[Dist],0),MATCH(D$6,Data[#Headers],0))</f>
        <v>959245</v>
      </c>
      <c r="E37" s="160">
        <f>INDEX(Data[],MATCH($A37,Data[Dist],0),MATCH(E$6,Data[#Headers],0))</f>
        <v>959246</v>
      </c>
      <c r="F37" s="160">
        <f>INDEX(Data[],MATCH($A37,Data[Dist],0),MATCH(F$6,Data[#Headers],0))</f>
        <v>959244</v>
      </c>
      <c r="G37" s="22">
        <f>INDEX(Data[],MATCH($A37,Data[Dist],0),MATCH(G$6,Data[#Headers],0))</f>
        <v>2895399</v>
      </c>
      <c r="H37" s="22">
        <f>INDEX(Data[],MATCH($A37,Data[Dist],0),MATCH(H$6,Data[#Headers],0))-G37</f>
        <v>6755926</v>
      </c>
      <c r="I37" s="25"/>
      <c r="J37" s="22">
        <f>INDEX(Notes!$I$2:$N$11,MATCH(Notes!$B$2,Notes!$I$2:$I$11,0),4)*$C37</f>
        <v>2895399</v>
      </c>
      <c r="K37" s="22">
        <f>INDEX(Notes!$I$2:$N$11,MATCH(Notes!$B$2,Notes!$I$2:$I$11,0),5)*$D37</f>
        <v>0</v>
      </c>
      <c r="L37" s="22">
        <f>INDEX(Notes!$I$2:$N$11,MATCH(Notes!$B$2,Notes!$I$2:$I$11,0),6)*$E37</f>
        <v>0</v>
      </c>
      <c r="M37" s="22">
        <f>IF(Notes!$B$2="June",'Payment Total'!$F37,0)</f>
        <v>0</v>
      </c>
      <c r="N37" s="22">
        <f t="shared" si="0"/>
        <v>0</v>
      </c>
      <c r="P37" s="26" t="s">
        <v>873</v>
      </c>
      <c r="Q37" s="26">
        <v>965133</v>
      </c>
      <c r="R37" s="21" t="str">
        <f t="shared" si="1"/>
        <v>0609</v>
      </c>
      <c r="S37" s="44" t="str">
        <f t="shared" si="2"/>
        <v>0609</v>
      </c>
      <c r="T37" s="45">
        <f t="shared" si="3"/>
        <v>0</v>
      </c>
      <c r="V37" s="45"/>
    </row>
    <row r="38" spans="1:22" s="26" customFormat="1" ht="12.75" x14ac:dyDescent="0.2">
      <c r="A38" s="20" t="str">
        <f>Data!B33</f>
        <v>0621</v>
      </c>
      <c r="B38" s="21" t="str">
        <f>INDEX(Data[],MATCH($A38,Data[Dist],0),MATCH(B$6,Data[#Headers],0))</f>
        <v>Bettendorf</v>
      </c>
      <c r="C38" s="22">
        <f>INDEX(Data[],MATCH($A38,Data[Dist],0),MATCH(C$6,Data[#Headers],0))</f>
        <v>2778355</v>
      </c>
      <c r="D38" s="160">
        <f>INDEX(Data[],MATCH($A38,Data[Dist],0),MATCH(D$6,Data[#Headers],0))</f>
        <v>2762975</v>
      </c>
      <c r="E38" s="160">
        <f>INDEX(Data[],MATCH($A38,Data[Dist],0),MATCH(E$6,Data[#Headers],0))</f>
        <v>2762975</v>
      </c>
      <c r="F38" s="160">
        <f>INDEX(Data[],MATCH($A38,Data[Dist],0),MATCH(F$6,Data[#Headers],0))</f>
        <v>2762976</v>
      </c>
      <c r="G38" s="22">
        <f>INDEX(Data[],MATCH($A38,Data[Dist],0),MATCH(G$6,Data[#Headers],0))</f>
        <v>8335065</v>
      </c>
      <c r="H38" s="22">
        <f>INDEX(Data[],MATCH($A38,Data[Dist],0),MATCH(H$6,Data[#Headers],0))-G38</f>
        <v>19448481</v>
      </c>
      <c r="I38" s="25"/>
      <c r="J38" s="22">
        <f>INDEX(Notes!$I$2:$N$11,MATCH(Notes!$B$2,Notes!$I$2:$I$11,0),4)*$C38</f>
        <v>8335065</v>
      </c>
      <c r="K38" s="22">
        <f>INDEX(Notes!$I$2:$N$11,MATCH(Notes!$B$2,Notes!$I$2:$I$11,0),5)*$D38</f>
        <v>0</v>
      </c>
      <c r="L38" s="22">
        <f>INDEX(Notes!$I$2:$N$11,MATCH(Notes!$B$2,Notes!$I$2:$I$11,0),6)*$E38</f>
        <v>0</v>
      </c>
      <c r="M38" s="22">
        <f>IF(Notes!$B$2="June",'Payment Total'!$F38,0)</f>
        <v>0</v>
      </c>
      <c r="N38" s="22">
        <f t="shared" si="0"/>
        <v>0</v>
      </c>
      <c r="P38" s="26" t="s">
        <v>874</v>
      </c>
      <c r="Q38" s="26">
        <v>2778355</v>
      </c>
      <c r="R38" s="21" t="str">
        <f t="shared" si="1"/>
        <v>0621</v>
      </c>
      <c r="S38" s="44" t="str">
        <f t="shared" si="2"/>
        <v>0621</v>
      </c>
      <c r="T38" s="45">
        <f t="shared" si="3"/>
        <v>0</v>
      </c>
      <c r="V38" s="45"/>
    </row>
    <row r="39" spans="1:22" s="26" customFormat="1" ht="12.75" x14ac:dyDescent="0.2">
      <c r="A39" s="20" t="str">
        <f>Data!B34</f>
        <v>0657</v>
      </c>
      <c r="B39" s="21" t="str">
        <f>INDEX(Data[],MATCH($A39,Data[Dist],0),MATCH(B$6,Data[#Headers],0))</f>
        <v>Eddyville-Blakesburg-Fremont</v>
      </c>
      <c r="C39" s="22">
        <f>INDEX(Data[],MATCH($A39,Data[Dist],0),MATCH(C$6,Data[#Headers],0))</f>
        <v>451573</v>
      </c>
      <c r="D39" s="160">
        <f>INDEX(Data[],MATCH($A39,Data[Dist],0),MATCH(D$6,Data[#Headers],0))</f>
        <v>448374</v>
      </c>
      <c r="E39" s="160">
        <f>INDEX(Data[],MATCH($A39,Data[Dist],0),MATCH(E$6,Data[#Headers],0))</f>
        <v>448374</v>
      </c>
      <c r="F39" s="160">
        <f>INDEX(Data[],MATCH($A39,Data[Dist],0),MATCH(F$6,Data[#Headers],0))</f>
        <v>448374</v>
      </c>
      <c r="G39" s="22">
        <f>INDEX(Data[],MATCH($A39,Data[Dist],0),MATCH(G$6,Data[#Headers],0))</f>
        <v>1354719</v>
      </c>
      <c r="H39" s="22">
        <f>INDEX(Data[],MATCH($A39,Data[Dist],0),MATCH(H$6,Data[#Headers],0))-G39</f>
        <v>3161011</v>
      </c>
      <c r="I39" s="25"/>
      <c r="J39" s="22">
        <f>INDEX(Notes!$I$2:$N$11,MATCH(Notes!$B$2,Notes!$I$2:$I$11,0),4)*$C39</f>
        <v>1354719</v>
      </c>
      <c r="K39" s="22">
        <f>INDEX(Notes!$I$2:$N$11,MATCH(Notes!$B$2,Notes!$I$2:$I$11,0),5)*$D39</f>
        <v>0</v>
      </c>
      <c r="L39" s="22">
        <f>INDEX(Notes!$I$2:$N$11,MATCH(Notes!$B$2,Notes!$I$2:$I$11,0),6)*$E39</f>
        <v>0</v>
      </c>
      <c r="M39" s="22">
        <f>IF(Notes!$B$2="June",'Payment Total'!$F39,0)</f>
        <v>0</v>
      </c>
      <c r="N39" s="22">
        <f t="shared" si="0"/>
        <v>0</v>
      </c>
      <c r="P39" s="26" t="s">
        <v>875</v>
      </c>
      <c r="Q39" s="26">
        <v>451573</v>
      </c>
      <c r="R39" s="21" t="str">
        <f t="shared" si="1"/>
        <v>0657</v>
      </c>
      <c r="S39" s="44" t="str">
        <f t="shared" si="2"/>
        <v>0657</v>
      </c>
      <c r="T39" s="45">
        <f t="shared" si="3"/>
        <v>0</v>
      </c>
      <c r="V39" s="45"/>
    </row>
    <row r="40" spans="1:22" s="26" customFormat="1" ht="12.75" x14ac:dyDescent="0.2">
      <c r="A40" s="20" t="str">
        <f>Data!B35</f>
        <v>0720</v>
      </c>
      <c r="B40" s="21" t="str">
        <f>INDEX(Data[],MATCH($A40,Data[Dist],0),MATCH(B$6,Data[#Headers],0))</f>
        <v>Bondurant-Farrar</v>
      </c>
      <c r="C40" s="22">
        <f>INDEX(Data[],MATCH($A40,Data[Dist],0),MATCH(C$6,Data[#Headers],0))</f>
        <v>1858788</v>
      </c>
      <c r="D40" s="160">
        <f>INDEX(Data[],MATCH($A40,Data[Dist],0),MATCH(D$6,Data[#Headers],0))</f>
        <v>1849160</v>
      </c>
      <c r="E40" s="160">
        <f>INDEX(Data[],MATCH($A40,Data[Dist],0),MATCH(E$6,Data[#Headers],0))</f>
        <v>1849161</v>
      </c>
      <c r="F40" s="160">
        <f>INDEX(Data[],MATCH($A40,Data[Dist],0),MATCH(F$6,Data[#Headers],0))</f>
        <v>1849159</v>
      </c>
      <c r="G40" s="22">
        <f>INDEX(Data[],MATCH($A40,Data[Dist],0),MATCH(G$6,Data[#Headers],0))</f>
        <v>5576364</v>
      </c>
      <c r="H40" s="22">
        <f>INDEX(Data[],MATCH($A40,Data[Dist],0),MATCH(H$6,Data[#Headers],0))-G40</f>
        <v>13011517</v>
      </c>
      <c r="I40" s="25"/>
      <c r="J40" s="22">
        <f>INDEX(Notes!$I$2:$N$11,MATCH(Notes!$B$2,Notes!$I$2:$I$11,0),4)*$C40</f>
        <v>5576364</v>
      </c>
      <c r="K40" s="22">
        <f>INDEX(Notes!$I$2:$N$11,MATCH(Notes!$B$2,Notes!$I$2:$I$11,0),5)*$D40</f>
        <v>0</v>
      </c>
      <c r="L40" s="22">
        <f>INDEX(Notes!$I$2:$N$11,MATCH(Notes!$B$2,Notes!$I$2:$I$11,0),6)*$E40</f>
        <v>0</v>
      </c>
      <c r="M40" s="22">
        <f>IF(Notes!$B$2="June",'Payment Total'!$F40,0)</f>
        <v>0</v>
      </c>
      <c r="N40" s="22">
        <f t="shared" si="0"/>
        <v>0</v>
      </c>
      <c r="P40" s="26" t="s">
        <v>876</v>
      </c>
      <c r="Q40" s="26">
        <v>1858788</v>
      </c>
      <c r="R40" s="21" t="str">
        <f t="shared" si="1"/>
        <v>0720</v>
      </c>
      <c r="S40" s="44" t="str">
        <f t="shared" si="2"/>
        <v>0720</v>
      </c>
      <c r="T40" s="45">
        <f t="shared" si="3"/>
        <v>0</v>
      </c>
      <c r="V40" s="45"/>
    </row>
    <row r="41" spans="1:22" s="26" customFormat="1" ht="12.75" x14ac:dyDescent="0.2">
      <c r="A41" s="20" t="str">
        <f>Data!B36</f>
        <v>0729</v>
      </c>
      <c r="B41" s="21" t="str">
        <f>INDEX(Data[],MATCH($A41,Data[Dist],0),MATCH(B$6,Data[#Headers],0))</f>
        <v>Boone</v>
      </c>
      <c r="C41" s="22">
        <f>INDEX(Data[],MATCH($A41,Data[Dist],0),MATCH(C$6,Data[#Headers],0))</f>
        <v>1624929</v>
      </c>
      <c r="D41" s="160">
        <f>INDEX(Data[],MATCH($A41,Data[Dist],0),MATCH(D$6,Data[#Headers],0))</f>
        <v>1617129</v>
      </c>
      <c r="E41" s="160">
        <f>INDEX(Data[],MATCH($A41,Data[Dist],0),MATCH(E$6,Data[#Headers],0))</f>
        <v>1617129</v>
      </c>
      <c r="F41" s="160">
        <f>INDEX(Data[],MATCH($A41,Data[Dist],0),MATCH(F$6,Data[#Headers],0))</f>
        <v>1617127</v>
      </c>
      <c r="G41" s="22">
        <f>INDEX(Data[],MATCH($A41,Data[Dist],0),MATCH(G$6,Data[#Headers],0))</f>
        <v>4874787</v>
      </c>
      <c r="H41" s="22">
        <f>INDEX(Data[],MATCH($A41,Data[Dist],0),MATCH(H$6,Data[#Headers],0))-G41</f>
        <v>11374502</v>
      </c>
      <c r="I41" s="25"/>
      <c r="J41" s="22">
        <f>INDEX(Notes!$I$2:$N$11,MATCH(Notes!$B$2,Notes!$I$2:$I$11,0),4)*$C41</f>
        <v>4874787</v>
      </c>
      <c r="K41" s="22">
        <f>INDEX(Notes!$I$2:$N$11,MATCH(Notes!$B$2,Notes!$I$2:$I$11,0),5)*$D41</f>
        <v>0</v>
      </c>
      <c r="L41" s="22">
        <f>INDEX(Notes!$I$2:$N$11,MATCH(Notes!$B$2,Notes!$I$2:$I$11,0),6)*$E41</f>
        <v>0</v>
      </c>
      <c r="M41" s="22">
        <f>IF(Notes!$B$2="June",'Payment Total'!$F41,0)</f>
        <v>0</v>
      </c>
      <c r="N41" s="22">
        <f t="shared" si="0"/>
        <v>0</v>
      </c>
      <c r="P41" s="26" t="s">
        <v>877</v>
      </c>
      <c r="Q41" s="26">
        <v>1624929</v>
      </c>
      <c r="R41" s="21" t="str">
        <f t="shared" si="1"/>
        <v>0729</v>
      </c>
      <c r="S41" s="44" t="str">
        <f t="shared" si="2"/>
        <v>0729</v>
      </c>
      <c r="T41" s="45">
        <f t="shared" si="3"/>
        <v>0</v>
      </c>
      <c r="V41" s="45"/>
    </row>
    <row r="42" spans="1:22" s="26" customFormat="1" ht="12.75" x14ac:dyDescent="0.2">
      <c r="A42" s="20" t="str">
        <f>Data!B37</f>
        <v>0747</v>
      </c>
      <c r="B42" s="21" t="str">
        <f>INDEX(Data[],MATCH($A42,Data[Dist],0),MATCH(B$6,Data[#Headers],0))</f>
        <v>Boyden-Hull</v>
      </c>
      <c r="C42" s="22">
        <f>INDEX(Data[],MATCH($A42,Data[Dist],0),MATCH(C$6,Data[#Headers],0))</f>
        <v>395044</v>
      </c>
      <c r="D42" s="160">
        <f>INDEX(Data[],MATCH($A42,Data[Dist],0),MATCH(D$6,Data[#Headers],0))</f>
        <v>392868</v>
      </c>
      <c r="E42" s="160">
        <f>INDEX(Data[],MATCH($A42,Data[Dist],0),MATCH(E$6,Data[#Headers],0))</f>
        <v>392868</v>
      </c>
      <c r="F42" s="160">
        <f>INDEX(Data[],MATCH($A42,Data[Dist],0),MATCH(F$6,Data[#Headers],0))</f>
        <v>392869</v>
      </c>
      <c r="G42" s="22">
        <f>INDEX(Data[],MATCH($A42,Data[Dist],0),MATCH(G$6,Data[#Headers],0))</f>
        <v>1185132</v>
      </c>
      <c r="H42" s="22">
        <f>INDEX(Data[],MATCH($A42,Data[Dist],0),MATCH(H$6,Data[#Headers],0))-G42</f>
        <v>2765311</v>
      </c>
      <c r="I42" s="25"/>
      <c r="J42" s="22">
        <f>INDEX(Notes!$I$2:$N$11,MATCH(Notes!$B$2,Notes!$I$2:$I$11,0),4)*$C42</f>
        <v>1185132</v>
      </c>
      <c r="K42" s="22">
        <f>INDEX(Notes!$I$2:$N$11,MATCH(Notes!$B$2,Notes!$I$2:$I$11,0),5)*$D42</f>
        <v>0</v>
      </c>
      <c r="L42" s="22">
        <f>INDEX(Notes!$I$2:$N$11,MATCH(Notes!$B$2,Notes!$I$2:$I$11,0),6)*$E42</f>
        <v>0</v>
      </c>
      <c r="M42" s="22">
        <f>IF(Notes!$B$2="June",'Payment Total'!$F42,0)</f>
        <v>0</v>
      </c>
      <c r="N42" s="22">
        <f t="shared" si="0"/>
        <v>0</v>
      </c>
      <c r="P42" s="26" t="s">
        <v>878</v>
      </c>
      <c r="Q42" s="26">
        <v>395044</v>
      </c>
      <c r="R42" s="21" t="str">
        <f t="shared" si="1"/>
        <v>0747</v>
      </c>
      <c r="S42" s="44" t="str">
        <f t="shared" si="2"/>
        <v>0747</v>
      </c>
      <c r="T42" s="45">
        <f t="shared" si="3"/>
        <v>0</v>
      </c>
      <c r="V42" s="45"/>
    </row>
    <row r="43" spans="1:22" s="26" customFormat="1" ht="12.75" x14ac:dyDescent="0.2">
      <c r="A43" s="20" t="str">
        <f>Data!B38</f>
        <v>0819</v>
      </c>
      <c r="B43" s="21" t="str">
        <f>INDEX(Data[],MATCH($A43,Data[Dist],0),MATCH(B$6,Data[#Headers],0))</f>
        <v>West Hancock</v>
      </c>
      <c r="C43" s="22">
        <f>INDEX(Data[],MATCH($A43,Data[Dist],0),MATCH(C$6,Data[#Headers],0))</f>
        <v>325134</v>
      </c>
      <c r="D43" s="160">
        <f>INDEX(Data[],MATCH($A43,Data[Dist],0),MATCH(D$6,Data[#Headers],0))</f>
        <v>322992</v>
      </c>
      <c r="E43" s="160">
        <f>INDEX(Data[],MATCH($A43,Data[Dist],0),MATCH(E$6,Data[#Headers],0))</f>
        <v>322992</v>
      </c>
      <c r="F43" s="160">
        <f>INDEX(Data[],MATCH($A43,Data[Dist],0),MATCH(F$6,Data[#Headers],0))</f>
        <v>322992</v>
      </c>
      <c r="G43" s="22">
        <f>INDEX(Data[],MATCH($A43,Data[Dist],0),MATCH(G$6,Data[#Headers],0))</f>
        <v>975402</v>
      </c>
      <c r="H43" s="22">
        <f>INDEX(Data[],MATCH($A43,Data[Dist],0),MATCH(H$6,Data[#Headers],0))-G43</f>
        <v>2275933</v>
      </c>
      <c r="I43" s="25"/>
      <c r="J43" s="22">
        <f>INDEX(Notes!$I$2:$N$11,MATCH(Notes!$B$2,Notes!$I$2:$I$11,0),4)*$C43</f>
        <v>975402</v>
      </c>
      <c r="K43" s="22">
        <f>INDEX(Notes!$I$2:$N$11,MATCH(Notes!$B$2,Notes!$I$2:$I$11,0),5)*$D43</f>
        <v>0</v>
      </c>
      <c r="L43" s="22">
        <f>INDEX(Notes!$I$2:$N$11,MATCH(Notes!$B$2,Notes!$I$2:$I$11,0),6)*$E43</f>
        <v>0</v>
      </c>
      <c r="M43" s="22">
        <f>IF(Notes!$B$2="June",'Payment Total'!$F43,0)</f>
        <v>0</v>
      </c>
      <c r="N43" s="22">
        <f t="shared" si="0"/>
        <v>0</v>
      </c>
      <c r="P43" s="26" t="s">
        <v>879</v>
      </c>
      <c r="Q43" s="26">
        <v>325134</v>
      </c>
      <c r="R43" s="21" t="str">
        <f t="shared" si="1"/>
        <v>0819</v>
      </c>
      <c r="S43" s="44" t="str">
        <f t="shared" si="2"/>
        <v>0819</v>
      </c>
      <c r="T43" s="45">
        <f t="shared" si="3"/>
        <v>0</v>
      </c>
      <c r="V43" s="45"/>
    </row>
    <row r="44" spans="1:22" s="26" customFormat="1" ht="12.75" x14ac:dyDescent="0.2">
      <c r="A44" s="20" t="str">
        <f>Data!B39</f>
        <v>0846</v>
      </c>
      <c r="B44" s="21" t="str">
        <f>INDEX(Data[],MATCH($A44,Data[Dist],0),MATCH(B$6,Data[#Headers],0))</f>
        <v>Brooklyn-Guernsey-Malcom</v>
      </c>
      <c r="C44" s="22">
        <f>INDEX(Data[],MATCH($A44,Data[Dist],0),MATCH(C$6,Data[#Headers],0))</f>
        <v>327962</v>
      </c>
      <c r="D44" s="160">
        <f>INDEX(Data[],MATCH($A44,Data[Dist],0),MATCH(D$6,Data[#Headers],0))</f>
        <v>325992</v>
      </c>
      <c r="E44" s="160">
        <f>INDEX(Data[],MATCH($A44,Data[Dist],0),MATCH(E$6,Data[#Headers],0))</f>
        <v>325992</v>
      </c>
      <c r="F44" s="160">
        <f>INDEX(Data[],MATCH($A44,Data[Dist],0),MATCH(F$6,Data[#Headers],0))</f>
        <v>325990</v>
      </c>
      <c r="G44" s="22">
        <f>INDEX(Data[],MATCH($A44,Data[Dist],0),MATCH(G$6,Data[#Headers],0))</f>
        <v>983886</v>
      </c>
      <c r="H44" s="22">
        <f>INDEX(Data[],MATCH($A44,Data[Dist],0),MATCH(H$6,Data[#Headers],0))-G44</f>
        <v>2295735</v>
      </c>
      <c r="I44" s="25"/>
      <c r="J44" s="22">
        <f>INDEX(Notes!$I$2:$N$11,MATCH(Notes!$B$2,Notes!$I$2:$I$11,0),4)*$C44</f>
        <v>983886</v>
      </c>
      <c r="K44" s="22">
        <f>INDEX(Notes!$I$2:$N$11,MATCH(Notes!$B$2,Notes!$I$2:$I$11,0),5)*$D44</f>
        <v>0</v>
      </c>
      <c r="L44" s="22">
        <f>INDEX(Notes!$I$2:$N$11,MATCH(Notes!$B$2,Notes!$I$2:$I$11,0),6)*$E44</f>
        <v>0</v>
      </c>
      <c r="M44" s="22">
        <f>IF(Notes!$B$2="June",'Payment Total'!$F44,0)</f>
        <v>0</v>
      </c>
      <c r="N44" s="22">
        <f t="shared" si="0"/>
        <v>0</v>
      </c>
      <c r="P44" s="26" t="s">
        <v>880</v>
      </c>
      <c r="Q44" s="26">
        <v>327962</v>
      </c>
      <c r="R44" s="21" t="str">
        <f t="shared" si="1"/>
        <v>0846</v>
      </c>
      <c r="S44" s="44" t="str">
        <f t="shared" si="2"/>
        <v>0846</v>
      </c>
      <c r="T44" s="45">
        <f t="shared" si="3"/>
        <v>0</v>
      </c>
      <c r="V44" s="45"/>
    </row>
    <row r="45" spans="1:22" s="26" customFormat="1" ht="12.75" x14ac:dyDescent="0.2">
      <c r="A45" s="20" t="str">
        <f>Data!B40</f>
        <v>0873</v>
      </c>
      <c r="B45" s="21" t="str">
        <f>INDEX(Data[],MATCH($A45,Data[Dist],0),MATCH(B$6,Data[#Headers],0))</f>
        <v>North Iowa</v>
      </c>
      <c r="C45" s="22">
        <f>INDEX(Data[],MATCH($A45,Data[Dist],0),MATCH(C$6,Data[#Headers],0))</f>
        <v>252969</v>
      </c>
      <c r="D45" s="160">
        <f>INDEX(Data[],MATCH($A45,Data[Dist],0),MATCH(D$6,Data[#Headers],0))</f>
        <v>251118</v>
      </c>
      <c r="E45" s="160">
        <f>INDEX(Data[],MATCH($A45,Data[Dist],0),MATCH(E$6,Data[#Headers],0))</f>
        <v>251119</v>
      </c>
      <c r="F45" s="160">
        <f>INDEX(Data[],MATCH($A45,Data[Dist],0),MATCH(F$6,Data[#Headers],0))</f>
        <v>251117</v>
      </c>
      <c r="G45" s="22">
        <f>INDEX(Data[],MATCH($A45,Data[Dist],0),MATCH(G$6,Data[#Headers],0))</f>
        <v>758907</v>
      </c>
      <c r="H45" s="22">
        <f>INDEX(Data[],MATCH($A45,Data[Dist],0),MATCH(H$6,Data[#Headers],0))-G45</f>
        <v>1770785</v>
      </c>
      <c r="I45" s="25"/>
      <c r="J45" s="22">
        <f>INDEX(Notes!$I$2:$N$11,MATCH(Notes!$B$2,Notes!$I$2:$I$11,0),4)*$C45</f>
        <v>758907</v>
      </c>
      <c r="K45" s="22">
        <f>INDEX(Notes!$I$2:$N$11,MATCH(Notes!$B$2,Notes!$I$2:$I$11,0),5)*$D45</f>
        <v>0</v>
      </c>
      <c r="L45" s="22">
        <f>INDEX(Notes!$I$2:$N$11,MATCH(Notes!$B$2,Notes!$I$2:$I$11,0),6)*$E45</f>
        <v>0</v>
      </c>
      <c r="M45" s="22">
        <f>IF(Notes!$B$2="June",'Payment Total'!$F45,0)</f>
        <v>0</v>
      </c>
      <c r="N45" s="22">
        <f t="shared" si="0"/>
        <v>0</v>
      </c>
      <c r="P45" s="26" t="s">
        <v>881</v>
      </c>
      <c r="Q45" s="26">
        <v>252969</v>
      </c>
      <c r="R45" s="21" t="str">
        <f t="shared" si="1"/>
        <v>0873</v>
      </c>
      <c r="S45" s="44" t="str">
        <f t="shared" si="2"/>
        <v>0873</v>
      </c>
      <c r="T45" s="45">
        <f t="shared" si="3"/>
        <v>0</v>
      </c>
      <c r="V45" s="45"/>
    </row>
    <row r="46" spans="1:22" s="26" customFormat="1" ht="12.75" x14ac:dyDescent="0.2">
      <c r="A46" s="20" t="str">
        <f>Data!B41</f>
        <v>0882</v>
      </c>
      <c r="B46" s="21" t="str">
        <f>INDEX(Data[],MATCH($A46,Data[Dist],0),MATCH(B$6,Data[#Headers],0))</f>
        <v>Burlington</v>
      </c>
      <c r="C46" s="22">
        <f>INDEX(Data[],MATCH($A46,Data[Dist],0),MATCH(C$6,Data[#Headers],0))</f>
        <v>3134033</v>
      </c>
      <c r="D46" s="160">
        <f>INDEX(Data[],MATCH($A46,Data[Dist],0),MATCH(D$6,Data[#Headers],0))</f>
        <v>3119255</v>
      </c>
      <c r="E46" s="160">
        <f>INDEX(Data[],MATCH($A46,Data[Dist],0),MATCH(E$6,Data[#Headers],0))</f>
        <v>3119255</v>
      </c>
      <c r="F46" s="160">
        <f>INDEX(Data[],MATCH($A46,Data[Dist],0),MATCH(F$6,Data[#Headers],0))</f>
        <v>3119256</v>
      </c>
      <c r="G46" s="22">
        <f>INDEX(Data[],MATCH($A46,Data[Dist],0),MATCH(G$6,Data[#Headers],0))</f>
        <v>9402099</v>
      </c>
      <c r="H46" s="22">
        <f>INDEX(Data[],MATCH($A46,Data[Dist],0),MATCH(H$6,Data[#Headers],0))-G46</f>
        <v>21938233</v>
      </c>
      <c r="I46" s="25"/>
      <c r="J46" s="22">
        <f>INDEX(Notes!$I$2:$N$11,MATCH(Notes!$B$2,Notes!$I$2:$I$11,0),4)*$C46</f>
        <v>9402099</v>
      </c>
      <c r="K46" s="22">
        <f>INDEX(Notes!$I$2:$N$11,MATCH(Notes!$B$2,Notes!$I$2:$I$11,0),5)*$D46</f>
        <v>0</v>
      </c>
      <c r="L46" s="22">
        <f>INDEX(Notes!$I$2:$N$11,MATCH(Notes!$B$2,Notes!$I$2:$I$11,0),6)*$E46</f>
        <v>0</v>
      </c>
      <c r="M46" s="22">
        <f>IF(Notes!$B$2="June",'Payment Total'!$F46,0)</f>
        <v>0</v>
      </c>
      <c r="N46" s="22">
        <f t="shared" si="0"/>
        <v>0</v>
      </c>
      <c r="P46" s="26" t="s">
        <v>882</v>
      </c>
      <c r="Q46" s="26">
        <v>3134033</v>
      </c>
      <c r="R46" s="21" t="str">
        <f t="shared" si="1"/>
        <v>0882</v>
      </c>
      <c r="S46" s="44" t="str">
        <f t="shared" si="2"/>
        <v>0882</v>
      </c>
      <c r="T46" s="45">
        <f t="shared" si="3"/>
        <v>0</v>
      </c>
      <c r="V46" s="45"/>
    </row>
    <row r="47" spans="1:22" s="26" customFormat="1" ht="12.75" x14ac:dyDescent="0.2">
      <c r="A47" s="20" t="str">
        <f>Data!B42</f>
        <v>0914</v>
      </c>
      <c r="B47" s="21" t="str">
        <f>INDEX(Data[],MATCH($A47,Data[Dist],0),MATCH(B$6,Data[#Headers],0))</f>
        <v>CAM</v>
      </c>
      <c r="C47" s="22">
        <f>INDEX(Data[],MATCH($A47,Data[Dist],0),MATCH(C$6,Data[#Headers],0))</f>
        <v>182528</v>
      </c>
      <c r="D47" s="160">
        <f>INDEX(Data[],MATCH($A47,Data[Dist],0),MATCH(D$6,Data[#Headers],0))</f>
        <v>180752</v>
      </c>
      <c r="E47" s="160">
        <f>INDEX(Data[],MATCH($A47,Data[Dist],0),MATCH(E$6,Data[#Headers],0))</f>
        <v>180752</v>
      </c>
      <c r="F47" s="160">
        <f>INDEX(Data[],MATCH($A47,Data[Dist],0),MATCH(F$6,Data[#Headers],0))</f>
        <v>180751</v>
      </c>
      <c r="G47" s="22">
        <f>INDEX(Data[],MATCH($A47,Data[Dist],0),MATCH(G$6,Data[#Headers],0))</f>
        <v>547584</v>
      </c>
      <c r="H47" s="22">
        <f>INDEX(Data[],MATCH($A47,Data[Dist],0),MATCH(H$6,Data[#Headers],0))-G47</f>
        <v>1277695</v>
      </c>
      <c r="I47" s="25"/>
      <c r="J47" s="22">
        <f>INDEX(Notes!$I$2:$N$11,MATCH(Notes!$B$2,Notes!$I$2:$I$11,0),4)*$C47</f>
        <v>547584</v>
      </c>
      <c r="K47" s="22">
        <f>INDEX(Notes!$I$2:$N$11,MATCH(Notes!$B$2,Notes!$I$2:$I$11,0),5)*$D47</f>
        <v>0</v>
      </c>
      <c r="L47" s="22">
        <f>INDEX(Notes!$I$2:$N$11,MATCH(Notes!$B$2,Notes!$I$2:$I$11,0),6)*$E47</f>
        <v>0</v>
      </c>
      <c r="M47" s="22">
        <f>IF(Notes!$B$2="June",'Payment Total'!$F47,0)</f>
        <v>0</v>
      </c>
      <c r="N47" s="22">
        <f t="shared" si="0"/>
        <v>0</v>
      </c>
      <c r="P47" s="26" t="s">
        <v>883</v>
      </c>
      <c r="Q47" s="26">
        <v>182528</v>
      </c>
      <c r="R47" s="21" t="str">
        <f t="shared" si="1"/>
        <v>0914</v>
      </c>
      <c r="S47" s="44" t="str">
        <f t="shared" si="2"/>
        <v>0914</v>
      </c>
      <c r="T47" s="45">
        <f t="shared" si="3"/>
        <v>0</v>
      </c>
      <c r="V47" s="45"/>
    </row>
    <row r="48" spans="1:22" s="26" customFormat="1" ht="12.75" x14ac:dyDescent="0.2">
      <c r="A48" s="20" t="str">
        <f>Data!B43</f>
        <v>0916</v>
      </c>
      <c r="B48" s="21" t="str">
        <f>INDEX(Data[],MATCH($A48,Data[Dist],0),MATCH(B$6,Data[#Headers],0))</f>
        <v>CAL</v>
      </c>
      <c r="C48" s="22">
        <f>INDEX(Data[],MATCH($A48,Data[Dist],0),MATCH(C$6,Data[#Headers],0))</f>
        <v>188465</v>
      </c>
      <c r="D48" s="160">
        <f>INDEX(Data[],MATCH($A48,Data[Dist],0),MATCH(D$6,Data[#Headers],0))</f>
        <v>187390</v>
      </c>
      <c r="E48" s="160">
        <f>INDEX(Data[],MATCH($A48,Data[Dist],0),MATCH(E$6,Data[#Headers],0))</f>
        <v>187390</v>
      </c>
      <c r="F48" s="160">
        <f>INDEX(Data[],MATCH($A48,Data[Dist],0),MATCH(F$6,Data[#Headers],0))</f>
        <v>187388</v>
      </c>
      <c r="G48" s="22">
        <f>INDEX(Data[],MATCH($A48,Data[Dist],0),MATCH(G$6,Data[#Headers],0))</f>
        <v>565395</v>
      </c>
      <c r="H48" s="22">
        <f>INDEX(Data[],MATCH($A48,Data[Dist],0),MATCH(H$6,Data[#Headers],0))-G48</f>
        <v>1319253</v>
      </c>
      <c r="I48" s="25"/>
      <c r="J48" s="22">
        <f>INDEX(Notes!$I$2:$N$11,MATCH(Notes!$B$2,Notes!$I$2:$I$11,0),4)*$C48</f>
        <v>565395</v>
      </c>
      <c r="K48" s="22">
        <f>INDEX(Notes!$I$2:$N$11,MATCH(Notes!$B$2,Notes!$I$2:$I$11,0),5)*$D48</f>
        <v>0</v>
      </c>
      <c r="L48" s="22">
        <f>INDEX(Notes!$I$2:$N$11,MATCH(Notes!$B$2,Notes!$I$2:$I$11,0),6)*$E48</f>
        <v>0</v>
      </c>
      <c r="M48" s="22">
        <f>IF(Notes!$B$2="June",'Payment Total'!$F48,0)</f>
        <v>0</v>
      </c>
      <c r="N48" s="22">
        <f t="shared" si="0"/>
        <v>0</v>
      </c>
      <c r="P48" s="26" t="s">
        <v>884</v>
      </c>
      <c r="Q48" s="26">
        <v>188465</v>
      </c>
      <c r="R48" s="21" t="str">
        <f t="shared" si="1"/>
        <v>0916</v>
      </c>
      <c r="S48" s="44" t="str">
        <f t="shared" si="2"/>
        <v>0916</v>
      </c>
      <c r="T48" s="45">
        <f t="shared" si="3"/>
        <v>0</v>
      </c>
      <c r="V48" s="45"/>
    </row>
    <row r="49" spans="1:22" s="26" customFormat="1" ht="12.75" x14ac:dyDescent="0.2">
      <c r="A49" s="20" t="str">
        <f>Data!B44</f>
        <v>0918</v>
      </c>
      <c r="B49" s="21" t="str">
        <f>INDEX(Data[],MATCH($A49,Data[Dist],0),MATCH(B$6,Data[#Headers],0))</f>
        <v>Calamus-Wheatland</v>
      </c>
      <c r="C49" s="22">
        <f>INDEX(Data[],MATCH($A49,Data[Dist],0),MATCH(C$6,Data[#Headers],0))</f>
        <v>235649</v>
      </c>
      <c r="D49" s="160">
        <f>INDEX(Data[],MATCH($A49,Data[Dist],0),MATCH(D$6,Data[#Headers],0))</f>
        <v>234190</v>
      </c>
      <c r="E49" s="160">
        <f>INDEX(Data[],MATCH($A49,Data[Dist],0),MATCH(E$6,Data[#Headers],0))</f>
        <v>234190</v>
      </c>
      <c r="F49" s="160">
        <f>INDEX(Data[],MATCH($A49,Data[Dist],0),MATCH(F$6,Data[#Headers],0))</f>
        <v>234190</v>
      </c>
      <c r="G49" s="22">
        <f>INDEX(Data[],MATCH($A49,Data[Dist],0),MATCH(G$6,Data[#Headers],0))</f>
        <v>706947</v>
      </c>
      <c r="H49" s="22">
        <f>INDEX(Data[],MATCH($A49,Data[Dist],0),MATCH(H$6,Data[#Headers],0))-G49</f>
        <v>1649547</v>
      </c>
      <c r="I49" s="25"/>
      <c r="J49" s="22">
        <f>INDEX(Notes!$I$2:$N$11,MATCH(Notes!$B$2,Notes!$I$2:$I$11,0),4)*$C49</f>
        <v>706947</v>
      </c>
      <c r="K49" s="22">
        <f>INDEX(Notes!$I$2:$N$11,MATCH(Notes!$B$2,Notes!$I$2:$I$11,0),5)*$D49</f>
        <v>0</v>
      </c>
      <c r="L49" s="22">
        <f>INDEX(Notes!$I$2:$N$11,MATCH(Notes!$B$2,Notes!$I$2:$I$11,0),6)*$E49</f>
        <v>0</v>
      </c>
      <c r="M49" s="22">
        <f>IF(Notes!$B$2="June",'Payment Total'!$F49,0)</f>
        <v>0</v>
      </c>
      <c r="N49" s="22">
        <f t="shared" si="0"/>
        <v>0</v>
      </c>
      <c r="P49" s="26" t="s">
        <v>885</v>
      </c>
      <c r="Q49" s="26">
        <v>235649</v>
      </c>
      <c r="R49" s="21" t="str">
        <f t="shared" si="1"/>
        <v>0918</v>
      </c>
      <c r="S49" s="44" t="str">
        <f t="shared" si="2"/>
        <v>0918</v>
      </c>
      <c r="T49" s="45">
        <f t="shared" si="3"/>
        <v>0</v>
      </c>
      <c r="V49" s="45"/>
    </row>
    <row r="50" spans="1:22" s="26" customFormat="1" ht="12.75" x14ac:dyDescent="0.2">
      <c r="A50" s="20" t="str">
        <f>Data!B45</f>
        <v>0936</v>
      </c>
      <c r="B50" s="21" t="str">
        <f>INDEX(Data[],MATCH($A50,Data[Dist],0),MATCH(B$6,Data[#Headers],0))</f>
        <v>Camanche</v>
      </c>
      <c r="C50" s="22">
        <f>INDEX(Data[],MATCH($A50,Data[Dist],0),MATCH(C$6,Data[#Headers],0))</f>
        <v>571963</v>
      </c>
      <c r="D50" s="160">
        <f>INDEX(Data[],MATCH($A50,Data[Dist],0),MATCH(D$6,Data[#Headers],0))</f>
        <v>568693</v>
      </c>
      <c r="E50" s="160">
        <f>INDEX(Data[],MATCH($A50,Data[Dist],0),MATCH(E$6,Data[#Headers],0))</f>
        <v>568693</v>
      </c>
      <c r="F50" s="160">
        <f>INDEX(Data[],MATCH($A50,Data[Dist],0),MATCH(F$6,Data[#Headers],0))</f>
        <v>568692</v>
      </c>
      <c r="G50" s="22">
        <f>INDEX(Data[],MATCH($A50,Data[Dist],0),MATCH(G$6,Data[#Headers],0))</f>
        <v>1715889</v>
      </c>
      <c r="H50" s="22">
        <f>INDEX(Data[],MATCH($A50,Data[Dist],0),MATCH(H$6,Data[#Headers],0))-G50</f>
        <v>4003743</v>
      </c>
      <c r="I50" s="25"/>
      <c r="J50" s="22">
        <f>INDEX(Notes!$I$2:$N$11,MATCH(Notes!$B$2,Notes!$I$2:$I$11,0),4)*$C50</f>
        <v>1715889</v>
      </c>
      <c r="K50" s="22">
        <f>INDEX(Notes!$I$2:$N$11,MATCH(Notes!$B$2,Notes!$I$2:$I$11,0),5)*$D50</f>
        <v>0</v>
      </c>
      <c r="L50" s="22">
        <f>INDEX(Notes!$I$2:$N$11,MATCH(Notes!$B$2,Notes!$I$2:$I$11,0),6)*$E50</f>
        <v>0</v>
      </c>
      <c r="M50" s="22">
        <f>IF(Notes!$B$2="June",'Payment Total'!$F50,0)</f>
        <v>0</v>
      </c>
      <c r="N50" s="22">
        <f t="shared" si="0"/>
        <v>0</v>
      </c>
      <c r="P50" s="26" t="s">
        <v>886</v>
      </c>
      <c r="Q50" s="26">
        <v>571963</v>
      </c>
      <c r="R50" s="21" t="str">
        <f t="shared" si="1"/>
        <v>0936</v>
      </c>
      <c r="S50" s="44" t="str">
        <f t="shared" si="2"/>
        <v>0936</v>
      </c>
      <c r="T50" s="45">
        <f t="shared" si="3"/>
        <v>0</v>
      </c>
      <c r="V50" s="45"/>
    </row>
    <row r="51" spans="1:22" s="26" customFormat="1" ht="12.75" x14ac:dyDescent="0.2">
      <c r="A51" s="20" t="str">
        <f>Data!B46</f>
        <v>0977</v>
      </c>
      <c r="B51" s="21" t="str">
        <f>INDEX(Data[],MATCH($A51,Data[Dist],0),MATCH(B$6,Data[#Headers],0))</f>
        <v>Cardinal</v>
      </c>
      <c r="C51" s="22">
        <f>INDEX(Data[],MATCH($A51,Data[Dist],0),MATCH(C$6,Data[#Headers],0))</f>
        <v>464053</v>
      </c>
      <c r="D51" s="160">
        <f>INDEX(Data[],MATCH($A51,Data[Dist],0),MATCH(D$6,Data[#Headers],0))</f>
        <v>461857</v>
      </c>
      <c r="E51" s="160">
        <f>INDEX(Data[],MATCH($A51,Data[Dist],0),MATCH(E$6,Data[#Headers],0))</f>
        <v>461857</v>
      </c>
      <c r="F51" s="160">
        <f>INDEX(Data[],MATCH($A51,Data[Dist],0),MATCH(F$6,Data[#Headers],0))</f>
        <v>461858</v>
      </c>
      <c r="G51" s="22">
        <f>INDEX(Data[],MATCH($A51,Data[Dist],0),MATCH(G$6,Data[#Headers],0))</f>
        <v>1392159</v>
      </c>
      <c r="H51" s="22">
        <f>INDEX(Data[],MATCH($A51,Data[Dist],0),MATCH(H$6,Data[#Headers],0))-G51</f>
        <v>3248369</v>
      </c>
      <c r="I51" s="25"/>
      <c r="J51" s="22">
        <f>INDEX(Notes!$I$2:$N$11,MATCH(Notes!$B$2,Notes!$I$2:$I$11,0),4)*$C51</f>
        <v>1392159</v>
      </c>
      <c r="K51" s="22">
        <f>INDEX(Notes!$I$2:$N$11,MATCH(Notes!$B$2,Notes!$I$2:$I$11,0),5)*$D51</f>
        <v>0</v>
      </c>
      <c r="L51" s="22">
        <f>INDEX(Notes!$I$2:$N$11,MATCH(Notes!$B$2,Notes!$I$2:$I$11,0),6)*$E51</f>
        <v>0</v>
      </c>
      <c r="M51" s="22">
        <f>IF(Notes!$B$2="June",'Payment Total'!$F51,0)</f>
        <v>0</v>
      </c>
      <c r="N51" s="22">
        <f t="shared" si="0"/>
        <v>0</v>
      </c>
      <c r="P51" s="26" t="s">
        <v>887</v>
      </c>
      <c r="Q51" s="26">
        <v>464053</v>
      </c>
      <c r="R51" s="21" t="str">
        <f t="shared" si="1"/>
        <v>0977</v>
      </c>
      <c r="S51" s="44" t="str">
        <f t="shared" si="2"/>
        <v>0977</v>
      </c>
      <c r="T51" s="45">
        <f t="shared" si="3"/>
        <v>0</v>
      </c>
      <c r="V51" s="45"/>
    </row>
    <row r="52" spans="1:22" s="26" customFormat="1" ht="12.75" x14ac:dyDescent="0.2">
      <c r="A52" s="20" t="str">
        <f>Data!B47</f>
        <v>0981</v>
      </c>
      <c r="B52" s="21" t="str">
        <f>INDEX(Data[],MATCH($A52,Data[Dist],0),MATCH(B$6,Data[#Headers],0))</f>
        <v>Carlisle</v>
      </c>
      <c r="C52" s="22">
        <f>INDEX(Data[],MATCH($A52,Data[Dist],0),MATCH(C$6,Data[#Headers],0))</f>
        <v>1635893</v>
      </c>
      <c r="D52" s="160">
        <f>INDEX(Data[],MATCH($A52,Data[Dist],0),MATCH(D$6,Data[#Headers],0))</f>
        <v>1628194</v>
      </c>
      <c r="E52" s="160">
        <f>INDEX(Data[],MATCH($A52,Data[Dist],0),MATCH(E$6,Data[#Headers],0))</f>
        <v>1628195</v>
      </c>
      <c r="F52" s="160">
        <f>INDEX(Data[],MATCH($A52,Data[Dist],0),MATCH(F$6,Data[#Headers],0))</f>
        <v>1628193</v>
      </c>
      <c r="G52" s="22">
        <f>INDEX(Data[],MATCH($A52,Data[Dist],0),MATCH(G$6,Data[#Headers],0))</f>
        <v>4907679</v>
      </c>
      <c r="H52" s="22">
        <f>INDEX(Data[],MATCH($A52,Data[Dist],0),MATCH(H$6,Data[#Headers],0))-G52</f>
        <v>11451252</v>
      </c>
      <c r="I52" s="25"/>
      <c r="J52" s="22">
        <f>INDEX(Notes!$I$2:$N$11,MATCH(Notes!$B$2,Notes!$I$2:$I$11,0),4)*$C52</f>
        <v>4907679</v>
      </c>
      <c r="K52" s="22">
        <f>INDEX(Notes!$I$2:$N$11,MATCH(Notes!$B$2,Notes!$I$2:$I$11,0),5)*$D52</f>
        <v>0</v>
      </c>
      <c r="L52" s="22">
        <f>INDEX(Notes!$I$2:$N$11,MATCH(Notes!$B$2,Notes!$I$2:$I$11,0),6)*$E52</f>
        <v>0</v>
      </c>
      <c r="M52" s="22">
        <f>IF(Notes!$B$2="June",'Payment Total'!$F52,0)</f>
        <v>0</v>
      </c>
      <c r="N52" s="22">
        <f t="shared" si="0"/>
        <v>0</v>
      </c>
      <c r="P52" s="26" t="s">
        <v>888</v>
      </c>
      <c r="Q52" s="26">
        <v>1635893</v>
      </c>
      <c r="R52" s="21" t="str">
        <f t="shared" si="1"/>
        <v>0981</v>
      </c>
      <c r="S52" s="44" t="str">
        <f t="shared" si="2"/>
        <v>0981</v>
      </c>
      <c r="T52" s="45">
        <f t="shared" si="3"/>
        <v>0</v>
      </c>
      <c r="V52" s="45"/>
    </row>
    <row r="53" spans="1:22" s="26" customFormat="1" ht="12.75" x14ac:dyDescent="0.2">
      <c r="A53" s="20" t="str">
        <f>Data!B48</f>
        <v>0999</v>
      </c>
      <c r="B53" s="21" t="str">
        <f>INDEX(Data[],MATCH($A53,Data[Dist],0),MATCH(B$6,Data[#Headers],0))</f>
        <v>Carroll</v>
      </c>
      <c r="C53" s="22">
        <f>INDEX(Data[],MATCH($A53,Data[Dist],0),MATCH(C$6,Data[#Headers],0))</f>
        <v>963957</v>
      </c>
      <c r="D53" s="160">
        <f>INDEX(Data[],MATCH($A53,Data[Dist],0),MATCH(D$6,Data[#Headers],0))</f>
        <v>957660</v>
      </c>
      <c r="E53" s="160">
        <f>INDEX(Data[],MATCH($A53,Data[Dist],0),MATCH(E$6,Data[#Headers],0))</f>
        <v>957661</v>
      </c>
      <c r="F53" s="160">
        <f>INDEX(Data[],MATCH($A53,Data[Dist],0),MATCH(F$6,Data[#Headers],0))</f>
        <v>957659</v>
      </c>
      <c r="G53" s="22">
        <f>INDEX(Data[],MATCH($A53,Data[Dist],0),MATCH(G$6,Data[#Headers],0))</f>
        <v>2891871</v>
      </c>
      <c r="H53" s="22">
        <f>INDEX(Data[],MATCH($A53,Data[Dist],0),MATCH(H$6,Data[#Headers],0))-G53</f>
        <v>6747698</v>
      </c>
      <c r="I53" s="25"/>
      <c r="J53" s="22">
        <f>INDEX(Notes!$I$2:$N$11,MATCH(Notes!$B$2,Notes!$I$2:$I$11,0),4)*$C53</f>
        <v>2891871</v>
      </c>
      <c r="K53" s="22">
        <f>INDEX(Notes!$I$2:$N$11,MATCH(Notes!$B$2,Notes!$I$2:$I$11,0),5)*$D53</f>
        <v>0</v>
      </c>
      <c r="L53" s="22">
        <f>INDEX(Notes!$I$2:$N$11,MATCH(Notes!$B$2,Notes!$I$2:$I$11,0),6)*$E53</f>
        <v>0</v>
      </c>
      <c r="M53" s="22">
        <f>IF(Notes!$B$2="June",'Payment Total'!$F53,0)</f>
        <v>0</v>
      </c>
      <c r="N53" s="22">
        <f t="shared" si="0"/>
        <v>0</v>
      </c>
      <c r="P53" s="26" t="s">
        <v>889</v>
      </c>
      <c r="Q53" s="26">
        <v>963957</v>
      </c>
      <c r="R53" s="21" t="str">
        <f t="shared" si="1"/>
        <v>0999</v>
      </c>
      <c r="S53" s="44" t="str">
        <f t="shared" si="2"/>
        <v>0999</v>
      </c>
      <c r="T53" s="45">
        <f t="shared" si="3"/>
        <v>0</v>
      </c>
      <c r="V53" s="45"/>
    </row>
    <row r="54" spans="1:22" s="26" customFormat="1" ht="12.75" x14ac:dyDescent="0.2">
      <c r="A54" s="20" t="str">
        <f>Data!B49</f>
        <v>1044</v>
      </c>
      <c r="B54" s="21" t="str">
        <f>INDEX(Data[],MATCH($A54,Data[Dist],0),MATCH(B$6,Data[#Headers],0))</f>
        <v>Cedar Falls</v>
      </c>
      <c r="C54" s="22">
        <f>INDEX(Data[],MATCH($A54,Data[Dist],0),MATCH(C$6,Data[#Headers],0))</f>
        <v>3825888</v>
      </c>
      <c r="D54" s="160">
        <f>INDEX(Data[],MATCH($A54,Data[Dist],0),MATCH(D$6,Data[#Headers],0))</f>
        <v>3804755</v>
      </c>
      <c r="E54" s="160">
        <f>INDEX(Data[],MATCH($A54,Data[Dist],0),MATCH(E$6,Data[#Headers],0))</f>
        <v>3804754</v>
      </c>
      <c r="F54" s="160">
        <f>INDEX(Data[],MATCH($A54,Data[Dist],0),MATCH(F$6,Data[#Headers],0))</f>
        <v>3804755</v>
      </c>
      <c r="G54" s="22">
        <f>INDEX(Data[],MATCH($A54,Data[Dist],0),MATCH(G$6,Data[#Headers],0))</f>
        <v>11477664</v>
      </c>
      <c r="H54" s="22">
        <f>INDEX(Data[],MATCH($A54,Data[Dist],0),MATCH(H$6,Data[#Headers],0))-G54</f>
        <v>26781212</v>
      </c>
      <c r="I54" s="25"/>
      <c r="J54" s="22">
        <f>INDEX(Notes!$I$2:$N$11,MATCH(Notes!$B$2,Notes!$I$2:$I$11,0),4)*$C54</f>
        <v>11477664</v>
      </c>
      <c r="K54" s="22">
        <f>INDEX(Notes!$I$2:$N$11,MATCH(Notes!$B$2,Notes!$I$2:$I$11,0),5)*$D54</f>
        <v>0</v>
      </c>
      <c r="L54" s="22">
        <f>INDEX(Notes!$I$2:$N$11,MATCH(Notes!$B$2,Notes!$I$2:$I$11,0),6)*$E54</f>
        <v>0</v>
      </c>
      <c r="M54" s="22">
        <f>IF(Notes!$B$2="June",'Payment Total'!$F54,0)</f>
        <v>0</v>
      </c>
      <c r="N54" s="22">
        <f t="shared" si="0"/>
        <v>0</v>
      </c>
      <c r="P54" s="26" t="s">
        <v>890</v>
      </c>
      <c r="Q54" s="26">
        <v>3825888</v>
      </c>
      <c r="R54" s="21" t="str">
        <f t="shared" si="1"/>
        <v>1044</v>
      </c>
      <c r="S54" s="44" t="str">
        <f t="shared" si="2"/>
        <v>1044</v>
      </c>
      <c r="T54" s="45">
        <f t="shared" si="3"/>
        <v>0</v>
      </c>
      <c r="V54" s="45"/>
    </row>
    <row r="55" spans="1:22" s="26" customFormat="1" ht="12.75" x14ac:dyDescent="0.2">
      <c r="A55" s="20" t="str">
        <f>Data!B50</f>
        <v>1053</v>
      </c>
      <c r="B55" s="21" t="str">
        <f>INDEX(Data[],MATCH($A55,Data[Dist],0),MATCH(B$6,Data[#Headers],0))</f>
        <v>Cedar Rapids</v>
      </c>
      <c r="C55" s="22">
        <f>INDEX(Data[],MATCH($A55,Data[Dist],0),MATCH(C$6,Data[#Headers],0))</f>
        <v>11600199</v>
      </c>
      <c r="D55" s="160">
        <f>INDEX(Data[],MATCH($A55,Data[Dist],0),MATCH(D$6,Data[#Headers],0))</f>
        <v>11539102</v>
      </c>
      <c r="E55" s="160">
        <f>INDEX(Data[],MATCH($A55,Data[Dist],0),MATCH(E$6,Data[#Headers],0))</f>
        <v>11539101</v>
      </c>
      <c r="F55" s="160">
        <f>INDEX(Data[],MATCH($A55,Data[Dist],0),MATCH(F$6,Data[#Headers],0))</f>
        <v>11539102</v>
      </c>
      <c r="G55" s="22">
        <f>INDEX(Data[],MATCH($A55,Data[Dist],0),MATCH(G$6,Data[#Headers],0))</f>
        <v>34800597</v>
      </c>
      <c r="H55" s="22">
        <f>INDEX(Data[],MATCH($A55,Data[Dist],0),MATCH(H$6,Data[#Headers],0))-G55</f>
        <v>81201394</v>
      </c>
      <c r="I55" s="25"/>
      <c r="J55" s="22">
        <f>INDEX(Notes!$I$2:$N$11,MATCH(Notes!$B$2,Notes!$I$2:$I$11,0),4)*$C55</f>
        <v>34800597</v>
      </c>
      <c r="K55" s="22">
        <f>INDEX(Notes!$I$2:$N$11,MATCH(Notes!$B$2,Notes!$I$2:$I$11,0),5)*$D55</f>
        <v>0</v>
      </c>
      <c r="L55" s="22">
        <f>INDEX(Notes!$I$2:$N$11,MATCH(Notes!$B$2,Notes!$I$2:$I$11,0),6)*$E55</f>
        <v>0</v>
      </c>
      <c r="M55" s="22">
        <f>IF(Notes!$B$2="June",'Payment Total'!$F55,0)</f>
        <v>0</v>
      </c>
      <c r="N55" s="22">
        <f t="shared" si="0"/>
        <v>0</v>
      </c>
      <c r="P55" s="26" t="s">
        <v>891</v>
      </c>
      <c r="Q55" s="26">
        <v>11600199</v>
      </c>
      <c r="R55" s="21" t="str">
        <f t="shared" si="1"/>
        <v>1053</v>
      </c>
      <c r="S55" s="44" t="str">
        <f t="shared" si="2"/>
        <v>1053</v>
      </c>
      <c r="T55" s="45">
        <f t="shared" si="3"/>
        <v>0</v>
      </c>
      <c r="V55" s="45"/>
    </row>
    <row r="56" spans="1:22" s="26" customFormat="1" ht="12.75" x14ac:dyDescent="0.2">
      <c r="A56" s="20" t="str">
        <f>Data!B51</f>
        <v>1062</v>
      </c>
      <c r="B56" s="21" t="str">
        <f>INDEX(Data[],MATCH($A56,Data[Dist],0),MATCH(B$6,Data[#Headers],0))</f>
        <v>Center Point-Urbana</v>
      </c>
      <c r="C56" s="22">
        <f>INDEX(Data[],MATCH($A56,Data[Dist],0),MATCH(C$6,Data[#Headers],0))</f>
        <v>890500</v>
      </c>
      <c r="D56" s="160">
        <f>INDEX(Data[],MATCH($A56,Data[Dist],0),MATCH(D$6,Data[#Headers],0))</f>
        <v>885899</v>
      </c>
      <c r="E56" s="160">
        <f>INDEX(Data[],MATCH($A56,Data[Dist],0),MATCH(E$6,Data[#Headers],0))</f>
        <v>885899</v>
      </c>
      <c r="F56" s="160">
        <f>INDEX(Data[],MATCH($A56,Data[Dist],0),MATCH(F$6,Data[#Headers],0))</f>
        <v>885897</v>
      </c>
      <c r="G56" s="22">
        <f>INDEX(Data[],MATCH($A56,Data[Dist],0),MATCH(G$6,Data[#Headers],0))</f>
        <v>2671500</v>
      </c>
      <c r="H56" s="22">
        <f>INDEX(Data[],MATCH($A56,Data[Dist],0),MATCH(H$6,Data[#Headers],0))-G56</f>
        <v>6233500</v>
      </c>
      <c r="I56" s="25"/>
      <c r="J56" s="22">
        <f>INDEX(Notes!$I$2:$N$11,MATCH(Notes!$B$2,Notes!$I$2:$I$11,0),4)*$C56</f>
        <v>2671500</v>
      </c>
      <c r="K56" s="22">
        <f>INDEX(Notes!$I$2:$N$11,MATCH(Notes!$B$2,Notes!$I$2:$I$11,0),5)*$D56</f>
        <v>0</v>
      </c>
      <c r="L56" s="22">
        <f>INDEX(Notes!$I$2:$N$11,MATCH(Notes!$B$2,Notes!$I$2:$I$11,0),6)*$E56</f>
        <v>0</v>
      </c>
      <c r="M56" s="22">
        <f>IF(Notes!$B$2="June",'Payment Total'!$F56,0)</f>
        <v>0</v>
      </c>
      <c r="N56" s="22">
        <f t="shared" si="0"/>
        <v>0</v>
      </c>
      <c r="P56" s="26" t="s">
        <v>892</v>
      </c>
      <c r="Q56" s="26">
        <v>890500</v>
      </c>
      <c r="R56" s="21" t="str">
        <f t="shared" si="1"/>
        <v>1062</v>
      </c>
      <c r="S56" s="44" t="str">
        <f t="shared" si="2"/>
        <v>1062</v>
      </c>
      <c r="T56" s="45">
        <f t="shared" si="3"/>
        <v>0</v>
      </c>
      <c r="V56" s="45"/>
    </row>
    <row r="57" spans="1:22" s="26" customFormat="1" ht="12.75" x14ac:dyDescent="0.2">
      <c r="A57" s="20" t="str">
        <f>Data!B52</f>
        <v>1071</v>
      </c>
      <c r="B57" s="21" t="str">
        <f>INDEX(Data[],MATCH($A57,Data[Dist],0),MATCH(B$6,Data[#Headers],0))</f>
        <v>Centerville</v>
      </c>
      <c r="C57" s="22">
        <f>INDEX(Data[],MATCH($A57,Data[Dist],0),MATCH(C$6,Data[#Headers],0))</f>
        <v>1091051</v>
      </c>
      <c r="D57" s="160">
        <f>INDEX(Data[],MATCH($A57,Data[Dist],0),MATCH(D$6,Data[#Headers],0))</f>
        <v>1085953</v>
      </c>
      <c r="E57" s="160">
        <f>INDEX(Data[],MATCH($A57,Data[Dist],0),MATCH(E$6,Data[#Headers],0))</f>
        <v>1085952</v>
      </c>
      <c r="F57" s="160">
        <f>INDEX(Data[],MATCH($A57,Data[Dist],0),MATCH(F$6,Data[#Headers],0))</f>
        <v>1085953</v>
      </c>
      <c r="G57" s="22">
        <f>INDEX(Data[],MATCH($A57,Data[Dist],0),MATCH(G$6,Data[#Headers],0))</f>
        <v>3273153</v>
      </c>
      <c r="H57" s="22">
        <f>INDEX(Data[],MATCH($A57,Data[Dist],0),MATCH(H$6,Data[#Headers],0))-G57</f>
        <v>7637358</v>
      </c>
      <c r="I57" s="25"/>
      <c r="J57" s="22">
        <f>INDEX(Notes!$I$2:$N$11,MATCH(Notes!$B$2,Notes!$I$2:$I$11,0),4)*$C57</f>
        <v>3273153</v>
      </c>
      <c r="K57" s="22">
        <f>INDEX(Notes!$I$2:$N$11,MATCH(Notes!$B$2,Notes!$I$2:$I$11,0),5)*$D57</f>
        <v>0</v>
      </c>
      <c r="L57" s="22">
        <f>INDEX(Notes!$I$2:$N$11,MATCH(Notes!$B$2,Notes!$I$2:$I$11,0),6)*$E57</f>
        <v>0</v>
      </c>
      <c r="M57" s="22">
        <f>IF(Notes!$B$2="June",'Payment Total'!$F57,0)</f>
        <v>0</v>
      </c>
      <c r="N57" s="22">
        <f t="shared" si="0"/>
        <v>0</v>
      </c>
      <c r="P57" s="26" t="s">
        <v>893</v>
      </c>
      <c r="Q57" s="26">
        <v>1091051</v>
      </c>
      <c r="R57" s="21" t="str">
        <f t="shared" si="1"/>
        <v>1071</v>
      </c>
      <c r="S57" s="44" t="str">
        <f t="shared" si="2"/>
        <v>1071</v>
      </c>
      <c r="T57" s="45">
        <f t="shared" si="3"/>
        <v>0</v>
      </c>
      <c r="V57" s="45"/>
    </row>
    <row r="58" spans="1:22" s="26" customFormat="1" ht="12.75" x14ac:dyDescent="0.2">
      <c r="A58" s="20" t="str">
        <f>Data!B53</f>
        <v>1079</v>
      </c>
      <c r="B58" s="21" t="str">
        <f>INDEX(Data[],MATCH($A58,Data[Dist],0),MATCH(B$6,Data[#Headers],0))</f>
        <v>Central Lee</v>
      </c>
      <c r="C58" s="22">
        <f>INDEX(Data[],MATCH($A58,Data[Dist],0),MATCH(C$6,Data[#Headers],0))</f>
        <v>518381</v>
      </c>
      <c r="D58" s="160">
        <f>INDEX(Data[],MATCH($A58,Data[Dist],0),MATCH(D$6,Data[#Headers],0))</f>
        <v>515306</v>
      </c>
      <c r="E58" s="160">
        <f>INDEX(Data[],MATCH($A58,Data[Dist],0),MATCH(E$6,Data[#Headers],0))</f>
        <v>515306</v>
      </c>
      <c r="F58" s="160">
        <f>INDEX(Data[],MATCH($A58,Data[Dist],0),MATCH(F$6,Data[#Headers],0))</f>
        <v>515305</v>
      </c>
      <c r="G58" s="22">
        <f>INDEX(Data[],MATCH($A58,Data[Dist],0),MATCH(G$6,Data[#Headers],0))</f>
        <v>1555143</v>
      </c>
      <c r="H58" s="22">
        <f>INDEX(Data[],MATCH($A58,Data[Dist],0),MATCH(H$6,Data[#Headers],0))-G58</f>
        <v>3628663</v>
      </c>
      <c r="I58" s="25"/>
      <c r="J58" s="22">
        <f>INDEX(Notes!$I$2:$N$11,MATCH(Notes!$B$2,Notes!$I$2:$I$11,0),4)*$C58</f>
        <v>1555143</v>
      </c>
      <c r="K58" s="22">
        <f>INDEX(Notes!$I$2:$N$11,MATCH(Notes!$B$2,Notes!$I$2:$I$11,0),5)*$D58</f>
        <v>0</v>
      </c>
      <c r="L58" s="22">
        <f>INDEX(Notes!$I$2:$N$11,MATCH(Notes!$B$2,Notes!$I$2:$I$11,0),6)*$E58</f>
        <v>0</v>
      </c>
      <c r="M58" s="22">
        <f>IF(Notes!$B$2="June",'Payment Total'!$F58,0)</f>
        <v>0</v>
      </c>
      <c r="N58" s="22">
        <f t="shared" si="0"/>
        <v>0</v>
      </c>
      <c r="P58" s="26" t="s">
        <v>894</v>
      </c>
      <c r="Q58" s="26">
        <v>518381</v>
      </c>
      <c r="R58" s="21" t="str">
        <f t="shared" si="1"/>
        <v>1079</v>
      </c>
      <c r="S58" s="44" t="str">
        <f t="shared" si="2"/>
        <v>1079</v>
      </c>
      <c r="T58" s="45">
        <f t="shared" si="3"/>
        <v>0</v>
      </c>
      <c r="V58" s="45"/>
    </row>
    <row r="59" spans="1:22" s="26" customFormat="1" ht="12.75" x14ac:dyDescent="0.2">
      <c r="A59" s="20" t="str">
        <f>Data!B54</f>
        <v>1080</v>
      </c>
      <c r="B59" s="21" t="str">
        <f>INDEX(Data[],MATCH($A59,Data[Dist],0),MATCH(B$6,Data[#Headers],0))</f>
        <v>Central Clayton</v>
      </c>
      <c r="C59" s="22">
        <f>INDEX(Data[],MATCH($A59,Data[Dist],0),MATCH(C$6,Data[#Headers],0))</f>
        <v>311680</v>
      </c>
      <c r="D59" s="160">
        <f>INDEX(Data[],MATCH($A59,Data[Dist],0),MATCH(D$6,Data[#Headers],0))</f>
        <v>309951</v>
      </c>
      <c r="E59" s="160">
        <f>INDEX(Data[],MATCH($A59,Data[Dist],0),MATCH(E$6,Data[#Headers],0))</f>
        <v>309951</v>
      </c>
      <c r="F59" s="160">
        <f>INDEX(Data[],MATCH($A59,Data[Dist],0),MATCH(F$6,Data[#Headers],0))</f>
        <v>309949</v>
      </c>
      <c r="G59" s="22">
        <f>INDEX(Data[],MATCH($A59,Data[Dist],0),MATCH(G$6,Data[#Headers],0))</f>
        <v>935040</v>
      </c>
      <c r="H59" s="22">
        <f>INDEX(Data[],MATCH($A59,Data[Dist],0),MATCH(H$6,Data[#Headers],0))-G59</f>
        <v>2181760</v>
      </c>
      <c r="I59" s="25"/>
      <c r="J59" s="22">
        <f>INDEX(Notes!$I$2:$N$11,MATCH(Notes!$B$2,Notes!$I$2:$I$11,0),4)*$C59</f>
        <v>935040</v>
      </c>
      <c r="K59" s="22">
        <f>INDEX(Notes!$I$2:$N$11,MATCH(Notes!$B$2,Notes!$I$2:$I$11,0),5)*$D59</f>
        <v>0</v>
      </c>
      <c r="L59" s="22">
        <f>INDEX(Notes!$I$2:$N$11,MATCH(Notes!$B$2,Notes!$I$2:$I$11,0),6)*$E59</f>
        <v>0</v>
      </c>
      <c r="M59" s="22">
        <f>IF(Notes!$B$2="June",'Payment Total'!$F59,0)</f>
        <v>0</v>
      </c>
      <c r="N59" s="22">
        <f t="shared" si="0"/>
        <v>0</v>
      </c>
      <c r="P59" s="26" t="s">
        <v>895</v>
      </c>
      <c r="Q59" s="26">
        <v>311680</v>
      </c>
      <c r="R59" s="21" t="str">
        <f t="shared" si="1"/>
        <v>1080</v>
      </c>
      <c r="S59" s="44" t="str">
        <f t="shared" si="2"/>
        <v>1080</v>
      </c>
      <c r="T59" s="45">
        <f t="shared" si="3"/>
        <v>0</v>
      </c>
      <c r="V59" s="45"/>
    </row>
    <row r="60" spans="1:22" s="26" customFormat="1" ht="12.75" x14ac:dyDescent="0.2">
      <c r="A60" s="20" t="str">
        <f>Data!B55</f>
        <v>1082</v>
      </c>
      <c r="B60" s="21" t="str">
        <f>INDEX(Data[],MATCH($A60,Data[Dist],0),MATCH(B$6,Data[#Headers],0))</f>
        <v>Central De Witt</v>
      </c>
      <c r="C60" s="22">
        <f>INDEX(Data[],MATCH($A60,Data[Dist],0),MATCH(C$6,Data[#Headers],0))</f>
        <v>984385</v>
      </c>
      <c r="D60" s="160">
        <f>INDEX(Data[],MATCH($A60,Data[Dist],0),MATCH(D$6,Data[#Headers],0))</f>
        <v>978823</v>
      </c>
      <c r="E60" s="160">
        <f>INDEX(Data[],MATCH($A60,Data[Dist],0),MATCH(E$6,Data[#Headers],0))</f>
        <v>978823</v>
      </c>
      <c r="F60" s="160">
        <f>INDEX(Data[],MATCH($A60,Data[Dist],0),MATCH(F$6,Data[#Headers],0))</f>
        <v>978823</v>
      </c>
      <c r="G60" s="22">
        <f>INDEX(Data[],MATCH($A60,Data[Dist],0),MATCH(G$6,Data[#Headers],0))</f>
        <v>2953155</v>
      </c>
      <c r="H60" s="22">
        <f>INDEX(Data[],MATCH($A60,Data[Dist],0),MATCH(H$6,Data[#Headers],0))-G60</f>
        <v>6890696</v>
      </c>
      <c r="I60" s="25"/>
      <c r="J60" s="22">
        <f>INDEX(Notes!$I$2:$N$11,MATCH(Notes!$B$2,Notes!$I$2:$I$11,0),4)*$C60</f>
        <v>2953155</v>
      </c>
      <c r="K60" s="22">
        <f>INDEX(Notes!$I$2:$N$11,MATCH(Notes!$B$2,Notes!$I$2:$I$11,0),5)*$D60</f>
        <v>0</v>
      </c>
      <c r="L60" s="22">
        <f>INDEX(Notes!$I$2:$N$11,MATCH(Notes!$B$2,Notes!$I$2:$I$11,0),6)*$E60</f>
        <v>0</v>
      </c>
      <c r="M60" s="22">
        <f>IF(Notes!$B$2="June",'Payment Total'!$F60,0)</f>
        <v>0</v>
      </c>
      <c r="N60" s="22">
        <f t="shared" si="0"/>
        <v>0</v>
      </c>
      <c r="P60" s="26" t="s">
        <v>896</v>
      </c>
      <c r="Q60" s="26">
        <v>984385</v>
      </c>
      <c r="R60" s="21" t="str">
        <f t="shared" si="1"/>
        <v>1082</v>
      </c>
      <c r="S60" s="44" t="str">
        <f t="shared" si="2"/>
        <v>1082</v>
      </c>
      <c r="T60" s="45">
        <f t="shared" si="3"/>
        <v>0</v>
      </c>
      <c r="V60" s="45"/>
    </row>
    <row r="61" spans="1:22" s="26" customFormat="1" ht="12.75" x14ac:dyDescent="0.2">
      <c r="A61" s="20" t="str">
        <f>Data!B56</f>
        <v>1089</v>
      </c>
      <c r="B61" s="21" t="str">
        <f>INDEX(Data[],MATCH($A61,Data[Dist],0),MATCH(B$6,Data[#Headers],0))</f>
        <v>Central City</v>
      </c>
      <c r="C61" s="22">
        <f>INDEX(Data[],MATCH($A61,Data[Dist],0),MATCH(C$6,Data[#Headers],0))</f>
        <v>304348</v>
      </c>
      <c r="D61" s="160">
        <f>INDEX(Data[],MATCH($A61,Data[Dist],0),MATCH(D$6,Data[#Headers],0))</f>
        <v>302686</v>
      </c>
      <c r="E61" s="160">
        <f>INDEX(Data[],MATCH($A61,Data[Dist],0),MATCH(E$6,Data[#Headers],0))</f>
        <v>302685</v>
      </c>
      <c r="F61" s="160">
        <f>INDEX(Data[],MATCH($A61,Data[Dist],0),MATCH(F$6,Data[#Headers],0))</f>
        <v>302686</v>
      </c>
      <c r="G61" s="22">
        <f>INDEX(Data[],MATCH($A61,Data[Dist],0),MATCH(G$6,Data[#Headers],0))</f>
        <v>913044</v>
      </c>
      <c r="H61" s="22">
        <f>INDEX(Data[],MATCH($A61,Data[Dist],0),MATCH(H$6,Data[#Headers],0))-G61</f>
        <v>2130439</v>
      </c>
      <c r="I61" s="25"/>
      <c r="J61" s="22">
        <f>INDEX(Notes!$I$2:$N$11,MATCH(Notes!$B$2,Notes!$I$2:$I$11,0),4)*$C61</f>
        <v>913044</v>
      </c>
      <c r="K61" s="22">
        <f>INDEX(Notes!$I$2:$N$11,MATCH(Notes!$B$2,Notes!$I$2:$I$11,0),5)*$D61</f>
        <v>0</v>
      </c>
      <c r="L61" s="22">
        <f>INDEX(Notes!$I$2:$N$11,MATCH(Notes!$B$2,Notes!$I$2:$I$11,0),6)*$E61</f>
        <v>0</v>
      </c>
      <c r="M61" s="22">
        <f>IF(Notes!$B$2="June",'Payment Total'!$F61,0)</f>
        <v>0</v>
      </c>
      <c r="N61" s="22">
        <f t="shared" si="0"/>
        <v>0</v>
      </c>
      <c r="P61" s="26" t="s">
        <v>897</v>
      </c>
      <c r="Q61" s="26">
        <v>304348</v>
      </c>
      <c r="R61" s="21" t="str">
        <f t="shared" si="1"/>
        <v>1089</v>
      </c>
      <c r="S61" s="44" t="str">
        <f t="shared" si="2"/>
        <v>1089</v>
      </c>
      <c r="T61" s="45">
        <f t="shared" si="3"/>
        <v>0</v>
      </c>
      <c r="V61" s="45"/>
    </row>
    <row r="62" spans="1:22" s="26" customFormat="1" ht="12.75" x14ac:dyDescent="0.2">
      <c r="A62" s="20" t="str">
        <f>Data!B57</f>
        <v>1093</v>
      </c>
      <c r="B62" s="21" t="str">
        <f>INDEX(Data[],MATCH($A62,Data[Dist],0),MATCH(B$6,Data[#Headers],0))</f>
        <v>Central Decatur</v>
      </c>
      <c r="C62" s="22">
        <f>INDEX(Data[],MATCH($A62,Data[Dist],0),MATCH(C$6,Data[#Headers],0))</f>
        <v>549313</v>
      </c>
      <c r="D62" s="160">
        <f>INDEX(Data[],MATCH($A62,Data[Dist],0),MATCH(D$6,Data[#Headers],0))</f>
        <v>546852</v>
      </c>
      <c r="E62" s="160">
        <f>INDEX(Data[],MATCH($A62,Data[Dist],0),MATCH(E$6,Data[#Headers],0))</f>
        <v>546852</v>
      </c>
      <c r="F62" s="160">
        <f>INDEX(Data[],MATCH($A62,Data[Dist],0),MATCH(F$6,Data[#Headers],0))</f>
        <v>546853</v>
      </c>
      <c r="G62" s="22">
        <f>INDEX(Data[],MATCH($A62,Data[Dist],0),MATCH(G$6,Data[#Headers],0))</f>
        <v>1647939</v>
      </c>
      <c r="H62" s="22">
        <f>INDEX(Data[],MATCH($A62,Data[Dist],0),MATCH(H$6,Data[#Headers],0))-G62</f>
        <v>3845189</v>
      </c>
      <c r="I62" s="25"/>
      <c r="J62" s="22">
        <f>INDEX(Notes!$I$2:$N$11,MATCH(Notes!$B$2,Notes!$I$2:$I$11,0),4)*$C62</f>
        <v>1647939</v>
      </c>
      <c r="K62" s="22">
        <f>INDEX(Notes!$I$2:$N$11,MATCH(Notes!$B$2,Notes!$I$2:$I$11,0),5)*$D62</f>
        <v>0</v>
      </c>
      <c r="L62" s="22">
        <f>INDEX(Notes!$I$2:$N$11,MATCH(Notes!$B$2,Notes!$I$2:$I$11,0),6)*$E62</f>
        <v>0</v>
      </c>
      <c r="M62" s="22">
        <f>IF(Notes!$B$2="June",'Payment Total'!$F62,0)</f>
        <v>0</v>
      </c>
      <c r="N62" s="22">
        <f t="shared" si="0"/>
        <v>0</v>
      </c>
      <c r="P62" s="26" t="s">
        <v>898</v>
      </c>
      <c r="Q62" s="26">
        <v>549313</v>
      </c>
      <c r="R62" s="21" t="str">
        <f t="shared" si="1"/>
        <v>1093</v>
      </c>
      <c r="S62" s="44" t="str">
        <f t="shared" si="2"/>
        <v>1093</v>
      </c>
      <c r="T62" s="45">
        <f t="shared" si="3"/>
        <v>0</v>
      </c>
      <c r="V62" s="45"/>
    </row>
    <row r="63" spans="1:22" s="26" customFormat="1" ht="12.75" x14ac:dyDescent="0.2">
      <c r="A63" s="20" t="str">
        <f>Data!B58</f>
        <v>1095</v>
      </c>
      <c r="B63" s="21" t="str">
        <f>INDEX(Data[],MATCH($A63,Data[Dist],0),MATCH(B$6,Data[#Headers],0))</f>
        <v>Central Lyon</v>
      </c>
      <c r="C63" s="22">
        <f>INDEX(Data[],MATCH($A63,Data[Dist],0),MATCH(C$6,Data[#Headers],0))</f>
        <v>511935</v>
      </c>
      <c r="D63" s="160">
        <f>INDEX(Data[],MATCH($A63,Data[Dist],0),MATCH(D$6,Data[#Headers],0))</f>
        <v>509006</v>
      </c>
      <c r="E63" s="160">
        <f>INDEX(Data[],MATCH($A63,Data[Dist],0),MATCH(E$6,Data[#Headers],0))</f>
        <v>509006</v>
      </c>
      <c r="F63" s="160">
        <f>INDEX(Data[],MATCH($A63,Data[Dist],0),MATCH(F$6,Data[#Headers],0))</f>
        <v>509004</v>
      </c>
      <c r="G63" s="22">
        <f>INDEX(Data[],MATCH($A63,Data[Dist],0),MATCH(G$6,Data[#Headers],0))</f>
        <v>1535805</v>
      </c>
      <c r="H63" s="22">
        <f>INDEX(Data[],MATCH($A63,Data[Dist],0),MATCH(H$6,Data[#Headers],0))-G63</f>
        <v>3583543</v>
      </c>
      <c r="I63" s="25"/>
      <c r="J63" s="22">
        <f>INDEX(Notes!$I$2:$N$11,MATCH(Notes!$B$2,Notes!$I$2:$I$11,0),4)*$C63</f>
        <v>1535805</v>
      </c>
      <c r="K63" s="22">
        <f>INDEX(Notes!$I$2:$N$11,MATCH(Notes!$B$2,Notes!$I$2:$I$11,0),5)*$D63</f>
        <v>0</v>
      </c>
      <c r="L63" s="22">
        <f>INDEX(Notes!$I$2:$N$11,MATCH(Notes!$B$2,Notes!$I$2:$I$11,0),6)*$E63</f>
        <v>0</v>
      </c>
      <c r="M63" s="22">
        <f>IF(Notes!$B$2="June",'Payment Total'!$F63,0)</f>
        <v>0</v>
      </c>
      <c r="N63" s="22">
        <f t="shared" si="0"/>
        <v>0</v>
      </c>
      <c r="P63" s="26" t="s">
        <v>899</v>
      </c>
      <c r="Q63" s="26">
        <v>511935</v>
      </c>
      <c r="R63" s="21" t="str">
        <f t="shared" si="1"/>
        <v>1095</v>
      </c>
      <c r="S63" s="44" t="str">
        <f t="shared" si="2"/>
        <v>1095</v>
      </c>
      <c r="T63" s="45">
        <f t="shared" si="3"/>
        <v>0</v>
      </c>
      <c r="V63" s="45"/>
    </row>
    <row r="64" spans="1:22" s="26" customFormat="1" ht="12.75" x14ac:dyDescent="0.2">
      <c r="A64" s="20" t="str">
        <f>Data!B59</f>
        <v>1107</v>
      </c>
      <c r="B64" s="21" t="str">
        <f>INDEX(Data[],MATCH($A64,Data[Dist],0),MATCH(B$6,Data[#Headers],0))</f>
        <v>Chariton</v>
      </c>
      <c r="C64" s="22">
        <f>INDEX(Data[],MATCH($A64,Data[Dist],0),MATCH(C$6,Data[#Headers],0))</f>
        <v>974265</v>
      </c>
      <c r="D64" s="160">
        <f>INDEX(Data[],MATCH($A64,Data[Dist],0),MATCH(D$6,Data[#Headers],0))</f>
        <v>969398</v>
      </c>
      <c r="E64" s="160">
        <f>INDEX(Data[],MATCH($A64,Data[Dist],0),MATCH(E$6,Data[#Headers],0))</f>
        <v>969398</v>
      </c>
      <c r="F64" s="160">
        <f>INDEX(Data[],MATCH($A64,Data[Dist],0),MATCH(F$6,Data[#Headers],0))</f>
        <v>969399</v>
      </c>
      <c r="G64" s="22">
        <f>INDEX(Data[],MATCH($A64,Data[Dist],0),MATCH(G$6,Data[#Headers],0))</f>
        <v>2922795</v>
      </c>
      <c r="H64" s="22">
        <f>INDEX(Data[],MATCH($A64,Data[Dist],0),MATCH(H$6,Data[#Headers],0))-G64</f>
        <v>6819856</v>
      </c>
      <c r="I64" s="25"/>
      <c r="J64" s="22">
        <f>INDEX(Notes!$I$2:$N$11,MATCH(Notes!$B$2,Notes!$I$2:$I$11,0),4)*$C64</f>
        <v>2922795</v>
      </c>
      <c r="K64" s="22">
        <f>INDEX(Notes!$I$2:$N$11,MATCH(Notes!$B$2,Notes!$I$2:$I$11,0),5)*$D64</f>
        <v>0</v>
      </c>
      <c r="L64" s="22">
        <f>INDEX(Notes!$I$2:$N$11,MATCH(Notes!$B$2,Notes!$I$2:$I$11,0),6)*$E64</f>
        <v>0</v>
      </c>
      <c r="M64" s="22">
        <f>IF(Notes!$B$2="June",'Payment Total'!$F64,0)</f>
        <v>0</v>
      </c>
      <c r="N64" s="22">
        <f t="shared" si="0"/>
        <v>0</v>
      </c>
      <c r="P64" s="26" t="s">
        <v>900</v>
      </c>
      <c r="Q64" s="26">
        <v>974265</v>
      </c>
      <c r="R64" s="21" t="str">
        <f t="shared" si="1"/>
        <v>1107</v>
      </c>
      <c r="S64" s="44" t="str">
        <f t="shared" si="2"/>
        <v>1107</v>
      </c>
      <c r="T64" s="45">
        <f t="shared" si="3"/>
        <v>0</v>
      </c>
      <c r="V64" s="45"/>
    </row>
    <row r="65" spans="1:22" s="26" customFormat="1" ht="12.75" x14ac:dyDescent="0.2">
      <c r="A65" s="20" t="str">
        <f>Data!B60</f>
        <v>1116</v>
      </c>
      <c r="B65" s="21" t="str">
        <f>INDEX(Data[],MATCH($A65,Data[Dist],0),MATCH(B$6,Data[#Headers],0))</f>
        <v>Charles City</v>
      </c>
      <c r="C65" s="22">
        <f>INDEX(Data[],MATCH($A65,Data[Dist],0),MATCH(C$6,Data[#Headers],0))</f>
        <v>1105860</v>
      </c>
      <c r="D65" s="160">
        <f>INDEX(Data[],MATCH($A65,Data[Dist],0),MATCH(D$6,Data[#Headers],0))</f>
        <v>1100156</v>
      </c>
      <c r="E65" s="160">
        <f>INDEX(Data[],MATCH($A65,Data[Dist],0),MATCH(E$6,Data[#Headers],0))</f>
        <v>1100156</v>
      </c>
      <c r="F65" s="160">
        <f>INDEX(Data[],MATCH($A65,Data[Dist],0),MATCH(F$6,Data[#Headers],0))</f>
        <v>1100154</v>
      </c>
      <c r="G65" s="22">
        <f>INDEX(Data[],MATCH($A65,Data[Dist],0),MATCH(G$6,Data[#Headers],0))</f>
        <v>3317580</v>
      </c>
      <c r="H65" s="22">
        <f>INDEX(Data[],MATCH($A65,Data[Dist],0),MATCH(H$6,Data[#Headers],0))-G65</f>
        <v>7741015</v>
      </c>
      <c r="I65" s="25"/>
      <c r="J65" s="22">
        <f>INDEX(Notes!$I$2:$N$11,MATCH(Notes!$B$2,Notes!$I$2:$I$11,0),4)*$C65</f>
        <v>3317580</v>
      </c>
      <c r="K65" s="22">
        <f>INDEX(Notes!$I$2:$N$11,MATCH(Notes!$B$2,Notes!$I$2:$I$11,0),5)*$D65</f>
        <v>0</v>
      </c>
      <c r="L65" s="22">
        <f>INDEX(Notes!$I$2:$N$11,MATCH(Notes!$B$2,Notes!$I$2:$I$11,0),6)*$E65</f>
        <v>0</v>
      </c>
      <c r="M65" s="22">
        <f>IF(Notes!$B$2="June",'Payment Total'!$F65,0)</f>
        <v>0</v>
      </c>
      <c r="N65" s="22">
        <f t="shared" si="0"/>
        <v>0</v>
      </c>
      <c r="P65" s="26" t="s">
        <v>901</v>
      </c>
      <c r="Q65" s="26">
        <v>1105860</v>
      </c>
      <c r="R65" s="21" t="str">
        <f t="shared" si="1"/>
        <v>1116</v>
      </c>
      <c r="S65" s="44" t="str">
        <f t="shared" si="2"/>
        <v>1116</v>
      </c>
      <c r="T65" s="45">
        <f t="shared" si="3"/>
        <v>0</v>
      </c>
      <c r="V65" s="45"/>
    </row>
    <row r="66" spans="1:22" s="26" customFormat="1" ht="12.75" x14ac:dyDescent="0.2">
      <c r="A66" s="20" t="str">
        <f>Data!B61</f>
        <v>1134</v>
      </c>
      <c r="B66" s="21" t="str">
        <f>INDEX(Data[],MATCH($A66,Data[Dist],0),MATCH(B$6,Data[#Headers],0))</f>
        <v>Charter Oak-Ute</v>
      </c>
      <c r="C66" s="22">
        <f>INDEX(Data[],MATCH($A66,Data[Dist],0),MATCH(C$6,Data[#Headers],0))</f>
        <v>173260</v>
      </c>
      <c r="D66" s="160">
        <f>INDEX(Data[],MATCH($A66,Data[Dist],0),MATCH(D$6,Data[#Headers],0))</f>
        <v>172160</v>
      </c>
      <c r="E66" s="160">
        <f>INDEX(Data[],MATCH($A66,Data[Dist],0),MATCH(E$6,Data[#Headers],0))</f>
        <v>172160</v>
      </c>
      <c r="F66" s="160">
        <f>INDEX(Data[],MATCH($A66,Data[Dist],0),MATCH(F$6,Data[#Headers],0))</f>
        <v>172159</v>
      </c>
      <c r="G66" s="22">
        <f>INDEX(Data[],MATCH($A66,Data[Dist],0),MATCH(G$6,Data[#Headers],0))</f>
        <v>519780</v>
      </c>
      <c r="H66" s="22">
        <f>INDEX(Data[],MATCH($A66,Data[Dist],0),MATCH(H$6,Data[#Headers],0))-G66</f>
        <v>1212816</v>
      </c>
      <c r="I66" s="25"/>
      <c r="J66" s="22">
        <f>INDEX(Notes!$I$2:$N$11,MATCH(Notes!$B$2,Notes!$I$2:$I$11,0),4)*$C66</f>
        <v>519780</v>
      </c>
      <c r="K66" s="22">
        <f>INDEX(Notes!$I$2:$N$11,MATCH(Notes!$B$2,Notes!$I$2:$I$11,0),5)*$D66</f>
        <v>0</v>
      </c>
      <c r="L66" s="22">
        <f>INDEX(Notes!$I$2:$N$11,MATCH(Notes!$B$2,Notes!$I$2:$I$11,0),6)*$E66</f>
        <v>0</v>
      </c>
      <c r="M66" s="22">
        <f>IF(Notes!$B$2="June",'Payment Total'!$F66,0)</f>
        <v>0</v>
      </c>
      <c r="N66" s="22">
        <f t="shared" si="0"/>
        <v>0</v>
      </c>
      <c r="P66" s="26" t="s">
        <v>902</v>
      </c>
      <c r="Q66" s="26">
        <v>173260</v>
      </c>
      <c r="R66" s="21" t="str">
        <f t="shared" si="1"/>
        <v>1134</v>
      </c>
      <c r="S66" s="44" t="str">
        <f t="shared" si="2"/>
        <v>1134</v>
      </c>
      <c r="T66" s="45">
        <f t="shared" si="3"/>
        <v>0</v>
      </c>
      <c r="V66" s="45"/>
    </row>
    <row r="67" spans="1:22" s="26" customFormat="1" ht="12.75" x14ac:dyDescent="0.2">
      <c r="A67" s="20" t="str">
        <f>Data!B62</f>
        <v>1152</v>
      </c>
      <c r="B67" s="21" t="str">
        <f>INDEX(Data[],MATCH($A67,Data[Dist],0),MATCH(B$6,Data[#Headers],0))</f>
        <v>Cherokee</v>
      </c>
      <c r="C67" s="22">
        <f>INDEX(Data[],MATCH($A67,Data[Dist],0),MATCH(C$6,Data[#Headers],0))</f>
        <v>784735</v>
      </c>
      <c r="D67" s="160">
        <f>INDEX(Data[],MATCH($A67,Data[Dist],0),MATCH(D$6,Data[#Headers],0))</f>
        <v>780772</v>
      </c>
      <c r="E67" s="160">
        <f>INDEX(Data[],MATCH($A67,Data[Dist],0),MATCH(E$6,Data[#Headers],0))</f>
        <v>780771</v>
      </c>
      <c r="F67" s="160">
        <f>INDEX(Data[],MATCH($A67,Data[Dist],0),MATCH(F$6,Data[#Headers],0))</f>
        <v>780772</v>
      </c>
      <c r="G67" s="22">
        <f>INDEX(Data[],MATCH($A67,Data[Dist],0),MATCH(G$6,Data[#Headers],0))</f>
        <v>2354205</v>
      </c>
      <c r="H67" s="22">
        <f>INDEX(Data[],MATCH($A67,Data[Dist],0),MATCH(H$6,Data[#Headers],0))-G67</f>
        <v>5493145</v>
      </c>
      <c r="I67" s="25"/>
      <c r="J67" s="22">
        <f>INDEX(Notes!$I$2:$N$11,MATCH(Notes!$B$2,Notes!$I$2:$I$11,0),4)*$C67</f>
        <v>2354205</v>
      </c>
      <c r="K67" s="22">
        <f>INDEX(Notes!$I$2:$N$11,MATCH(Notes!$B$2,Notes!$I$2:$I$11,0),5)*$D67</f>
        <v>0</v>
      </c>
      <c r="L67" s="22">
        <f>INDEX(Notes!$I$2:$N$11,MATCH(Notes!$B$2,Notes!$I$2:$I$11,0),6)*$E67</f>
        <v>0</v>
      </c>
      <c r="M67" s="22">
        <f>IF(Notes!$B$2="June",'Payment Total'!$F67,0)</f>
        <v>0</v>
      </c>
      <c r="N67" s="22">
        <f t="shared" si="0"/>
        <v>0</v>
      </c>
      <c r="P67" s="26" t="s">
        <v>903</v>
      </c>
      <c r="Q67" s="26">
        <v>784735</v>
      </c>
      <c r="R67" s="21" t="str">
        <f t="shared" si="1"/>
        <v>1152</v>
      </c>
      <c r="S67" s="44" t="str">
        <f t="shared" si="2"/>
        <v>1152</v>
      </c>
      <c r="T67" s="45">
        <f t="shared" si="3"/>
        <v>0</v>
      </c>
      <c r="V67" s="45"/>
    </row>
    <row r="68" spans="1:22" s="26" customFormat="1" ht="12.75" x14ac:dyDescent="0.2">
      <c r="A68" s="20" t="str">
        <f>Data!B63</f>
        <v>1197</v>
      </c>
      <c r="B68" s="21" t="str">
        <f>INDEX(Data[],MATCH($A68,Data[Dist],0),MATCH(B$6,Data[#Headers],0))</f>
        <v>Clarinda</v>
      </c>
      <c r="C68" s="22">
        <f>INDEX(Data[],MATCH($A68,Data[Dist],0),MATCH(C$6,Data[#Headers],0))</f>
        <v>699808</v>
      </c>
      <c r="D68" s="160">
        <f>INDEX(Data[],MATCH($A68,Data[Dist],0),MATCH(D$6,Data[#Headers],0))</f>
        <v>696022</v>
      </c>
      <c r="E68" s="160">
        <f>INDEX(Data[],MATCH($A68,Data[Dist],0),MATCH(E$6,Data[#Headers],0))</f>
        <v>696022</v>
      </c>
      <c r="F68" s="160">
        <f>INDEX(Data[],MATCH($A68,Data[Dist],0),MATCH(F$6,Data[#Headers],0))</f>
        <v>696022</v>
      </c>
      <c r="G68" s="22">
        <f>INDEX(Data[],MATCH($A68,Data[Dist],0),MATCH(G$6,Data[#Headers],0))</f>
        <v>2099424</v>
      </c>
      <c r="H68" s="22">
        <f>INDEX(Data[],MATCH($A68,Data[Dist],0),MATCH(H$6,Data[#Headers],0))-G68</f>
        <v>4898660</v>
      </c>
      <c r="I68" s="25"/>
      <c r="J68" s="22">
        <f>INDEX(Notes!$I$2:$N$11,MATCH(Notes!$B$2,Notes!$I$2:$I$11,0),4)*$C68</f>
        <v>2099424</v>
      </c>
      <c r="K68" s="22">
        <f>INDEX(Notes!$I$2:$N$11,MATCH(Notes!$B$2,Notes!$I$2:$I$11,0),5)*$D68</f>
        <v>0</v>
      </c>
      <c r="L68" s="22">
        <f>INDEX(Notes!$I$2:$N$11,MATCH(Notes!$B$2,Notes!$I$2:$I$11,0),6)*$E68</f>
        <v>0</v>
      </c>
      <c r="M68" s="22">
        <f>IF(Notes!$B$2="June",'Payment Total'!$F68,0)</f>
        <v>0</v>
      </c>
      <c r="N68" s="22">
        <f t="shared" si="0"/>
        <v>0</v>
      </c>
      <c r="P68" s="26" t="s">
        <v>904</v>
      </c>
      <c r="Q68" s="26">
        <v>699808</v>
      </c>
      <c r="R68" s="21" t="str">
        <f t="shared" si="1"/>
        <v>1197</v>
      </c>
      <c r="S68" s="44" t="str">
        <f t="shared" si="2"/>
        <v>1197</v>
      </c>
      <c r="T68" s="45">
        <f t="shared" si="3"/>
        <v>0</v>
      </c>
      <c r="V68" s="45"/>
    </row>
    <row r="69" spans="1:22" s="26" customFormat="1" ht="12.75" x14ac:dyDescent="0.2">
      <c r="A69" s="20" t="str">
        <f>Data!B64</f>
        <v>1206</v>
      </c>
      <c r="B69" s="21" t="str">
        <f>INDEX(Data[],MATCH($A69,Data[Dist],0),MATCH(B$6,Data[#Headers],0))</f>
        <v>Clarion-Goldfield-Dows</v>
      </c>
      <c r="C69" s="22">
        <f>INDEX(Data[],MATCH($A69,Data[Dist],0),MATCH(C$6,Data[#Headers],0))</f>
        <v>643762</v>
      </c>
      <c r="D69" s="160">
        <f>INDEX(Data[],MATCH($A69,Data[Dist],0),MATCH(D$6,Data[#Headers],0))</f>
        <v>639891</v>
      </c>
      <c r="E69" s="160">
        <f>INDEX(Data[],MATCH($A69,Data[Dist],0),MATCH(E$6,Data[#Headers],0))</f>
        <v>639891</v>
      </c>
      <c r="F69" s="160">
        <f>INDEX(Data[],MATCH($A69,Data[Dist],0),MATCH(F$6,Data[#Headers],0))</f>
        <v>639889</v>
      </c>
      <c r="G69" s="22">
        <f>INDEX(Data[],MATCH($A69,Data[Dist],0),MATCH(G$6,Data[#Headers],0))</f>
        <v>1931286</v>
      </c>
      <c r="H69" s="22">
        <f>INDEX(Data[],MATCH($A69,Data[Dist],0),MATCH(H$6,Data[#Headers],0))-G69</f>
        <v>4506331</v>
      </c>
      <c r="I69" s="25"/>
      <c r="J69" s="22">
        <f>INDEX(Notes!$I$2:$N$11,MATCH(Notes!$B$2,Notes!$I$2:$I$11,0),4)*$C69</f>
        <v>1931286</v>
      </c>
      <c r="K69" s="22">
        <f>INDEX(Notes!$I$2:$N$11,MATCH(Notes!$B$2,Notes!$I$2:$I$11,0),5)*$D69</f>
        <v>0</v>
      </c>
      <c r="L69" s="22">
        <f>INDEX(Notes!$I$2:$N$11,MATCH(Notes!$B$2,Notes!$I$2:$I$11,0),6)*$E69</f>
        <v>0</v>
      </c>
      <c r="M69" s="22">
        <f>IF(Notes!$B$2="June",'Payment Total'!$F69,0)</f>
        <v>0</v>
      </c>
      <c r="N69" s="22">
        <f t="shared" si="0"/>
        <v>0</v>
      </c>
      <c r="P69" s="26" t="s">
        <v>905</v>
      </c>
      <c r="Q69" s="26">
        <v>643762</v>
      </c>
      <c r="R69" s="21" t="str">
        <f t="shared" si="1"/>
        <v>1206</v>
      </c>
      <c r="S69" s="44" t="str">
        <f t="shared" si="2"/>
        <v>1206</v>
      </c>
      <c r="T69" s="45">
        <f t="shared" si="3"/>
        <v>0</v>
      </c>
      <c r="V69" s="45"/>
    </row>
    <row r="70" spans="1:22" s="26" customFormat="1" ht="12.75" x14ac:dyDescent="0.2">
      <c r="A70" s="20" t="str">
        <f>Data!B65</f>
        <v>1211</v>
      </c>
      <c r="B70" s="21" t="str">
        <f>INDEX(Data[],MATCH($A70,Data[Dist],0),MATCH(B$6,Data[#Headers],0))</f>
        <v>Clarke</v>
      </c>
      <c r="C70" s="22">
        <f>INDEX(Data[],MATCH($A70,Data[Dist],0),MATCH(C$6,Data[#Headers],0))</f>
        <v>1134918</v>
      </c>
      <c r="D70" s="160">
        <f>INDEX(Data[],MATCH($A70,Data[Dist],0),MATCH(D$6,Data[#Headers],0))</f>
        <v>1129396</v>
      </c>
      <c r="E70" s="160">
        <f>INDEX(Data[],MATCH($A70,Data[Dist],0),MATCH(E$6,Data[#Headers],0))</f>
        <v>1129396</v>
      </c>
      <c r="F70" s="160">
        <f>INDEX(Data[],MATCH($A70,Data[Dist],0),MATCH(F$6,Data[#Headers],0))</f>
        <v>1129396</v>
      </c>
      <c r="G70" s="22">
        <f>INDEX(Data[],MATCH($A70,Data[Dist],0),MATCH(G$6,Data[#Headers],0))</f>
        <v>3404754</v>
      </c>
      <c r="H70" s="22">
        <f>INDEX(Data[],MATCH($A70,Data[Dist],0),MATCH(H$6,Data[#Headers],0))-G70</f>
        <v>7944428</v>
      </c>
      <c r="I70" s="25"/>
      <c r="J70" s="22">
        <f>INDEX(Notes!$I$2:$N$11,MATCH(Notes!$B$2,Notes!$I$2:$I$11,0),4)*$C70</f>
        <v>3404754</v>
      </c>
      <c r="K70" s="22">
        <f>INDEX(Notes!$I$2:$N$11,MATCH(Notes!$B$2,Notes!$I$2:$I$11,0),5)*$D70</f>
        <v>0</v>
      </c>
      <c r="L70" s="22">
        <f>INDEX(Notes!$I$2:$N$11,MATCH(Notes!$B$2,Notes!$I$2:$I$11,0),6)*$E70</f>
        <v>0</v>
      </c>
      <c r="M70" s="22">
        <f>IF(Notes!$B$2="June",'Payment Total'!$F70,0)</f>
        <v>0</v>
      </c>
      <c r="N70" s="22">
        <f t="shared" si="0"/>
        <v>0</v>
      </c>
      <c r="P70" s="26" t="s">
        <v>906</v>
      </c>
      <c r="Q70" s="26">
        <v>1134918</v>
      </c>
      <c r="R70" s="21" t="str">
        <f t="shared" si="1"/>
        <v>1211</v>
      </c>
      <c r="S70" s="44" t="str">
        <f t="shared" si="2"/>
        <v>1211</v>
      </c>
      <c r="T70" s="45">
        <f t="shared" si="3"/>
        <v>0</v>
      </c>
      <c r="V70" s="45"/>
    </row>
    <row r="71" spans="1:22" s="26" customFormat="1" ht="12.75" x14ac:dyDescent="0.2">
      <c r="A71" s="20" t="str">
        <f>Data!B66</f>
        <v>1215</v>
      </c>
      <c r="B71" s="21" t="str">
        <f>INDEX(Data[],MATCH($A71,Data[Dist],0),MATCH(B$6,Data[#Headers],0))</f>
        <v>Clarksville</v>
      </c>
      <c r="C71" s="22">
        <f>INDEX(Data[],MATCH($A71,Data[Dist],0),MATCH(C$6,Data[#Headers],0))</f>
        <v>222403</v>
      </c>
      <c r="D71" s="160">
        <f>INDEX(Data[],MATCH($A71,Data[Dist],0),MATCH(D$6,Data[#Headers],0))</f>
        <v>221295</v>
      </c>
      <c r="E71" s="160">
        <f>INDEX(Data[],MATCH($A71,Data[Dist],0),MATCH(E$6,Data[#Headers],0))</f>
        <v>221295</v>
      </c>
      <c r="F71" s="160">
        <f>INDEX(Data[],MATCH($A71,Data[Dist],0),MATCH(F$6,Data[#Headers],0))</f>
        <v>221295</v>
      </c>
      <c r="G71" s="22">
        <f>INDEX(Data[],MATCH($A71,Data[Dist],0),MATCH(G$6,Data[#Headers],0))</f>
        <v>667209</v>
      </c>
      <c r="H71" s="22">
        <f>INDEX(Data[],MATCH($A71,Data[Dist],0),MATCH(H$6,Data[#Headers],0))-G71</f>
        <v>1556821</v>
      </c>
      <c r="I71" s="25"/>
      <c r="J71" s="22">
        <f>INDEX(Notes!$I$2:$N$11,MATCH(Notes!$B$2,Notes!$I$2:$I$11,0),4)*$C71</f>
        <v>667209</v>
      </c>
      <c r="K71" s="22">
        <f>INDEX(Notes!$I$2:$N$11,MATCH(Notes!$B$2,Notes!$I$2:$I$11,0),5)*$D71</f>
        <v>0</v>
      </c>
      <c r="L71" s="22">
        <f>INDEX(Notes!$I$2:$N$11,MATCH(Notes!$B$2,Notes!$I$2:$I$11,0),6)*$E71</f>
        <v>0</v>
      </c>
      <c r="M71" s="22">
        <f>IF(Notes!$B$2="June",'Payment Total'!$F71,0)</f>
        <v>0</v>
      </c>
      <c r="N71" s="22">
        <f t="shared" si="0"/>
        <v>0</v>
      </c>
      <c r="P71" s="26" t="s">
        <v>907</v>
      </c>
      <c r="Q71" s="26">
        <v>222403</v>
      </c>
      <c r="R71" s="21" t="str">
        <f t="shared" si="1"/>
        <v>1215</v>
      </c>
      <c r="S71" s="44" t="str">
        <f t="shared" si="2"/>
        <v>1215</v>
      </c>
      <c r="T71" s="45">
        <f t="shared" si="3"/>
        <v>0</v>
      </c>
      <c r="V71" s="45"/>
    </row>
    <row r="72" spans="1:22" s="26" customFormat="1" ht="12.75" x14ac:dyDescent="0.2">
      <c r="A72" s="20" t="str">
        <f>Data!B67</f>
        <v>1218</v>
      </c>
      <c r="B72" s="21" t="str">
        <f>INDEX(Data[],MATCH($A72,Data[Dist],0),MATCH(B$6,Data[#Headers],0))</f>
        <v>Clay Central-Everly</v>
      </c>
      <c r="C72" s="22">
        <f>INDEX(Data[],MATCH($A72,Data[Dist],0),MATCH(C$6,Data[#Headers],0))</f>
        <v>111160</v>
      </c>
      <c r="D72" s="160">
        <f>INDEX(Data[],MATCH($A72,Data[Dist],0),MATCH(D$6,Data[#Headers],0))</f>
        <v>110050</v>
      </c>
      <c r="E72" s="160">
        <f>INDEX(Data[],MATCH($A72,Data[Dist],0),MATCH(E$6,Data[#Headers],0))</f>
        <v>110050</v>
      </c>
      <c r="F72" s="160">
        <f>INDEX(Data[],MATCH($A72,Data[Dist],0),MATCH(F$6,Data[#Headers],0))</f>
        <v>110049</v>
      </c>
      <c r="G72" s="22">
        <f>INDEX(Data[],MATCH($A72,Data[Dist],0),MATCH(G$6,Data[#Headers],0))</f>
        <v>333480</v>
      </c>
      <c r="H72" s="22">
        <f>INDEX(Data[],MATCH($A72,Data[Dist],0),MATCH(H$6,Data[#Headers],0))-G72</f>
        <v>778123</v>
      </c>
      <c r="I72" s="25"/>
      <c r="J72" s="22">
        <f>INDEX(Notes!$I$2:$N$11,MATCH(Notes!$B$2,Notes!$I$2:$I$11,0),4)*$C72</f>
        <v>333480</v>
      </c>
      <c r="K72" s="22">
        <f>INDEX(Notes!$I$2:$N$11,MATCH(Notes!$B$2,Notes!$I$2:$I$11,0),5)*$D72</f>
        <v>0</v>
      </c>
      <c r="L72" s="22">
        <f>INDEX(Notes!$I$2:$N$11,MATCH(Notes!$B$2,Notes!$I$2:$I$11,0),6)*$E72</f>
        <v>0</v>
      </c>
      <c r="M72" s="22">
        <f>IF(Notes!$B$2="June",'Payment Total'!$F72,0)</f>
        <v>0</v>
      </c>
      <c r="N72" s="22">
        <f t="shared" ref="N72:N135" si="4">SUM(J72:M72)-G72</f>
        <v>0</v>
      </c>
      <c r="P72" s="26" t="s">
        <v>908</v>
      </c>
      <c r="Q72" s="26">
        <v>111160</v>
      </c>
      <c r="R72" s="21" t="str">
        <f t="shared" ref="R72:R135" si="5">TEXT(P72/10000,"0000")</f>
        <v>1218</v>
      </c>
      <c r="S72" s="44" t="str">
        <f t="shared" ref="S72:S135" si="6">IF(R72="1968","3582",IF(R72="5160","5319",IF(R72="5510","4824",IF(R72="6536","1935",IF(R72="6035","6048",IF(R72="5325","5323",IF(R72="6099","5157",R72)))))))</f>
        <v>1218</v>
      </c>
      <c r="T72" s="45">
        <f t="shared" ref="T72:T135" si="7">INDEX($A$7:$H$331,MATCH($S72,$A$7:$A$331,0),3)-Q72</f>
        <v>0</v>
      </c>
      <c r="V72" s="45"/>
    </row>
    <row r="73" spans="1:22" s="26" customFormat="1" ht="12.75" x14ac:dyDescent="0.2">
      <c r="A73" s="20" t="str">
        <f>Data!B68</f>
        <v>1221</v>
      </c>
      <c r="B73" s="21" t="str">
        <f>INDEX(Data[],MATCH($A73,Data[Dist],0),MATCH(B$6,Data[#Headers],0))</f>
        <v>Clear Creek-Amana</v>
      </c>
      <c r="C73" s="22">
        <f>INDEX(Data[],MATCH($A73,Data[Dist],0),MATCH(C$6,Data[#Headers],0))</f>
        <v>1955412</v>
      </c>
      <c r="D73" s="160">
        <f>INDEX(Data[],MATCH($A73,Data[Dist],0),MATCH(D$6,Data[#Headers],0))</f>
        <v>1944164</v>
      </c>
      <c r="E73" s="160">
        <f>INDEX(Data[],MATCH($A73,Data[Dist],0),MATCH(E$6,Data[#Headers],0))</f>
        <v>1944165</v>
      </c>
      <c r="F73" s="160">
        <f>INDEX(Data[],MATCH($A73,Data[Dist],0),MATCH(F$6,Data[#Headers],0))</f>
        <v>1944163</v>
      </c>
      <c r="G73" s="22">
        <f>INDEX(Data[],MATCH($A73,Data[Dist],0),MATCH(G$6,Data[#Headers],0))</f>
        <v>5866236</v>
      </c>
      <c r="H73" s="22">
        <f>INDEX(Data[],MATCH($A73,Data[Dist],0),MATCH(H$6,Data[#Headers],0))-G73</f>
        <v>13687882</v>
      </c>
      <c r="I73" s="25"/>
      <c r="J73" s="22">
        <f>INDEX(Notes!$I$2:$N$11,MATCH(Notes!$B$2,Notes!$I$2:$I$11,0),4)*$C73</f>
        <v>5866236</v>
      </c>
      <c r="K73" s="22">
        <f>INDEX(Notes!$I$2:$N$11,MATCH(Notes!$B$2,Notes!$I$2:$I$11,0),5)*$D73</f>
        <v>0</v>
      </c>
      <c r="L73" s="22">
        <f>INDEX(Notes!$I$2:$N$11,MATCH(Notes!$B$2,Notes!$I$2:$I$11,0),6)*$E73</f>
        <v>0</v>
      </c>
      <c r="M73" s="22">
        <f>IF(Notes!$B$2="June",'Payment Total'!$F73,0)</f>
        <v>0</v>
      </c>
      <c r="N73" s="22">
        <f t="shared" si="4"/>
        <v>0</v>
      </c>
      <c r="P73" s="26" t="s">
        <v>909</v>
      </c>
      <c r="Q73" s="26">
        <v>1955412</v>
      </c>
      <c r="R73" s="21" t="str">
        <f t="shared" si="5"/>
        <v>1221</v>
      </c>
      <c r="S73" s="44" t="str">
        <f t="shared" si="6"/>
        <v>1221</v>
      </c>
      <c r="T73" s="45">
        <f t="shared" si="7"/>
        <v>0</v>
      </c>
      <c r="V73" s="45"/>
    </row>
    <row r="74" spans="1:22" s="26" customFormat="1" ht="12.75" x14ac:dyDescent="0.2">
      <c r="A74" s="20" t="str">
        <f>Data!B69</f>
        <v>1233</v>
      </c>
      <c r="B74" s="21" t="str">
        <f>INDEX(Data[],MATCH($A74,Data[Dist],0),MATCH(B$6,Data[#Headers],0))</f>
        <v>Clear Lake</v>
      </c>
      <c r="C74" s="22">
        <f>INDEX(Data[],MATCH($A74,Data[Dist],0),MATCH(C$6,Data[#Headers],0))</f>
        <v>505835</v>
      </c>
      <c r="D74" s="160">
        <f>INDEX(Data[],MATCH($A74,Data[Dist],0),MATCH(D$6,Data[#Headers],0))</f>
        <v>501345</v>
      </c>
      <c r="E74" s="160">
        <f>INDEX(Data[],MATCH($A74,Data[Dist],0),MATCH(E$6,Data[#Headers],0))</f>
        <v>501344</v>
      </c>
      <c r="F74" s="160">
        <f>INDEX(Data[],MATCH($A74,Data[Dist],0),MATCH(F$6,Data[#Headers],0))</f>
        <v>501345</v>
      </c>
      <c r="G74" s="22">
        <f>INDEX(Data[],MATCH($A74,Data[Dist],0),MATCH(G$6,Data[#Headers],0))</f>
        <v>1517505</v>
      </c>
      <c r="H74" s="22">
        <f>INDEX(Data[],MATCH($A74,Data[Dist],0),MATCH(H$6,Data[#Headers],0))-G74</f>
        <v>3540848</v>
      </c>
      <c r="I74" s="25"/>
      <c r="J74" s="22">
        <f>INDEX(Notes!$I$2:$N$11,MATCH(Notes!$B$2,Notes!$I$2:$I$11,0),4)*$C74</f>
        <v>1517505</v>
      </c>
      <c r="K74" s="22">
        <f>INDEX(Notes!$I$2:$N$11,MATCH(Notes!$B$2,Notes!$I$2:$I$11,0),5)*$D74</f>
        <v>0</v>
      </c>
      <c r="L74" s="22">
        <f>INDEX(Notes!$I$2:$N$11,MATCH(Notes!$B$2,Notes!$I$2:$I$11,0),6)*$E74</f>
        <v>0</v>
      </c>
      <c r="M74" s="22">
        <f>IF(Notes!$B$2="June",'Payment Total'!$F74,0)</f>
        <v>0</v>
      </c>
      <c r="N74" s="22">
        <f t="shared" si="4"/>
        <v>0</v>
      </c>
      <c r="P74" s="26" t="s">
        <v>910</v>
      </c>
      <c r="Q74" s="26">
        <v>505835</v>
      </c>
      <c r="R74" s="21" t="str">
        <f t="shared" si="5"/>
        <v>1233</v>
      </c>
      <c r="S74" s="44" t="str">
        <f t="shared" si="6"/>
        <v>1233</v>
      </c>
      <c r="T74" s="45">
        <f t="shared" si="7"/>
        <v>0</v>
      </c>
      <c r="V74" s="45"/>
    </row>
    <row r="75" spans="1:22" s="26" customFormat="1" ht="12.75" x14ac:dyDescent="0.2">
      <c r="A75" s="20" t="str">
        <f>Data!B70</f>
        <v>1278</v>
      </c>
      <c r="B75" s="21" t="str">
        <f>INDEX(Data[],MATCH($A75,Data[Dist],0),MATCH(B$6,Data[#Headers],0))</f>
        <v>Clinton</v>
      </c>
      <c r="C75" s="22">
        <f>INDEX(Data[],MATCH($A75,Data[Dist],0),MATCH(C$6,Data[#Headers],0))</f>
        <v>3136569</v>
      </c>
      <c r="D75" s="160">
        <f>INDEX(Data[],MATCH($A75,Data[Dist],0),MATCH(D$6,Data[#Headers],0))</f>
        <v>3122770</v>
      </c>
      <c r="E75" s="160">
        <f>INDEX(Data[],MATCH($A75,Data[Dist],0),MATCH(E$6,Data[#Headers],0))</f>
        <v>3122770</v>
      </c>
      <c r="F75" s="160">
        <f>INDEX(Data[],MATCH($A75,Data[Dist],0),MATCH(F$6,Data[#Headers],0))</f>
        <v>3122771</v>
      </c>
      <c r="G75" s="22">
        <f>INDEX(Data[],MATCH($A75,Data[Dist],0),MATCH(G$6,Data[#Headers],0))</f>
        <v>9409707</v>
      </c>
      <c r="H75" s="22">
        <f>INDEX(Data[],MATCH($A75,Data[Dist],0),MATCH(H$6,Data[#Headers],0))-G75</f>
        <v>21955979</v>
      </c>
      <c r="I75" s="25"/>
      <c r="J75" s="22">
        <f>INDEX(Notes!$I$2:$N$11,MATCH(Notes!$B$2,Notes!$I$2:$I$11,0),4)*$C75</f>
        <v>9409707</v>
      </c>
      <c r="K75" s="22">
        <f>INDEX(Notes!$I$2:$N$11,MATCH(Notes!$B$2,Notes!$I$2:$I$11,0),5)*$D75</f>
        <v>0</v>
      </c>
      <c r="L75" s="22">
        <f>INDEX(Notes!$I$2:$N$11,MATCH(Notes!$B$2,Notes!$I$2:$I$11,0),6)*$E75</f>
        <v>0</v>
      </c>
      <c r="M75" s="22">
        <f>IF(Notes!$B$2="June",'Payment Total'!$F75,0)</f>
        <v>0</v>
      </c>
      <c r="N75" s="22">
        <f t="shared" si="4"/>
        <v>0</v>
      </c>
      <c r="P75" s="26" t="s">
        <v>911</v>
      </c>
      <c r="Q75" s="26">
        <v>3136569</v>
      </c>
      <c r="R75" s="21" t="str">
        <f t="shared" si="5"/>
        <v>1278</v>
      </c>
      <c r="S75" s="44" t="str">
        <f t="shared" si="6"/>
        <v>1278</v>
      </c>
      <c r="T75" s="45">
        <f t="shared" si="7"/>
        <v>0</v>
      </c>
      <c r="V75" s="45"/>
    </row>
    <row r="76" spans="1:22" s="26" customFormat="1" ht="12.75" x14ac:dyDescent="0.2">
      <c r="A76" s="20" t="str">
        <f>Data!B71</f>
        <v>1332</v>
      </c>
      <c r="B76" s="21" t="str">
        <f>INDEX(Data[],MATCH($A76,Data[Dist],0),MATCH(B$6,Data[#Headers],0))</f>
        <v>Colfax-Mingo</v>
      </c>
      <c r="C76" s="22">
        <f>INDEX(Data[],MATCH($A76,Data[Dist],0),MATCH(C$6,Data[#Headers],0))</f>
        <v>503802</v>
      </c>
      <c r="D76" s="160">
        <f>INDEX(Data[],MATCH($A76,Data[Dist],0),MATCH(D$6,Data[#Headers],0))</f>
        <v>501095</v>
      </c>
      <c r="E76" s="160">
        <f>INDEX(Data[],MATCH($A76,Data[Dist],0),MATCH(E$6,Data[#Headers],0))</f>
        <v>501095</v>
      </c>
      <c r="F76" s="160">
        <f>INDEX(Data[],MATCH($A76,Data[Dist],0),MATCH(F$6,Data[#Headers],0))</f>
        <v>501096</v>
      </c>
      <c r="G76" s="22">
        <f>INDEX(Data[],MATCH($A76,Data[Dist],0),MATCH(G$6,Data[#Headers],0))</f>
        <v>1511406</v>
      </c>
      <c r="H76" s="22">
        <f>INDEX(Data[],MATCH($A76,Data[Dist],0),MATCH(H$6,Data[#Headers],0))-G76</f>
        <v>3526617</v>
      </c>
      <c r="I76" s="25"/>
      <c r="J76" s="22">
        <f>INDEX(Notes!$I$2:$N$11,MATCH(Notes!$B$2,Notes!$I$2:$I$11,0),4)*$C76</f>
        <v>1511406</v>
      </c>
      <c r="K76" s="22">
        <f>INDEX(Notes!$I$2:$N$11,MATCH(Notes!$B$2,Notes!$I$2:$I$11,0),5)*$D76</f>
        <v>0</v>
      </c>
      <c r="L76" s="22">
        <f>INDEX(Notes!$I$2:$N$11,MATCH(Notes!$B$2,Notes!$I$2:$I$11,0),6)*$E76</f>
        <v>0</v>
      </c>
      <c r="M76" s="22">
        <f>IF(Notes!$B$2="June",'Payment Total'!$F76,0)</f>
        <v>0</v>
      </c>
      <c r="N76" s="22">
        <f t="shared" si="4"/>
        <v>0</v>
      </c>
      <c r="P76" s="26" t="s">
        <v>912</v>
      </c>
      <c r="Q76" s="26">
        <v>503802</v>
      </c>
      <c r="R76" s="21" t="str">
        <f t="shared" si="5"/>
        <v>1332</v>
      </c>
      <c r="S76" s="44" t="str">
        <f t="shared" si="6"/>
        <v>1332</v>
      </c>
      <c r="T76" s="45">
        <f t="shared" si="7"/>
        <v>0</v>
      </c>
      <c r="V76" s="45"/>
    </row>
    <row r="77" spans="1:22" s="26" customFormat="1" ht="12.75" x14ac:dyDescent="0.2">
      <c r="A77" s="20" t="str">
        <f>Data!B72</f>
        <v>1337</v>
      </c>
      <c r="B77" s="21" t="str">
        <f>INDEX(Data[],MATCH($A77,Data[Dist],0),MATCH(B$6,Data[#Headers],0))</f>
        <v>College Community</v>
      </c>
      <c r="C77" s="22">
        <f>INDEX(Data[],MATCH($A77,Data[Dist],0),MATCH(C$6,Data[#Headers],0))</f>
        <v>3354230</v>
      </c>
      <c r="D77" s="160">
        <f>INDEX(Data[],MATCH($A77,Data[Dist],0),MATCH(D$6,Data[#Headers],0))</f>
        <v>3334522</v>
      </c>
      <c r="E77" s="160">
        <f>INDEX(Data[],MATCH($A77,Data[Dist],0),MATCH(E$6,Data[#Headers],0))</f>
        <v>3334522</v>
      </c>
      <c r="F77" s="160">
        <f>INDEX(Data[],MATCH($A77,Data[Dist],0),MATCH(F$6,Data[#Headers],0))</f>
        <v>3334521</v>
      </c>
      <c r="G77" s="22">
        <f>INDEX(Data[],MATCH($A77,Data[Dist],0),MATCH(G$6,Data[#Headers],0))</f>
        <v>10062690</v>
      </c>
      <c r="H77" s="22">
        <f>INDEX(Data[],MATCH($A77,Data[Dist],0),MATCH(H$6,Data[#Headers],0))-G77</f>
        <v>23479608</v>
      </c>
      <c r="I77" s="25"/>
      <c r="J77" s="22">
        <f>INDEX(Notes!$I$2:$N$11,MATCH(Notes!$B$2,Notes!$I$2:$I$11,0),4)*$C77</f>
        <v>10062690</v>
      </c>
      <c r="K77" s="22">
        <f>INDEX(Notes!$I$2:$N$11,MATCH(Notes!$B$2,Notes!$I$2:$I$11,0),5)*$D77</f>
        <v>0</v>
      </c>
      <c r="L77" s="22">
        <f>INDEX(Notes!$I$2:$N$11,MATCH(Notes!$B$2,Notes!$I$2:$I$11,0),6)*$E77</f>
        <v>0</v>
      </c>
      <c r="M77" s="22">
        <f>IF(Notes!$B$2="June",'Payment Total'!$F77,0)</f>
        <v>0</v>
      </c>
      <c r="N77" s="22">
        <f t="shared" si="4"/>
        <v>0</v>
      </c>
      <c r="P77" s="26" t="s">
        <v>913</v>
      </c>
      <c r="Q77" s="26">
        <v>3354230</v>
      </c>
      <c r="R77" s="21" t="str">
        <f t="shared" si="5"/>
        <v>1337</v>
      </c>
      <c r="S77" s="44" t="str">
        <f t="shared" si="6"/>
        <v>1337</v>
      </c>
      <c r="T77" s="45">
        <f t="shared" si="7"/>
        <v>0</v>
      </c>
      <c r="V77" s="45"/>
    </row>
    <row r="78" spans="1:22" s="26" customFormat="1" ht="12.75" x14ac:dyDescent="0.2">
      <c r="A78" s="20" t="str">
        <f>Data!B73</f>
        <v>1350</v>
      </c>
      <c r="B78" s="21" t="str">
        <f>INDEX(Data[],MATCH($A78,Data[Dist],0),MATCH(B$6,Data[#Headers],0))</f>
        <v>Collins-Maxwell</v>
      </c>
      <c r="C78" s="22">
        <f>INDEX(Data[],MATCH($A78,Data[Dist],0),MATCH(C$6,Data[#Headers],0))</f>
        <v>317109</v>
      </c>
      <c r="D78" s="160">
        <f>INDEX(Data[],MATCH($A78,Data[Dist],0),MATCH(D$6,Data[#Headers],0))</f>
        <v>315333</v>
      </c>
      <c r="E78" s="160">
        <f>INDEX(Data[],MATCH($A78,Data[Dist],0),MATCH(E$6,Data[#Headers],0))</f>
        <v>315332</v>
      </c>
      <c r="F78" s="160">
        <f>INDEX(Data[],MATCH($A78,Data[Dist],0),MATCH(F$6,Data[#Headers],0))</f>
        <v>315333</v>
      </c>
      <c r="G78" s="22">
        <f>INDEX(Data[],MATCH($A78,Data[Dist],0),MATCH(G$6,Data[#Headers],0))</f>
        <v>951327</v>
      </c>
      <c r="H78" s="22">
        <f>INDEX(Data[],MATCH($A78,Data[Dist],0),MATCH(H$6,Data[#Headers],0))-G78</f>
        <v>2219760</v>
      </c>
      <c r="I78" s="25"/>
      <c r="J78" s="22">
        <f>INDEX(Notes!$I$2:$N$11,MATCH(Notes!$B$2,Notes!$I$2:$I$11,0),4)*$C78</f>
        <v>951327</v>
      </c>
      <c r="K78" s="22">
        <f>INDEX(Notes!$I$2:$N$11,MATCH(Notes!$B$2,Notes!$I$2:$I$11,0),5)*$D78</f>
        <v>0</v>
      </c>
      <c r="L78" s="22">
        <f>INDEX(Notes!$I$2:$N$11,MATCH(Notes!$B$2,Notes!$I$2:$I$11,0),6)*$E78</f>
        <v>0</v>
      </c>
      <c r="M78" s="22">
        <f>IF(Notes!$B$2="June",'Payment Total'!$F78,0)</f>
        <v>0</v>
      </c>
      <c r="N78" s="22">
        <f t="shared" si="4"/>
        <v>0</v>
      </c>
      <c r="P78" s="26" t="s">
        <v>914</v>
      </c>
      <c r="Q78" s="26">
        <v>317109</v>
      </c>
      <c r="R78" s="21" t="str">
        <f t="shared" si="5"/>
        <v>1350</v>
      </c>
      <c r="S78" s="44" t="str">
        <f t="shared" si="6"/>
        <v>1350</v>
      </c>
      <c r="T78" s="45">
        <f t="shared" si="7"/>
        <v>0</v>
      </c>
      <c r="V78" s="45"/>
    </row>
    <row r="79" spans="1:22" s="26" customFormat="1" ht="12.75" x14ac:dyDescent="0.2">
      <c r="A79" s="20" t="str">
        <f>Data!B74</f>
        <v>1359</v>
      </c>
      <c r="B79" s="21" t="str">
        <f>INDEX(Data[],MATCH($A79,Data[Dist],0),MATCH(B$6,Data[#Headers],0))</f>
        <v>Colo-Nesco</v>
      </c>
      <c r="C79" s="22">
        <f>INDEX(Data[],MATCH($A79,Data[Dist],0),MATCH(C$6,Data[#Headers],0))</f>
        <v>244114</v>
      </c>
      <c r="D79" s="160">
        <f>INDEX(Data[],MATCH($A79,Data[Dist],0),MATCH(D$6,Data[#Headers],0))</f>
        <v>242380</v>
      </c>
      <c r="E79" s="160">
        <f>INDEX(Data[],MATCH($A79,Data[Dist],0),MATCH(E$6,Data[#Headers],0))</f>
        <v>242380</v>
      </c>
      <c r="F79" s="160">
        <f>INDEX(Data[],MATCH($A79,Data[Dist],0),MATCH(F$6,Data[#Headers],0))</f>
        <v>242379</v>
      </c>
      <c r="G79" s="22">
        <f>INDEX(Data[],MATCH($A79,Data[Dist],0),MATCH(G$6,Data[#Headers],0))</f>
        <v>732342</v>
      </c>
      <c r="H79" s="22">
        <f>INDEX(Data[],MATCH($A79,Data[Dist],0),MATCH(H$6,Data[#Headers],0))-G79</f>
        <v>1708796</v>
      </c>
      <c r="I79" s="25"/>
      <c r="J79" s="22">
        <f>INDEX(Notes!$I$2:$N$11,MATCH(Notes!$B$2,Notes!$I$2:$I$11,0),4)*$C79</f>
        <v>732342</v>
      </c>
      <c r="K79" s="22">
        <f>INDEX(Notes!$I$2:$N$11,MATCH(Notes!$B$2,Notes!$I$2:$I$11,0),5)*$D79</f>
        <v>0</v>
      </c>
      <c r="L79" s="22">
        <f>INDEX(Notes!$I$2:$N$11,MATCH(Notes!$B$2,Notes!$I$2:$I$11,0),6)*$E79</f>
        <v>0</v>
      </c>
      <c r="M79" s="22">
        <f>IF(Notes!$B$2="June",'Payment Total'!$F79,0)</f>
        <v>0</v>
      </c>
      <c r="N79" s="22">
        <f t="shared" si="4"/>
        <v>0</v>
      </c>
      <c r="P79" s="26" t="s">
        <v>915</v>
      </c>
      <c r="Q79" s="26">
        <v>244114</v>
      </c>
      <c r="R79" s="21" t="str">
        <f t="shared" si="5"/>
        <v>1359</v>
      </c>
      <c r="S79" s="44" t="str">
        <f t="shared" si="6"/>
        <v>1359</v>
      </c>
      <c r="T79" s="45">
        <f t="shared" si="7"/>
        <v>0</v>
      </c>
      <c r="V79" s="45"/>
    </row>
    <row r="80" spans="1:22" s="26" customFormat="1" ht="12.75" x14ac:dyDescent="0.2">
      <c r="A80" s="20" t="str">
        <f>Data!B75</f>
        <v>1368</v>
      </c>
      <c r="B80" s="21" t="str">
        <f>INDEX(Data[],MATCH($A80,Data[Dist],0),MATCH(B$6,Data[#Headers],0))</f>
        <v>Columbus</v>
      </c>
      <c r="C80" s="22">
        <f>INDEX(Data[],MATCH($A80,Data[Dist],0),MATCH(C$6,Data[#Headers],0))</f>
        <v>563090</v>
      </c>
      <c r="D80" s="160">
        <f>INDEX(Data[],MATCH($A80,Data[Dist],0),MATCH(D$6,Data[#Headers],0))</f>
        <v>560250</v>
      </c>
      <c r="E80" s="160">
        <f>INDEX(Data[],MATCH($A80,Data[Dist],0),MATCH(E$6,Data[#Headers],0))</f>
        <v>560250</v>
      </c>
      <c r="F80" s="160">
        <f>INDEX(Data[],MATCH($A80,Data[Dist],0),MATCH(F$6,Data[#Headers],0))</f>
        <v>560249</v>
      </c>
      <c r="G80" s="22">
        <f>INDEX(Data[],MATCH($A80,Data[Dist],0),MATCH(G$6,Data[#Headers],0))</f>
        <v>1689270</v>
      </c>
      <c r="H80" s="22">
        <f>INDEX(Data[],MATCH($A80,Data[Dist],0),MATCH(H$6,Data[#Headers],0))-G80</f>
        <v>3941630</v>
      </c>
      <c r="I80" s="25"/>
      <c r="J80" s="22">
        <f>INDEX(Notes!$I$2:$N$11,MATCH(Notes!$B$2,Notes!$I$2:$I$11,0),4)*$C80</f>
        <v>1689270</v>
      </c>
      <c r="K80" s="22">
        <f>INDEX(Notes!$I$2:$N$11,MATCH(Notes!$B$2,Notes!$I$2:$I$11,0),5)*$D80</f>
        <v>0</v>
      </c>
      <c r="L80" s="22">
        <f>INDEX(Notes!$I$2:$N$11,MATCH(Notes!$B$2,Notes!$I$2:$I$11,0),6)*$E80</f>
        <v>0</v>
      </c>
      <c r="M80" s="22">
        <f>IF(Notes!$B$2="June",'Payment Total'!$F80,0)</f>
        <v>0</v>
      </c>
      <c r="N80" s="22">
        <f t="shared" si="4"/>
        <v>0</v>
      </c>
      <c r="P80" s="26" t="s">
        <v>916</v>
      </c>
      <c r="Q80" s="26">
        <v>563090</v>
      </c>
      <c r="R80" s="21" t="str">
        <f t="shared" si="5"/>
        <v>1368</v>
      </c>
      <c r="S80" s="44" t="str">
        <f t="shared" si="6"/>
        <v>1368</v>
      </c>
      <c r="T80" s="45">
        <f t="shared" si="7"/>
        <v>0</v>
      </c>
      <c r="V80" s="45"/>
    </row>
    <row r="81" spans="1:22" s="26" customFormat="1" ht="12.75" x14ac:dyDescent="0.2">
      <c r="A81" s="20" t="str">
        <f>Data!B76</f>
        <v>1413</v>
      </c>
      <c r="B81" s="21" t="str">
        <f>INDEX(Data[],MATCH($A81,Data[Dist],0),MATCH(B$6,Data[#Headers],0))</f>
        <v>Coon Rapids-Bayard</v>
      </c>
      <c r="C81" s="22">
        <f>INDEX(Data[],MATCH($A81,Data[Dist],0),MATCH(C$6,Data[#Headers],0))</f>
        <v>292363</v>
      </c>
      <c r="D81" s="160">
        <f>INDEX(Data[],MATCH($A81,Data[Dist],0),MATCH(D$6,Data[#Headers],0))</f>
        <v>290736</v>
      </c>
      <c r="E81" s="160">
        <f>INDEX(Data[],MATCH($A81,Data[Dist],0),MATCH(E$6,Data[#Headers],0))</f>
        <v>290736</v>
      </c>
      <c r="F81" s="160">
        <f>INDEX(Data[],MATCH($A81,Data[Dist],0),MATCH(F$6,Data[#Headers],0))</f>
        <v>290734</v>
      </c>
      <c r="G81" s="22">
        <f>INDEX(Data[],MATCH($A81,Data[Dist],0),MATCH(G$6,Data[#Headers],0))</f>
        <v>877089</v>
      </c>
      <c r="H81" s="22">
        <f>INDEX(Data[],MATCH($A81,Data[Dist],0),MATCH(H$6,Data[#Headers],0))-G81</f>
        <v>2046539</v>
      </c>
      <c r="I81" s="25"/>
      <c r="J81" s="22">
        <f>INDEX(Notes!$I$2:$N$11,MATCH(Notes!$B$2,Notes!$I$2:$I$11,0),4)*$C81</f>
        <v>877089</v>
      </c>
      <c r="K81" s="22">
        <f>INDEX(Notes!$I$2:$N$11,MATCH(Notes!$B$2,Notes!$I$2:$I$11,0),5)*$D81</f>
        <v>0</v>
      </c>
      <c r="L81" s="22">
        <f>INDEX(Notes!$I$2:$N$11,MATCH(Notes!$B$2,Notes!$I$2:$I$11,0),6)*$E81</f>
        <v>0</v>
      </c>
      <c r="M81" s="22">
        <f>IF(Notes!$B$2="June",'Payment Total'!$F81,0)</f>
        <v>0</v>
      </c>
      <c r="N81" s="22">
        <f t="shared" si="4"/>
        <v>0</v>
      </c>
      <c r="P81" s="26" t="s">
        <v>917</v>
      </c>
      <c r="Q81" s="26">
        <v>292363</v>
      </c>
      <c r="R81" s="21" t="str">
        <f t="shared" si="5"/>
        <v>1413</v>
      </c>
      <c r="S81" s="44" t="str">
        <f t="shared" si="6"/>
        <v>1413</v>
      </c>
      <c r="T81" s="45">
        <f t="shared" si="7"/>
        <v>0</v>
      </c>
      <c r="V81" s="45"/>
    </row>
    <row r="82" spans="1:22" s="26" customFormat="1" ht="12.75" x14ac:dyDescent="0.2">
      <c r="A82" s="20" t="str">
        <f>Data!B77</f>
        <v>1431</v>
      </c>
      <c r="B82" s="21" t="str">
        <f>INDEX(Data[],MATCH($A82,Data[Dist],0),MATCH(B$6,Data[#Headers],0))</f>
        <v>Corning</v>
      </c>
      <c r="C82" s="22">
        <f>INDEX(Data[],MATCH($A82,Data[Dist],0),MATCH(C$6,Data[#Headers],0))</f>
        <v>181035</v>
      </c>
      <c r="D82" s="160">
        <f>INDEX(Data[],MATCH($A82,Data[Dist],0),MATCH(D$6,Data[#Headers],0))</f>
        <v>179572</v>
      </c>
      <c r="E82" s="160">
        <f>INDEX(Data[],MATCH($A82,Data[Dist],0),MATCH(E$6,Data[#Headers],0))</f>
        <v>179572</v>
      </c>
      <c r="F82" s="160">
        <f>INDEX(Data[],MATCH($A82,Data[Dist],0),MATCH(F$6,Data[#Headers],0))</f>
        <v>179573</v>
      </c>
      <c r="G82" s="22">
        <f>INDEX(Data[],MATCH($A82,Data[Dist],0),MATCH(G$6,Data[#Headers],0))</f>
        <v>543105</v>
      </c>
      <c r="H82" s="22">
        <f>INDEX(Data[],MATCH($A82,Data[Dist],0),MATCH(H$6,Data[#Headers],0))-G82</f>
        <v>1267245</v>
      </c>
      <c r="I82" s="25"/>
      <c r="J82" s="22">
        <f>INDEX(Notes!$I$2:$N$11,MATCH(Notes!$B$2,Notes!$I$2:$I$11,0),4)*$C82</f>
        <v>543105</v>
      </c>
      <c r="K82" s="22">
        <f>INDEX(Notes!$I$2:$N$11,MATCH(Notes!$B$2,Notes!$I$2:$I$11,0),5)*$D82</f>
        <v>0</v>
      </c>
      <c r="L82" s="22">
        <f>INDEX(Notes!$I$2:$N$11,MATCH(Notes!$B$2,Notes!$I$2:$I$11,0),6)*$E82</f>
        <v>0</v>
      </c>
      <c r="M82" s="22">
        <f>IF(Notes!$B$2="June",'Payment Total'!$F82,0)</f>
        <v>0</v>
      </c>
      <c r="N82" s="22">
        <f t="shared" si="4"/>
        <v>0</v>
      </c>
      <c r="P82" s="26" t="s">
        <v>918</v>
      </c>
      <c r="Q82" s="26">
        <v>181035</v>
      </c>
      <c r="R82" s="21" t="str">
        <f t="shared" si="5"/>
        <v>1431</v>
      </c>
      <c r="S82" s="44" t="str">
        <f t="shared" si="6"/>
        <v>1431</v>
      </c>
      <c r="T82" s="45">
        <f t="shared" si="7"/>
        <v>0</v>
      </c>
      <c r="V82" s="45"/>
    </row>
    <row r="83" spans="1:22" s="26" customFormat="1" ht="12.75" x14ac:dyDescent="0.2">
      <c r="A83" s="20" t="str">
        <f>Data!B78</f>
        <v>1476</v>
      </c>
      <c r="B83" s="21" t="str">
        <f>INDEX(Data[],MATCH($A83,Data[Dist],0),MATCH(B$6,Data[#Headers],0))</f>
        <v>Council Bluffs</v>
      </c>
      <c r="C83" s="22">
        <f>INDEX(Data[],MATCH($A83,Data[Dist],0),MATCH(C$6,Data[#Headers],0))</f>
        <v>7632464</v>
      </c>
      <c r="D83" s="160">
        <f>INDEX(Data[],MATCH($A83,Data[Dist],0),MATCH(D$6,Data[#Headers],0))</f>
        <v>7599128</v>
      </c>
      <c r="E83" s="160">
        <f>INDEX(Data[],MATCH($A83,Data[Dist],0),MATCH(E$6,Data[#Headers],0))</f>
        <v>7599128</v>
      </c>
      <c r="F83" s="160">
        <f>INDEX(Data[],MATCH($A83,Data[Dist],0),MATCH(F$6,Data[#Headers],0))</f>
        <v>7599129</v>
      </c>
      <c r="G83" s="22">
        <f>INDEX(Data[],MATCH($A83,Data[Dist],0),MATCH(G$6,Data[#Headers],0))</f>
        <v>22897392</v>
      </c>
      <c r="H83" s="22">
        <f>INDEX(Data[],MATCH($A83,Data[Dist],0),MATCH(H$6,Data[#Headers],0))-G83</f>
        <v>53427249</v>
      </c>
      <c r="I83" s="25"/>
      <c r="J83" s="22">
        <f>INDEX(Notes!$I$2:$N$11,MATCH(Notes!$B$2,Notes!$I$2:$I$11,0),4)*$C83</f>
        <v>22897392</v>
      </c>
      <c r="K83" s="22">
        <f>INDEX(Notes!$I$2:$N$11,MATCH(Notes!$B$2,Notes!$I$2:$I$11,0),5)*$D83</f>
        <v>0</v>
      </c>
      <c r="L83" s="22">
        <f>INDEX(Notes!$I$2:$N$11,MATCH(Notes!$B$2,Notes!$I$2:$I$11,0),6)*$E83</f>
        <v>0</v>
      </c>
      <c r="M83" s="22">
        <f>IF(Notes!$B$2="June",'Payment Total'!$F83,0)</f>
        <v>0</v>
      </c>
      <c r="N83" s="22">
        <f t="shared" si="4"/>
        <v>0</v>
      </c>
      <c r="P83" s="26" t="s">
        <v>919</v>
      </c>
      <c r="Q83" s="26">
        <v>7632464</v>
      </c>
      <c r="R83" s="21" t="str">
        <f t="shared" si="5"/>
        <v>1476</v>
      </c>
      <c r="S83" s="44" t="str">
        <f t="shared" si="6"/>
        <v>1476</v>
      </c>
      <c r="T83" s="45">
        <f t="shared" si="7"/>
        <v>0</v>
      </c>
      <c r="V83" s="45"/>
    </row>
    <row r="84" spans="1:22" s="26" customFormat="1" ht="12.75" x14ac:dyDescent="0.2">
      <c r="A84" s="20" t="str">
        <f>Data!B79</f>
        <v>1503</v>
      </c>
      <c r="B84" s="21" t="str">
        <f>INDEX(Data[],MATCH($A84,Data[Dist],0),MATCH(B$6,Data[#Headers],0))</f>
        <v>Creston</v>
      </c>
      <c r="C84" s="22">
        <f>INDEX(Data[],MATCH($A84,Data[Dist],0),MATCH(C$6,Data[#Headers],0))</f>
        <v>1031575</v>
      </c>
      <c r="D84" s="160">
        <f>INDEX(Data[],MATCH($A84,Data[Dist],0),MATCH(D$6,Data[#Headers],0))</f>
        <v>1026228</v>
      </c>
      <c r="E84" s="160">
        <f>INDEX(Data[],MATCH($A84,Data[Dist],0),MATCH(E$6,Data[#Headers],0))</f>
        <v>1026227</v>
      </c>
      <c r="F84" s="160">
        <f>INDEX(Data[],MATCH($A84,Data[Dist],0),MATCH(F$6,Data[#Headers],0))</f>
        <v>1026228</v>
      </c>
      <c r="G84" s="22">
        <f>INDEX(Data[],MATCH($A84,Data[Dist],0),MATCH(G$6,Data[#Headers],0))</f>
        <v>3094725</v>
      </c>
      <c r="H84" s="22">
        <f>INDEX(Data[],MATCH($A84,Data[Dist],0),MATCH(H$6,Data[#Headers],0))-G84</f>
        <v>7221029</v>
      </c>
      <c r="I84" s="25"/>
      <c r="J84" s="22">
        <f>INDEX(Notes!$I$2:$N$11,MATCH(Notes!$B$2,Notes!$I$2:$I$11,0),4)*$C84</f>
        <v>3094725</v>
      </c>
      <c r="K84" s="22">
        <f>INDEX(Notes!$I$2:$N$11,MATCH(Notes!$B$2,Notes!$I$2:$I$11,0),5)*$D84</f>
        <v>0</v>
      </c>
      <c r="L84" s="22">
        <f>INDEX(Notes!$I$2:$N$11,MATCH(Notes!$B$2,Notes!$I$2:$I$11,0),6)*$E84</f>
        <v>0</v>
      </c>
      <c r="M84" s="22">
        <f>IF(Notes!$B$2="June",'Payment Total'!$F84,0)</f>
        <v>0</v>
      </c>
      <c r="N84" s="22">
        <f t="shared" si="4"/>
        <v>0</v>
      </c>
      <c r="P84" s="26" t="s">
        <v>920</v>
      </c>
      <c r="Q84" s="26">
        <v>1031575</v>
      </c>
      <c r="R84" s="21" t="str">
        <f t="shared" si="5"/>
        <v>1503</v>
      </c>
      <c r="S84" s="44" t="str">
        <f t="shared" si="6"/>
        <v>1503</v>
      </c>
      <c r="T84" s="45">
        <f t="shared" si="7"/>
        <v>0</v>
      </c>
      <c r="V84" s="45"/>
    </row>
    <row r="85" spans="1:22" s="26" customFormat="1" ht="12.75" x14ac:dyDescent="0.2">
      <c r="A85" s="20" t="str">
        <f>Data!B80</f>
        <v>1576</v>
      </c>
      <c r="B85" s="21" t="str">
        <f>INDEX(Data[],MATCH($A85,Data[Dist],0),MATCH(B$6,Data[#Headers],0))</f>
        <v>Dallas Center-Grimes</v>
      </c>
      <c r="C85" s="22">
        <f>INDEX(Data[],MATCH($A85,Data[Dist],0),MATCH(C$6,Data[#Headers],0))</f>
        <v>2372280</v>
      </c>
      <c r="D85" s="160">
        <f>INDEX(Data[],MATCH($A85,Data[Dist],0),MATCH(D$6,Data[#Headers],0))</f>
        <v>2358965</v>
      </c>
      <c r="E85" s="160">
        <f>INDEX(Data[],MATCH($A85,Data[Dist],0),MATCH(E$6,Data[#Headers],0))</f>
        <v>2358965</v>
      </c>
      <c r="F85" s="160">
        <f>INDEX(Data[],MATCH($A85,Data[Dist],0),MATCH(F$6,Data[#Headers],0))</f>
        <v>2358965</v>
      </c>
      <c r="G85" s="22">
        <f>INDEX(Data[],MATCH($A85,Data[Dist],0),MATCH(G$6,Data[#Headers],0))</f>
        <v>7116840</v>
      </c>
      <c r="H85" s="22">
        <f>INDEX(Data[],MATCH($A85,Data[Dist],0),MATCH(H$6,Data[#Headers],0))-G85</f>
        <v>16605960</v>
      </c>
      <c r="I85" s="25"/>
      <c r="J85" s="22">
        <f>INDEX(Notes!$I$2:$N$11,MATCH(Notes!$B$2,Notes!$I$2:$I$11,0),4)*$C85</f>
        <v>7116840</v>
      </c>
      <c r="K85" s="22">
        <f>INDEX(Notes!$I$2:$N$11,MATCH(Notes!$B$2,Notes!$I$2:$I$11,0),5)*$D85</f>
        <v>0</v>
      </c>
      <c r="L85" s="22">
        <f>INDEX(Notes!$I$2:$N$11,MATCH(Notes!$B$2,Notes!$I$2:$I$11,0),6)*$E85</f>
        <v>0</v>
      </c>
      <c r="M85" s="22">
        <f>IF(Notes!$B$2="June",'Payment Total'!$F85,0)</f>
        <v>0</v>
      </c>
      <c r="N85" s="22">
        <f t="shared" si="4"/>
        <v>0</v>
      </c>
      <c r="P85" s="26" t="s">
        <v>921</v>
      </c>
      <c r="Q85" s="26">
        <v>2372280</v>
      </c>
      <c r="R85" s="21" t="str">
        <f t="shared" si="5"/>
        <v>1576</v>
      </c>
      <c r="S85" s="44" t="str">
        <f t="shared" si="6"/>
        <v>1576</v>
      </c>
      <c r="T85" s="45">
        <f t="shared" si="7"/>
        <v>0</v>
      </c>
      <c r="V85" s="45"/>
    </row>
    <row r="86" spans="1:22" s="26" customFormat="1" ht="12.75" x14ac:dyDescent="0.2">
      <c r="A86" s="20" t="str">
        <f>Data!B81</f>
        <v>1602</v>
      </c>
      <c r="B86" s="21" t="str">
        <f>INDEX(Data[],MATCH($A86,Data[Dist],0),MATCH(B$6,Data[#Headers],0))</f>
        <v>Danville</v>
      </c>
      <c r="C86" s="22">
        <f>INDEX(Data[],MATCH($A86,Data[Dist],0),MATCH(C$6,Data[#Headers],0))</f>
        <v>304342</v>
      </c>
      <c r="D86" s="160">
        <f>INDEX(Data[],MATCH($A86,Data[Dist],0),MATCH(D$6,Data[#Headers],0))</f>
        <v>302687</v>
      </c>
      <c r="E86" s="160">
        <f>INDEX(Data[],MATCH($A86,Data[Dist],0),MATCH(E$6,Data[#Headers],0))</f>
        <v>302686</v>
      </c>
      <c r="F86" s="160">
        <f>INDEX(Data[],MATCH($A86,Data[Dist],0),MATCH(F$6,Data[#Headers],0))</f>
        <v>302687</v>
      </c>
      <c r="G86" s="22">
        <f>INDEX(Data[],MATCH($A86,Data[Dist],0),MATCH(G$6,Data[#Headers],0))</f>
        <v>913026</v>
      </c>
      <c r="H86" s="22">
        <f>INDEX(Data[],MATCH($A86,Data[Dist],0),MATCH(H$6,Data[#Headers],0))-G86</f>
        <v>2130393</v>
      </c>
      <c r="I86" s="25"/>
      <c r="J86" s="22">
        <f>INDEX(Notes!$I$2:$N$11,MATCH(Notes!$B$2,Notes!$I$2:$I$11,0),4)*$C86</f>
        <v>913026</v>
      </c>
      <c r="K86" s="22">
        <f>INDEX(Notes!$I$2:$N$11,MATCH(Notes!$B$2,Notes!$I$2:$I$11,0),5)*$D86</f>
        <v>0</v>
      </c>
      <c r="L86" s="22">
        <f>INDEX(Notes!$I$2:$N$11,MATCH(Notes!$B$2,Notes!$I$2:$I$11,0),6)*$E86</f>
        <v>0</v>
      </c>
      <c r="M86" s="22">
        <f>IF(Notes!$B$2="June",'Payment Total'!$F86,0)</f>
        <v>0</v>
      </c>
      <c r="N86" s="22">
        <f t="shared" si="4"/>
        <v>0</v>
      </c>
      <c r="P86" s="26" t="s">
        <v>922</v>
      </c>
      <c r="Q86" s="26">
        <v>304342</v>
      </c>
      <c r="R86" s="21" t="str">
        <f t="shared" si="5"/>
        <v>1602</v>
      </c>
      <c r="S86" s="44" t="str">
        <f t="shared" si="6"/>
        <v>1602</v>
      </c>
      <c r="T86" s="45">
        <f t="shared" si="7"/>
        <v>0</v>
      </c>
      <c r="V86" s="45"/>
    </row>
    <row r="87" spans="1:22" s="26" customFormat="1" ht="12.75" x14ac:dyDescent="0.2">
      <c r="A87" s="20" t="str">
        <f>Data!B82</f>
        <v>1611</v>
      </c>
      <c r="B87" s="21" t="str">
        <f>INDEX(Data[],MATCH($A87,Data[Dist],0),MATCH(B$6,Data[#Headers],0))</f>
        <v>Davenport</v>
      </c>
      <c r="C87" s="22">
        <f>INDEX(Data[],MATCH($A87,Data[Dist],0),MATCH(C$6,Data[#Headers],0))</f>
        <v>10732294</v>
      </c>
      <c r="D87" s="160">
        <f>INDEX(Data[],MATCH($A87,Data[Dist],0),MATCH(D$6,Data[#Headers],0))</f>
        <v>10678067</v>
      </c>
      <c r="E87" s="160">
        <f>INDEX(Data[],MATCH($A87,Data[Dist],0),MATCH(E$6,Data[#Headers],0))</f>
        <v>10678067</v>
      </c>
      <c r="F87" s="160">
        <f>INDEX(Data[],MATCH($A87,Data[Dist],0),MATCH(F$6,Data[#Headers],0))</f>
        <v>10678066</v>
      </c>
      <c r="G87" s="22">
        <f>INDEX(Data[],MATCH($A87,Data[Dist],0),MATCH(G$6,Data[#Headers],0))</f>
        <v>32196882</v>
      </c>
      <c r="H87" s="22">
        <f>INDEX(Data[],MATCH($A87,Data[Dist],0),MATCH(H$6,Data[#Headers],0))-G87</f>
        <v>75126054</v>
      </c>
      <c r="I87" s="25"/>
      <c r="J87" s="22">
        <f>INDEX(Notes!$I$2:$N$11,MATCH(Notes!$B$2,Notes!$I$2:$I$11,0),4)*$C87</f>
        <v>32196882</v>
      </c>
      <c r="K87" s="22">
        <f>INDEX(Notes!$I$2:$N$11,MATCH(Notes!$B$2,Notes!$I$2:$I$11,0),5)*$D87</f>
        <v>0</v>
      </c>
      <c r="L87" s="22">
        <f>INDEX(Notes!$I$2:$N$11,MATCH(Notes!$B$2,Notes!$I$2:$I$11,0),6)*$E87</f>
        <v>0</v>
      </c>
      <c r="M87" s="22">
        <f>IF(Notes!$B$2="June",'Payment Total'!$F87,0)</f>
        <v>0</v>
      </c>
      <c r="N87" s="22">
        <f t="shared" si="4"/>
        <v>0</v>
      </c>
      <c r="P87" s="26" t="s">
        <v>923</v>
      </c>
      <c r="Q87" s="26">
        <v>10732294</v>
      </c>
      <c r="R87" s="21" t="str">
        <f t="shared" si="5"/>
        <v>1611</v>
      </c>
      <c r="S87" s="44" t="str">
        <f t="shared" si="6"/>
        <v>1611</v>
      </c>
      <c r="T87" s="45">
        <f t="shared" si="7"/>
        <v>0</v>
      </c>
      <c r="V87" s="45"/>
    </row>
    <row r="88" spans="1:22" s="26" customFormat="1" ht="12.75" x14ac:dyDescent="0.2">
      <c r="A88" s="20" t="str">
        <f>Data!B83</f>
        <v>1619</v>
      </c>
      <c r="B88" s="21" t="str">
        <f>INDEX(Data[],MATCH($A88,Data[Dist],0),MATCH(B$6,Data[#Headers],0))</f>
        <v>Davis County</v>
      </c>
      <c r="C88" s="22">
        <f>INDEX(Data[],MATCH($A88,Data[Dist],0),MATCH(C$6,Data[#Headers],0))</f>
        <v>805120</v>
      </c>
      <c r="D88" s="160">
        <f>INDEX(Data[],MATCH($A88,Data[Dist],0),MATCH(D$6,Data[#Headers],0))</f>
        <v>800722</v>
      </c>
      <c r="E88" s="160">
        <f>INDEX(Data[],MATCH($A88,Data[Dist],0),MATCH(E$6,Data[#Headers],0))</f>
        <v>800723</v>
      </c>
      <c r="F88" s="160">
        <f>INDEX(Data[],MATCH($A88,Data[Dist],0),MATCH(F$6,Data[#Headers],0))</f>
        <v>800721</v>
      </c>
      <c r="G88" s="22">
        <f>INDEX(Data[],MATCH($A88,Data[Dist],0),MATCH(G$6,Data[#Headers],0))</f>
        <v>2415360</v>
      </c>
      <c r="H88" s="22">
        <f>INDEX(Data[],MATCH($A88,Data[Dist],0),MATCH(H$6,Data[#Headers],0))-G88</f>
        <v>5635840</v>
      </c>
      <c r="I88" s="25"/>
      <c r="J88" s="22">
        <f>INDEX(Notes!$I$2:$N$11,MATCH(Notes!$B$2,Notes!$I$2:$I$11,0),4)*$C88</f>
        <v>2415360</v>
      </c>
      <c r="K88" s="22">
        <f>INDEX(Notes!$I$2:$N$11,MATCH(Notes!$B$2,Notes!$I$2:$I$11,0),5)*$D88</f>
        <v>0</v>
      </c>
      <c r="L88" s="22">
        <f>INDEX(Notes!$I$2:$N$11,MATCH(Notes!$B$2,Notes!$I$2:$I$11,0),6)*$E88</f>
        <v>0</v>
      </c>
      <c r="M88" s="22">
        <f>IF(Notes!$B$2="June",'Payment Total'!$F88,0)</f>
        <v>0</v>
      </c>
      <c r="N88" s="22">
        <f t="shared" si="4"/>
        <v>0</v>
      </c>
      <c r="P88" s="26" t="s">
        <v>924</v>
      </c>
      <c r="Q88" s="26">
        <v>805120</v>
      </c>
      <c r="R88" s="21" t="str">
        <f t="shared" si="5"/>
        <v>1619</v>
      </c>
      <c r="S88" s="44" t="str">
        <f t="shared" si="6"/>
        <v>1619</v>
      </c>
      <c r="T88" s="45">
        <f t="shared" si="7"/>
        <v>0</v>
      </c>
      <c r="V88" s="45"/>
    </row>
    <row r="89" spans="1:22" s="26" customFormat="1" ht="12.75" x14ac:dyDescent="0.2">
      <c r="A89" s="20" t="str">
        <f>Data!B84</f>
        <v>1638</v>
      </c>
      <c r="B89" s="21" t="str">
        <f>INDEX(Data[],MATCH($A89,Data[Dist],0),MATCH(B$6,Data[#Headers],0))</f>
        <v>Decorah</v>
      </c>
      <c r="C89" s="22">
        <f>INDEX(Data[],MATCH($A89,Data[Dist],0),MATCH(C$6,Data[#Headers],0))</f>
        <v>905460</v>
      </c>
      <c r="D89" s="160">
        <f>INDEX(Data[],MATCH($A89,Data[Dist],0),MATCH(D$6,Data[#Headers],0))</f>
        <v>899631</v>
      </c>
      <c r="E89" s="160">
        <f>INDEX(Data[],MATCH($A89,Data[Dist],0),MATCH(E$6,Data[#Headers],0))</f>
        <v>899631</v>
      </c>
      <c r="F89" s="160">
        <f>INDEX(Data[],MATCH($A89,Data[Dist],0),MATCH(F$6,Data[#Headers],0))</f>
        <v>899631</v>
      </c>
      <c r="G89" s="22">
        <f>INDEX(Data[],MATCH($A89,Data[Dist],0),MATCH(G$6,Data[#Headers],0))</f>
        <v>2716380</v>
      </c>
      <c r="H89" s="22">
        <f>INDEX(Data[],MATCH($A89,Data[Dist],0),MATCH(H$6,Data[#Headers],0))-G89</f>
        <v>6338220</v>
      </c>
      <c r="I89" s="25"/>
      <c r="J89" s="22">
        <f>INDEX(Notes!$I$2:$N$11,MATCH(Notes!$B$2,Notes!$I$2:$I$11,0),4)*$C89</f>
        <v>2716380</v>
      </c>
      <c r="K89" s="22">
        <f>INDEX(Notes!$I$2:$N$11,MATCH(Notes!$B$2,Notes!$I$2:$I$11,0),5)*$D89</f>
        <v>0</v>
      </c>
      <c r="L89" s="22">
        <f>INDEX(Notes!$I$2:$N$11,MATCH(Notes!$B$2,Notes!$I$2:$I$11,0),6)*$E89</f>
        <v>0</v>
      </c>
      <c r="M89" s="22">
        <f>IF(Notes!$B$2="June",'Payment Total'!$F89,0)</f>
        <v>0</v>
      </c>
      <c r="N89" s="22">
        <f t="shared" si="4"/>
        <v>0</v>
      </c>
      <c r="P89" s="26" t="s">
        <v>925</v>
      </c>
      <c r="Q89" s="26">
        <v>905460</v>
      </c>
      <c r="R89" s="21" t="str">
        <f t="shared" si="5"/>
        <v>1638</v>
      </c>
      <c r="S89" s="44" t="str">
        <f t="shared" si="6"/>
        <v>1638</v>
      </c>
      <c r="T89" s="45">
        <f t="shared" si="7"/>
        <v>0</v>
      </c>
      <c r="V89" s="45"/>
    </row>
    <row r="90" spans="1:22" s="26" customFormat="1" ht="12.75" x14ac:dyDescent="0.2">
      <c r="A90" s="20" t="str">
        <f>Data!B85</f>
        <v>1675</v>
      </c>
      <c r="B90" s="21" t="str">
        <f>INDEX(Data[],MATCH($A90,Data[Dist],0),MATCH(B$6,Data[#Headers],0))</f>
        <v>Delwood</v>
      </c>
      <c r="C90" s="22">
        <f>INDEX(Data[],MATCH($A90,Data[Dist],0),MATCH(C$6,Data[#Headers],0))</f>
        <v>138172</v>
      </c>
      <c r="D90" s="160">
        <f>INDEX(Data[],MATCH($A90,Data[Dist],0),MATCH(D$6,Data[#Headers],0))</f>
        <v>137407</v>
      </c>
      <c r="E90" s="160">
        <f>INDEX(Data[],MATCH($A90,Data[Dist],0),MATCH(E$6,Data[#Headers],0))</f>
        <v>137407</v>
      </c>
      <c r="F90" s="160">
        <f>INDEX(Data[],MATCH($A90,Data[Dist],0),MATCH(F$6,Data[#Headers],0))</f>
        <v>137407</v>
      </c>
      <c r="G90" s="22">
        <f>INDEX(Data[],MATCH($A90,Data[Dist],0),MATCH(G$6,Data[#Headers],0))</f>
        <v>414516</v>
      </c>
      <c r="H90" s="22">
        <f>INDEX(Data[],MATCH($A90,Data[Dist],0),MATCH(H$6,Data[#Headers],0))-G90</f>
        <v>967208</v>
      </c>
      <c r="I90" s="25"/>
      <c r="J90" s="22">
        <f>INDEX(Notes!$I$2:$N$11,MATCH(Notes!$B$2,Notes!$I$2:$I$11,0),4)*$C90</f>
        <v>414516</v>
      </c>
      <c r="K90" s="22">
        <f>INDEX(Notes!$I$2:$N$11,MATCH(Notes!$B$2,Notes!$I$2:$I$11,0),5)*$D90</f>
        <v>0</v>
      </c>
      <c r="L90" s="22">
        <f>INDEX(Notes!$I$2:$N$11,MATCH(Notes!$B$2,Notes!$I$2:$I$11,0),6)*$E90</f>
        <v>0</v>
      </c>
      <c r="M90" s="22">
        <f>IF(Notes!$B$2="June",'Payment Total'!$F90,0)</f>
        <v>0</v>
      </c>
      <c r="N90" s="22">
        <f t="shared" si="4"/>
        <v>0</v>
      </c>
      <c r="P90" s="26" t="s">
        <v>926</v>
      </c>
      <c r="Q90" s="26">
        <v>138172</v>
      </c>
      <c r="R90" s="21" t="str">
        <f t="shared" si="5"/>
        <v>1675</v>
      </c>
      <c r="S90" s="44" t="str">
        <f t="shared" si="6"/>
        <v>1675</v>
      </c>
      <c r="T90" s="45">
        <f t="shared" si="7"/>
        <v>0</v>
      </c>
      <c r="V90" s="45"/>
    </row>
    <row r="91" spans="1:22" s="26" customFormat="1" ht="12.75" x14ac:dyDescent="0.2">
      <c r="A91" s="20" t="str">
        <f>Data!B86</f>
        <v>1701</v>
      </c>
      <c r="B91" s="21" t="str">
        <f>INDEX(Data[],MATCH($A91,Data[Dist],0),MATCH(B$6,Data[#Headers],0))</f>
        <v>Denison</v>
      </c>
      <c r="C91" s="22">
        <f>INDEX(Data[],MATCH($A91,Data[Dist],0),MATCH(C$6,Data[#Headers],0))</f>
        <v>1748309</v>
      </c>
      <c r="D91" s="160">
        <f>INDEX(Data[],MATCH($A91,Data[Dist],0),MATCH(D$6,Data[#Headers],0))</f>
        <v>1740551</v>
      </c>
      <c r="E91" s="160">
        <f>INDEX(Data[],MATCH($A91,Data[Dist],0),MATCH(E$6,Data[#Headers],0))</f>
        <v>1740552</v>
      </c>
      <c r="F91" s="160">
        <f>INDEX(Data[],MATCH($A91,Data[Dist],0),MATCH(F$6,Data[#Headers],0))</f>
        <v>1740550</v>
      </c>
      <c r="G91" s="22">
        <f>INDEX(Data[],MATCH($A91,Data[Dist],0),MATCH(G$6,Data[#Headers],0))</f>
        <v>5244927</v>
      </c>
      <c r="H91" s="22">
        <f>INDEX(Data[],MATCH($A91,Data[Dist],0),MATCH(H$6,Data[#Headers],0))-G91</f>
        <v>12238161</v>
      </c>
      <c r="I91" s="25"/>
      <c r="J91" s="22">
        <f>INDEX(Notes!$I$2:$N$11,MATCH(Notes!$B$2,Notes!$I$2:$I$11,0),4)*$C91</f>
        <v>5244927</v>
      </c>
      <c r="K91" s="22">
        <f>INDEX(Notes!$I$2:$N$11,MATCH(Notes!$B$2,Notes!$I$2:$I$11,0),5)*$D91</f>
        <v>0</v>
      </c>
      <c r="L91" s="22">
        <f>INDEX(Notes!$I$2:$N$11,MATCH(Notes!$B$2,Notes!$I$2:$I$11,0),6)*$E91</f>
        <v>0</v>
      </c>
      <c r="M91" s="22">
        <f>IF(Notes!$B$2="June",'Payment Total'!$F91,0)</f>
        <v>0</v>
      </c>
      <c r="N91" s="22">
        <f t="shared" si="4"/>
        <v>0</v>
      </c>
      <c r="P91" s="26" t="s">
        <v>927</v>
      </c>
      <c r="Q91" s="26">
        <v>1748309</v>
      </c>
      <c r="R91" s="21" t="str">
        <f t="shared" si="5"/>
        <v>1701</v>
      </c>
      <c r="S91" s="44" t="str">
        <f t="shared" si="6"/>
        <v>1701</v>
      </c>
      <c r="T91" s="45">
        <f t="shared" si="7"/>
        <v>0</v>
      </c>
      <c r="V91" s="45"/>
    </row>
    <row r="92" spans="1:22" s="26" customFormat="1" ht="12.75" x14ac:dyDescent="0.2">
      <c r="A92" s="20" t="str">
        <f>Data!B87</f>
        <v>1719</v>
      </c>
      <c r="B92" s="21" t="str">
        <f>INDEX(Data[],MATCH($A92,Data[Dist],0),MATCH(B$6,Data[#Headers],0))</f>
        <v>Denver</v>
      </c>
      <c r="C92" s="22">
        <f>INDEX(Data[],MATCH($A92,Data[Dist],0),MATCH(C$6,Data[#Headers],0))</f>
        <v>644670</v>
      </c>
      <c r="D92" s="160">
        <f>INDEX(Data[],MATCH($A92,Data[Dist],0),MATCH(D$6,Data[#Headers],0))</f>
        <v>641367</v>
      </c>
      <c r="E92" s="160">
        <f>INDEX(Data[],MATCH($A92,Data[Dist],0),MATCH(E$6,Data[#Headers],0))</f>
        <v>641367</v>
      </c>
      <c r="F92" s="160">
        <f>INDEX(Data[],MATCH($A92,Data[Dist],0),MATCH(F$6,Data[#Headers],0))</f>
        <v>641367</v>
      </c>
      <c r="G92" s="22">
        <f>INDEX(Data[],MATCH($A92,Data[Dist],0),MATCH(G$6,Data[#Headers],0))</f>
        <v>1934010</v>
      </c>
      <c r="H92" s="22">
        <f>INDEX(Data[],MATCH($A92,Data[Dist],0),MATCH(H$6,Data[#Headers],0))-G92</f>
        <v>4512693</v>
      </c>
      <c r="I92" s="25"/>
      <c r="J92" s="22">
        <f>INDEX(Notes!$I$2:$N$11,MATCH(Notes!$B$2,Notes!$I$2:$I$11,0),4)*$C92</f>
        <v>1934010</v>
      </c>
      <c r="K92" s="22">
        <f>INDEX(Notes!$I$2:$N$11,MATCH(Notes!$B$2,Notes!$I$2:$I$11,0),5)*$D92</f>
        <v>0</v>
      </c>
      <c r="L92" s="22">
        <f>INDEX(Notes!$I$2:$N$11,MATCH(Notes!$B$2,Notes!$I$2:$I$11,0),6)*$E92</f>
        <v>0</v>
      </c>
      <c r="M92" s="22">
        <f>IF(Notes!$B$2="June",'Payment Total'!$F92,0)</f>
        <v>0</v>
      </c>
      <c r="N92" s="22">
        <f t="shared" si="4"/>
        <v>0</v>
      </c>
      <c r="P92" s="26" t="s">
        <v>928</v>
      </c>
      <c r="Q92" s="26">
        <v>644670</v>
      </c>
      <c r="R92" s="21" t="str">
        <f t="shared" si="5"/>
        <v>1719</v>
      </c>
      <c r="S92" s="44" t="str">
        <f t="shared" si="6"/>
        <v>1719</v>
      </c>
      <c r="T92" s="45">
        <f t="shared" si="7"/>
        <v>0</v>
      </c>
      <c r="V92" s="45"/>
    </row>
    <row r="93" spans="1:22" s="26" customFormat="1" ht="12.75" x14ac:dyDescent="0.2">
      <c r="A93" s="20" t="str">
        <f>Data!B88</f>
        <v>1737</v>
      </c>
      <c r="B93" s="21" t="str">
        <f>INDEX(Data[],MATCH($A93,Data[Dist],0),MATCH(B$6,Data[#Headers],0))</f>
        <v>Des Moines</v>
      </c>
      <c r="C93" s="22">
        <f>INDEX(Data[],MATCH($A93,Data[Dist],0),MATCH(C$6,Data[#Headers],0))</f>
        <v>26263160</v>
      </c>
      <c r="D93" s="160">
        <f>INDEX(Data[],MATCH($A93,Data[Dist],0),MATCH(D$6,Data[#Headers],0))</f>
        <v>26145347</v>
      </c>
      <c r="E93" s="160">
        <f>INDEX(Data[],MATCH($A93,Data[Dist],0),MATCH(E$6,Data[#Headers],0))</f>
        <v>26145347</v>
      </c>
      <c r="F93" s="160">
        <f>INDEX(Data[],MATCH($A93,Data[Dist],0),MATCH(F$6,Data[#Headers],0))</f>
        <v>26145348</v>
      </c>
      <c r="G93" s="22">
        <f>INDEX(Data[],MATCH($A93,Data[Dist],0),MATCH(G$6,Data[#Headers],0))</f>
        <v>78789480</v>
      </c>
      <c r="H93" s="22">
        <f>INDEX(Data[],MATCH($A93,Data[Dist],0),MATCH(H$6,Data[#Headers],0))-G93</f>
        <v>183842121</v>
      </c>
      <c r="I93" s="25"/>
      <c r="J93" s="22">
        <f>INDEX(Notes!$I$2:$N$11,MATCH(Notes!$B$2,Notes!$I$2:$I$11,0),4)*$C93</f>
        <v>78789480</v>
      </c>
      <c r="K93" s="22">
        <f>INDEX(Notes!$I$2:$N$11,MATCH(Notes!$B$2,Notes!$I$2:$I$11,0),5)*$D93</f>
        <v>0</v>
      </c>
      <c r="L93" s="22">
        <f>INDEX(Notes!$I$2:$N$11,MATCH(Notes!$B$2,Notes!$I$2:$I$11,0),6)*$E93</f>
        <v>0</v>
      </c>
      <c r="M93" s="22">
        <f>IF(Notes!$B$2="June",'Payment Total'!$F93,0)</f>
        <v>0</v>
      </c>
      <c r="N93" s="22">
        <f t="shared" si="4"/>
        <v>0</v>
      </c>
      <c r="P93" s="26" t="s">
        <v>929</v>
      </c>
      <c r="Q93" s="26">
        <v>26263160</v>
      </c>
      <c r="R93" s="21" t="str">
        <f t="shared" si="5"/>
        <v>1737</v>
      </c>
      <c r="S93" s="44" t="str">
        <f t="shared" si="6"/>
        <v>1737</v>
      </c>
      <c r="T93" s="45">
        <f t="shared" si="7"/>
        <v>0</v>
      </c>
      <c r="V93" s="45"/>
    </row>
    <row r="94" spans="1:22" s="26" customFormat="1" ht="12.75" x14ac:dyDescent="0.2">
      <c r="A94" s="20" t="str">
        <f>Data!B89</f>
        <v>1782</v>
      </c>
      <c r="B94" s="21" t="str">
        <f>INDEX(Data[],MATCH($A94,Data[Dist],0),MATCH(B$6,Data[#Headers],0))</f>
        <v>Diagonal</v>
      </c>
      <c r="C94" s="22">
        <f>INDEX(Data[],MATCH($A94,Data[Dist],0),MATCH(C$6,Data[#Headers],0))</f>
        <v>89432</v>
      </c>
      <c r="D94" s="160">
        <f>INDEX(Data[],MATCH($A94,Data[Dist],0),MATCH(D$6,Data[#Headers],0))</f>
        <v>89004</v>
      </c>
      <c r="E94" s="160">
        <f>INDEX(Data[],MATCH($A94,Data[Dist],0),MATCH(E$6,Data[#Headers],0))</f>
        <v>89004</v>
      </c>
      <c r="F94" s="160">
        <f>INDEX(Data[],MATCH($A94,Data[Dist],0),MATCH(F$6,Data[#Headers],0))</f>
        <v>89003</v>
      </c>
      <c r="G94" s="22">
        <f>INDEX(Data[],MATCH($A94,Data[Dist],0),MATCH(G$6,Data[#Headers],0))</f>
        <v>268296</v>
      </c>
      <c r="H94" s="22">
        <f>INDEX(Data[],MATCH($A94,Data[Dist],0),MATCH(H$6,Data[#Headers],0))-G94</f>
        <v>626028</v>
      </c>
      <c r="I94" s="25"/>
      <c r="J94" s="22">
        <f>INDEX(Notes!$I$2:$N$11,MATCH(Notes!$B$2,Notes!$I$2:$I$11,0),4)*$C94</f>
        <v>268296</v>
      </c>
      <c r="K94" s="22">
        <f>INDEX(Notes!$I$2:$N$11,MATCH(Notes!$B$2,Notes!$I$2:$I$11,0),5)*$D94</f>
        <v>0</v>
      </c>
      <c r="L94" s="22">
        <f>INDEX(Notes!$I$2:$N$11,MATCH(Notes!$B$2,Notes!$I$2:$I$11,0),6)*$E94</f>
        <v>0</v>
      </c>
      <c r="M94" s="22">
        <f>IF(Notes!$B$2="June",'Payment Total'!$F94,0)</f>
        <v>0</v>
      </c>
      <c r="N94" s="22">
        <f t="shared" si="4"/>
        <v>0</v>
      </c>
      <c r="P94" s="26" t="s">
        <v>930</v>
      </c>
      <c r="Q94" s="26">
        <v>89432</v>
      </c>
      <c r="R94" s="21" t="str">
        <f t="shared" si="5"/>
        <v>1782</v>
      </c>
      <c r="S94" s="44" t="str">
        <f t="shared" si="6"/>
        <v>1782</v>
      </c>
      <c r="T94" s="45">
        <f t="shared" si="7"/>
        <v>0</v>
      </c>
      <c r="V94" s="45"/>
    </row>
    <row r="95" spans="1:22" s="26" customFormat="1" ht="12.75" x14ac:dyDescent="0.2">
      <c r="A95" s="20" t="str">
        <f>Data!B90</f>
        <v>1791</v>
      </c>
      <c r="B95" s="21" t="str">
        <f>INDEX(Data[],MATCH($A95,Data[Dist],0),MATCH(B$6,Data[#Headers],0))</f>
        <v>Dike-New Hartford</v>
      </c>
      <c r="C95" s="22">
        <f>INDEX(Data[],MATCH($A95,Data[Dist],0),MATCH(C$6,Data[#Headers],0))</f>
        <v>626253</v>
      </c>
      <c r="D95" s="160">
        <f>INDEX(Data[],MATCH($A95,Data[Dist],0),MATCH(D$6,Data[#Headers],0))</f>
        <v>622898</v>
      </c>
      <c r="E95" s="160">
        <f>INDEX(Data[],MATCH($A95,Data[Dist],0),MATCH(E$6,Data[#Headers],0))</f>
        <v>622899</v>
      </c>
      <c r="F95" s="160">
        <f>INDEX(Data[],MATCH($A95,Data[Dist],0),MATCH(F$6,Data[#Headers],0))</f>
        <v>622897</v>
      </c>
      <c r="G95" s="22">
        <f>INDEX(Data[],MATCH($A95,Data[Dist],0),MATCH(G$6,Data[#Headers],0))</f>
        <v>1878759</v>
      </c>
      <c r="H95" s="22">
        <f>INDEX(Data[],MATCH($A95,Data[Dist],0),MATCH(H$6,Data[#Headers],0))-G95</f>
        <v>4383769</v>
      </c>
      <c r="I95" s="25"/>
      <c r="J95" s="22">
        <f>INDEX(Notes!$I$2:$N$11,MATCH(Notes!$B$2,Notes!$I$2:$I$11,0),4)*$C95</f>
        <v>1878759</v>
      </c>
      <c r="K95" s="22">
        <f>INDEX(Notes!$I$2:$N$11,MATCH(Notes!$B$2,Notes!$I$2:$I$11,0),5)*$D95</f>
        <v>0</v>
      </c>
      <c r="L95" s="22">
        <f>INDEX(Notes!$I$2:$N$11,MATCH(Notes!$B$2,Notes!$I$2:$I$11,0),6)*$E95</f>
        <v>0</v>
      </c>
      <c r="M95" s="22">
        <f>IF(Notes!$B$2="June",'Payment Total'!$F95,0)</f>
        <v>0</v>
      </c>
      <c r="N95" s="22">
        <f t="shared" si="4"/>
        <v>0</v>
      </c>
      <c r="P95" s="26" t="s">
        <v>931</v>
      </c>
      <c r="Q95" s="26">
        <v>626253</v>
      </c>
      <c r="R95" s="21" t="str">
        <f t="shared" si="5"/>
        <v>1791</v>
      </c>
      <c r="S95" s="44" t="str">
        <f t="shared" si="6"/>
        <v>1791</v>
      </c>
      <c r="T95" s="45">
        <f t="shared" si="7"/>
        <v>0</v>
      </c>
      <c r="V95" s="45"/>
    </row>
    <row r="96" spans="1:22" s="26" customFormat="1" ht="12.75" x14ac:dyDescent="0.2">
      <c r="A96" s="20" t="str">
        <f>Data!B91</f>
        <v>1863</v>
      </c>
      <c r="B96" s="21" t="str">
        <f>INDEX(Data[],MATCH($A96,Data[Dist],0),MATCH(B$6,Data[#Headers],0))</f>
        <v>Dubuque</v>
      </c>
      <c r="C96" s="22">
        <f>INDEX(Data[],MATCH($A96,Data[Dist],0),MATCH(C$6,Data[#Headers],0))</f>
        <v>7538201</v>
      </c>
      <c r="D96" s="160">
        <f>INDEX(Data[],MATCH($A96,Data[Dist],0),MATCH(D$6,Data[#Headers],0))</f>
        <v>7499673</v>
      </c>
      <c r="E96" s="160">
        <f>INDEX(Data[],MATCH($A96,Data[Dist],0),MATCH(E$6,Data[#Headers],0))</f>
        <v>7499672</v>
      </c>
      <c r="F96" s="160">
        <f>INDEX(Data[],MATCH($A96,Data[Dist],0),MATCH(F$6,Data[#Headers],0))</f>
        <v>7499673</v>
      </c>
      <c r="G96" s="22">
        <f>INDEX(Data[],MATCH($A96,Data[Dist],0),MATCH(G$6,Data[#Headers],0))</f>
        <v>22614603</v>
      </c>
      <c r="H96" s="22">
        <f>INDEX(Data[],MATCH($A96,Data[Dist],0),MATCH(H$6,Data[#Headers],0))-G96</f>
        <v>52767409</v>
      </c>
      <c r="I96" s="25"/>
      <c r="J96" s="22">
        <f>INDEX(Notes!$I$2:$N$11,MATCH(Notes!$B$2,Notes!$I$2:$I$11,0),4)*$C96</f>
        <v>22614603</v>
      </c>
      <c r="K96" s="22">
        <f>INDEX(Notes!$I$2:$N$11,MATCH(Notes!$B$2,Notes!$I$2:$I$11,0),5)*$D96</f>
        <v>0</v>
      </c>
      <c r="L96" s="22">
        <f>INDEX(Notes!$I$2:$N$11,MATCH(Notes!$B$2,Notes!$I$2:$I$11,0),6)*$E96</f>
        <v>0</v>
      </c>
      <c r="M96" s="22">
        <f>IF(Notes!$B$2="June",'Payment Total'!$F96,0)</f>
        <v>0</v>
      </c>
      <c r="N96" s="22">
        <f t="shared" si="4"/>
        <v>0</v>
      </c>
      <c r="P96" s="26" t="s">
        <v>932</v>
      </c>
      <c r="Q96" s="26">
        <v>7538201</v>
      </c>
      <c r="R96" s="21" t="str">
        <f t="shared" si="5"/>
        <v>1863</v>
      </c>
      <c r="S96" s="44" t="str">
        <f t="shared" si="6"/>
        <v>1863</v>
      </c>
      <c r="T96" s="45">
        <f t="shared" si="7"/>
        <v>0</v>
      </c>
      <c r="V96" s="45"/>
    </row>
    <row r="97" spans="1:22" s="26" customFormat="1" ht="12.75" x14ac:dyDescent="0.2">
      <c r="A97" s="20" t="str">
        <f>Data!B92</f>
        <v>1908</v>
      </c>
      <c r="B97" s="21" t="str">
        <f>INDEX(Data[],MATCH($A97,Data[Dist],0),MATCH(B$6,Data[#Headers],0))</f>
        <v>Dunkerton</v>
      </c>
      <c r="C97" s="22">
        <f>INDEX(Data[],MATCH($A97,Data[Dist],0),MATCH(C$6,Data[#Headers],0))</f>
        <v>254667</v>
      </c>
      <c r="D97" s="160">
        <f>INDEX(Data[],MATCH($A97,Data[Dist],0),MATCH(D$6,Data[#Headers],0))</f>
        <v>253265</v>
      </c>
      <c r="E97" s="160">
        <f>INDEX(Data[],MATCH($A97,Data[Dist],0),MATCH(E$6,Data[#Headers],0))</f>
        <v>253265</v>
      </c>
      <c r="F97" s="160">
        <f>INDEX(Data[],MATCH($A97,Data[Dist],0),MATCH(F$6,Data[#Headers],0))</f>
        <v>253263</v>
      </c>
      <c r="G97" s="22">
        <f>INDEX(Data[],MATCH($A97,Data[Dist],0),MATCH(G$6,Data[#Headers],0))</f>
        <v>764001</v>
      </c>
      <c r="H97" s="22">
        <f>INDEX(Data[],MATCH($A97,Data[Dist],0),MATCH(H$6,Data[#Headers],0))-G97</f>
        <v>1782664</v>
      </c>
      <c r="I97" s="25"/>
      <c r="J97" s="22">
        <f>INDEX(Notes!$I$2:$N$11,MATCH(Notes!$B$2,Notes!$I$2:$I$11,0),4)*$C97</f>
        <v>764001</v>
      </c>
      <c r="K97" s="22">
        <f>INDEX(Notes!$I$2:$N$11,MATCH(Notes!$B$2,Notes!$I$2:$I$11,0),5)*$D97</f>
        <v>0</v>
      </c>
      <c r="L97" s="22">
        <f>INDEX(Notes!$I$2:$N$11,MATCH(Notes!$B$2,Notes!$I$2:$I$11,0),6)*$E97</f>
        <v>0</v>
      </c>
      <c r="M97" s="22">
        <f>IF(Notes!$B$2="June",'Payment Total'!$F97,0)</f>
        <v>0</v>
      </c>
      <c r="N97" s="22">
        <f t="shared" si="4"/>
        <v>0</v>
      </c>
      <c r="P97" s="26" t="s">
        <v>933</v>
      </c>
      <c r="Q97" s="26">
        <v>254667</v>
      </c>
      <c r="R97" s="21" t="str">
        <f t="shared" si="5"/>
        <v>1908</v>
      </c>
      <c r="S97" s="44" t="str">
        <f t="shared" si="6"/>
        <v>1908</v>
      </c>
      <c r="T97" s="45">
        <f t="shared" si="7"/>
        <v>0</v>
      </c>
      <c r="V97" s="45"/>
    </row>
    <row r="98" spans="1:22" s="26" customFormat="1" ht="12.75" x14ac:dyDescent="0.2">
      <c r="A98" s="20" t="str">
        <f>Data!B93</f>
        <v>1917</v>
      </c>
      <c r="B98" s="21" t="str">
        <f>INDEX(Data[],MATCH($A98,Data[Dist],0),MATCH(B$6,Data[#Headers],0))</f>
        <v>Boyer Valley</v>
      </c>
      <c r="C98" s="22">
        <f>INDEX(Data[],MATCH($A98,Data[Dist],0),MATCH(C$6,Data[#Headers],0))</f>
        <v>210192</v>
      </c>
      <c r="D98" s="160">
        <f>INDEX(Data[],MATCH($A98,Data[Dist],0),MATCH(D$6,Data[#Headers],0))</f>
        <v>208740</v>
      </c>
      <c r="E98" s="160">
        <f>INDEX(Data[],MATCH($A98,Data[Dist],0),MATCH(E$6,Data[#Headers],0))</f>
        <v>208741</v>
      </c>
      <c r="F98" s="160">
        <f>INDEX(Data[],MATCH($A98,Data[Dist],0),MATCH(F$6,Data[#Headers],0))</f>
        <v>208739</v>
      </c>
      <c r="G98" s="22">
        <f>INDEX(Data[],MATCH($A98,Data[Dist],0),MATCH(G$6,Data[#Headers],0))</f>
        <v>630576</v>
      </c>
      <c r="H98" s="22">
        <f>INDEX(Data[],MATCH($A98,Data[Dist],0),MATCH(H$6,Data[#Headers],0))-G98</f>
        <v>1471344</v>
      </c>
      <c r="I98" s="25"/>
      <c r="J98" s="22">
        <f>INDEX(Notes!$I$2:$N$11,MATCH(Notes!$B$2,Notes!$I$2:$I$11,0),4)*$C98</f>
        <v>630576</v>
      </c>
      <c r="K98" s="22">
        <f>INDEX(Notes!$I$2:$N$11,MATCH(Notes!$B$2,Notes!$I$2:$I$11,0),5)*$D98</f>
        <v>0</v>
      </c>
      <c r="L98" s="22">
        <f>INDEX(Notes!$I$2:$N$11,MATCH(Notes!$B$2,Notes!$I$2:$I$11,0),6)*$E98</f>
        <v>0</v>
      </c>
      <c r="M98" s="22">
        <f>IF(Notes!$B$2="June",'Payment Total'!$F98,0)</f>
        <v>0</v>
      </c>
      <c r="N98" s="22">
        <f t="shared" si="4"/>
        <v>0</v>
      </c>
      <c r="P98" s="26" t="s">
        <v>934</v>
      </c>
      <c r="Q98" s="26">
        <v>210192</v>
      </c>
      <c r="R98" s="21" t="str">
        <f t="shared" si="5"/>
        <v>1917</v>
      </c>
      <c r="S98" s="44" t="str">
        <f t="shared" si="6"/>
        <v>1917</v>
      </c>
      <c r="T98" s="45">
        <f t="shared" si="7"/>
        <v>0</v>
      </c>
      <c r="V98" s="45"/>
    </row>
    <row r="99" spans="1:22" s="26" customFormat="1" ht="12.75" x14ac:dyDescent="0.2">
      <c r="A99" s="20" t="str">
        <f>Data!B94</f>
        <v>1926</v>
      </c>
      <c r="B99" s="21" t="str">
        <f>INDEX(Data[],MATCH($A99,Data[Dist],0),MATCH(B$6,Data[#Headers],0))</f>
        <v>Durant</v>
      </c>
      <c r="C99" s="22">
        <f>INDEX(Data[],MATCH($A99,Data[Dist],0),MATCH(C$6,Data[#Headers],0))</f>
        <v>327472</v>
      </c>
      <c r="D99" s="160">
        <f>INDEX(Data[],MATCH($A99,Data[Dist],0),MATCH(D$6,Data[#Headers],0))</f>
        <v>325544</v>
      </c>
      <c r="E99" s="160">
        <f>INDEX(Data[],MATCH($A99,Data[Dist],0),MATCH(E$6,Data[#Headers],0))</f>
        <v>325544</v>
      </c>
      <c r="F99" s="160">
        <f>INDEX(Data[],MATCH($A99,Data[Dist],0),MATCH(F$6,Data[#Headers],0))</f>
        <v>325545</v>
      </c>
      <c r="G99" s="22">
        <f>INDEX(Data[],MATCH($A99,Data[Dist],0),MATCH(G$6,Data[#Headers],0))</f>
        <v>982416</v>
      </c>
      <c r="H99" s="22">
        <f>INDEX(Data[],MATCH($A99,Data[Dist],0),MATCH(H$6,Data[#Headers],0))-G99</f>
        <v>2292302</v>
      </c>
      <c r="I99" s="25"/>
      <c r="J99" s="22">
        <f>INDEX(Notes!$I$2:$N$11,MATCH(Notes!$B$2,Notes!$I$2:$I$11,0),4)*$C99</f>
        <v>982416</v>
      </c>
      <c r="K99" s="22">
        <f>INDEX(Notes!$I$2:$N$11,MATCH(Notes!$B$2,Notes!$I$2:$I$11,0),5)*$D99</f>
        <v>0</v>
      </c>
      <c r="L99" s="22">
        <f>INDEX(Notes!$I$2:$N$11,MATCH(Notes!$B$2,Notes!$I$2:$I$11,0),6)*$E99</f>
        <v>0</v>
      </c>
      <c r="M99" s="22">
        <f>IF(Notes!$B$2="June",'Payment Total'!$F99,0)</f>
        <v>0</v>
      </c>
      <c r="N99" s="22">
        <f t="shared" si="4"/>
        <v>0</v>
      </c>
      <c r="P99" s="26" t="s">
        <v>935</v>
      </c>
      <c r="Q99" s="26">
        <v>327472</v>
      </c>
      <c r="R99" s="21" t="str">
        <f t="shared" si="5"/>
        <v>1926</v>
      </c>
      <c r="S99" s="44" t="str">
        <f t="shared" si="6"/>
        <v>1926</v>
      </c>
      <c r="T99" s="45">
        <f t="shared" si="7"/>
        <v>0</v>
      </c>
      <c r="V99" s="45"/>
    </row>
    <row r="100" spans="1:22" s="26" customFormat="1" ht="12.75" x14ac:dyDescent="0.2">
      <c r="A100" s="20" t="str">
        <f>Data!B95</f>
        <v>1935</v>
      </c>
      <c r="B100" s="21" t="str">
        <f>INDEX(Data[],MATCH($A100,Data[Dist],0),MATCH(B$6,Data[#Headers],0))</f>
        <v>Union</v>
      </c>
      <c r="C100" s="22">
        <f>INDEX(Data[],MATCH($A100,Data[Dist],0),MATCH(C$6,Data[#Headers],0))</f>
        <v>647039</v>
      </c>
      <c r="D100" s="160">
        <f>INDEX(Data[],MATCH($A100,Data[Dist],0),MATCH(D$6,Data[#Headers],0))</f>
        <v>643343</v>
      </c>
      <c r="E100" s="160">
        <f>INDEX(Data[],MATCH($A100,Data[Dist],0),MATCH(E$6,Data[#Headers],0))</f>
        <v>643343</v>
      </c>
      <c r="F100" s="160">
        <f>INDEX(Data[],MATCH($A100,Data[Dist],0),MATCH(F$6,Data[#Headers],0))</f>
        <v>643341</v>
      </c>
      <c r="G100" s="22">
        <f>INDEX(Data[],MATCH($A100,Data[Dist],0),MATCH(G$6,Data[#Headers],0))</f>
        <v>1941117</v>
      </c>
      <c r="H100" s="22">
        <f>INDEX(Data[],MATCH($A100,Data[Dist],0),MATCH(H$6,Data[#Headers],0))-G100</f>
        <v>4529273</v>
      </c>
      <c r="I100" s="25"/>
      <c r="J100" s="22">
        <f>INDEX(Notes!$I$2:$N$11,MATCH(Notes!$B$2,Notes!$I$2:$I$11,0),4)*$C100</f>
        <v>1941117</v>
      </c>
      <c r="K100" s="22">
        <f>INDEX(Notes!$I$2:$N$11,MATCH(Notes!$B$2,Notes!$I$2:$I$11,0),5)*$D100</f>
        <v>0</v>
      </c>
      <c r="L100" s="22">
        <f>INDEX(Notes!$I$2:$N$11,MATCH(Notes!$B$2,Notes!$I$2:$I$11,0),6)*$E100</f>
        <v>0</v>
      </c>
      <c r="M100" s="22">
        <f>IF(Notes!$B$2="June",'Payment Total'!$F100,0)</f>
        <v>0</v>
      </c>
      <c r="N100" s="22">
        <f t="shared" si="4"/>
        <v>0</v>
      </c>
      <c r="P100" s="26" t="s">
        <v>936</v>
      </c>
      <c r="Q100" s="26">
        <v>647039</v>
      </c>
      <c r="R100" s="21" t="str">
        <f t="shared" si="5"/>
        <v>6536</v>
      </c>
      <c r="S100" s="44" t="str">
        <f t="shared" si="6"/>
        <v>1935</v>
      </c>
      <c r="T100" s="45">
        <f t="shared" si="7"/>
        <v>0</v>
      </c>
      <c r="V100" s="45"/>
    </row>
    <row r="101" spans="1:22" s="26" customFormat="1" ht="12.75" x14ac:dyDescent="0.2">
      <c r="A101" s="20" t="str">
        <f>Data!B96</f>
        <v>1944</v>
      </c>
      <c r="B101" s="21" t="str">
        <f>INDEX(Data[],MATCH($A101,Data[Dist],0),MATCH(B$6,Data[#Headers],0))</f>
        <v>Eagle Grove</v>
      </c>
      <c r="C101" s="22">
        <f>INDEX(Data[],MATCH($A101,Data[Dist],0),MATCH(C$6,Data[#Headers],0))</f>
        <v>748124</v>
      </c>
      <c r="D101" s="160">
        <f>INDEX(Data[],MATCH($A101,Data[Dist],0),MATCH(D$6,Data[#Headers],0))</f>
        <v>744479</v>
      </c>
      <c r="E101" s="160">
        <f>INDEX(Data[],MATCH($A101,Data[Dist],0),MATCH(E$6,Data[#Headers],0))</f>
        <v>744479</v>
      </c>
      <c r="F101" s="160">
        <f>INDEX(Data[],MATCH($A101,Data[Dist],0),MATCH(F$6,Data[#Headers],0))</f>
        <v>744479</v>
      </c>
      <c r="G101" s="22">
        <f>INDEX(Data[],MATCH($A101,Data[Dist],0),MATCH(G$6,Data[#Headers],0))</f>
        <v>2244372</v>
      </c>
      <c r="H101" s="22">
        <f>INDEX(Data[],MATCH($A101,Data[Dist],0),MATCH(H$6,Data[#Headers],0))-G101</f>
        <v>5236865</v>
      </c>
      <c r="I101" s="25"/>
      <c r="J101" s="22">
        <f>INDEX(Notes!$I$2:$N$11,MATCH(Notes!$B$2,Notes!$I$2:$I$11,0),4)*$C101</f>
        <v>2244372</v>
      </c>
      <c r="K101" s="22">
        <f>INDEX(Notes!$I$2:$N$11,MATCH(Notes!$B$2,Notes!$I$2:$I$11,0),5)*$D101</f>
        <v>0</v>
      </c>
      <c r="L101" s="22">
        <f>INDEX(Notes!$I$2:$N$11,MATCH(Notes!$B$2,Notes!$I$2:$I$11,0),6)*$E101</f>
        <v>0</v>
      </c>
      <c r="M101" s="22">
        <f>IF(Notes!$B$2="June",'Payment Total'!$F101,0)</f>
        <v>0</v>
      </c>
      <c r="N101" s="22">
        <f t="shared" si="4"/>
        <v>0</v>
      </c>
      <c r="P101" s="26" t="s">
        <v>937</v>
      </c>
      <c r="Q101" s="26">
        <v>748124</v>
      </c>
      <c r="R101" s="21" t="str">
        <f t="shared" si="5"/>
        <v>1944</v>
      </c>
      <c r="S101" s="44" t="str">
        <f t="shared" si="6"/>
        <v>1944</v>
      </c>
      <c r="T101" s="45">
        <f t="shared" si="7"/>
        <v>0</v>
      </c>
      <c r="V101" s="45"/>
    </row>
    <row r="102" spans="1:22" s="26" customFormat="1" ht="12.75" x14ac:dyDescent="0.2">
      <c r="A102" s="20" t="str">
        <f>Data!B97</f>
        <v>1953</v>
      </c>
      <c r="B102" s="21" t="str">
        <f>INDEX(Data[],MATCH($A102,Data[Dist],0),MATCH(B$6,Data[#Headers],0))</f>
        <v>Earlham</v>
      </c>
      <c r="C102" s="22">
        <f>INDEX(Data[],MATCH($A102,Data[Dist],0),MATCH(C$6,Data[#Headers],0))</f>
        <v>374599</v>
      </c>
      <c r="D102" s="160">
        <f>INDEX(Data[],MATCH($A102,Data[Dist],0),MATCH(D$6,Data[#Headers],0))</f>
        <v>372447</v>
      </c>
      <c r="E102" s="160">
        <f>INDEX(Data[],MATCH($A102,Data[Dist],0),MATCH(E$6,Data[#Headers],0))</f>
        <v>372447</v>
      </c>
      <c r="F102" s="160">
        <f>INDEX(Data[],MATCH($A102,Data[Dist],0),MATCH(F$6,Data[#Headers],0))</f>
        <v>372445</v>
      </c>
      <c r="G102" s="22">
        <f>INDEX(Data[],MATCH($A102,Data[Dist],0),MATCH(G$6,Data[#Headers],0))</f>
        <v>1123797</v>
      </c>
      <c r="H102" s="22">
        <f>INDEX(Data[],MATCH($A102,Data[Dist],0),MATCH(H$6,Data[#Headers],0))-G102</f>
        <v>2622195</v>
      </c>
      <c r="I102" s="25"/>
      <c r="J102" s="22">
        <f>INDEX(Notes!$I$2:$N$11,MATCH(Notes!$B$2,Notes!$I$2:$I$11,0),4)*$C102</f>
        <v>1123797</v>
      </c>
      <c r="K102" s="22">
        <f>INDEX(Notes!$I$2:$N$11,MATCH(Notes!$B$2,Notes!$I$2:$I$11,0),5)*$D102</f>
        <v>0</v>
      </c>
      <c r="L102" s="22">
        <f>INDEX(Notes!$I$2:$N$11,MATCH(Notes!$B$2,Notes!$I$2:$I$11,0),6)*$E102</f>
        <v>0</v>
      </c>
      <c r="M102" s="22">
        <f>IF(Notes!$B$2="June",'Payment Total'!$F102,0)</f>
        <v>0</v>
      </c>
      <c r="N102" s="22">
        <f t="shared" si="4"/>
        <v>0</v>
      </c>
      <c r="P102" s="26" t="s">
        <v>938</v>
      </c>
      <c r="Q102" s="26">
        <v>374599</v>
      </c>
      <c r="R102" s="21" t="str">
        <f t="shared" si="5"/>
        <v>1953</v>
      </c>
      <c r="S102" s="44" t="str">
        <f t="shared" si="6"/>
        <v>1953</v>
      </c>
      <c r="T102" s="45">
        <f t="shared" si="7"/>
        <v>0</v>
      </c>
      <c r="V102" s="45"/>
    </row>
    <row r="103" spans="1:22" s="26" customFormat="1" ht="12.75" x14ac:dyDescent="0.2">
      <c r="A103" s="20" t="str">
        <f>Data!B98</f>
        <v>1963</v>
      </c>
      <c r="B103" s="21" t="str">
        <f>INDEX(Data[],MATCH($A103,Data[Dist],0),MATCH(B$6,Data[#Headers],0))</f>
        <v>East Buchanan</v>
      </c>
      <c r="C103" s="22">
        <f>INDEX(Data[],MATCH($A103,Data[Dist],0),MATCH(C$6,Data[#Headers],0))</f>
        <v>387277</v>
      </c>
      <c r="D103" s="160">
        <f>INDEX(Data[],MATCH($A103,Data[Dist],0),MATCH(D$6,Data[#Headers],0))</f>
        <v>385203</v>
      </c>
      <c r="E103" s="160">
        <f>INDEX(Data[],MATCH($A103,Data[Dist],0),MATCH(E$6,Data[#Headers],0))</f>
        <v>385202</v>
      </c>
      <c r="F103" s="160">
        <f>INDEX(Data[],MATCH($A103,Data[Dist],0),MATCH(F$6,Data[#Headers],0))</f>
        <v>385203</v>
      </c>
      <c r="G103" s="22">
        <f>INDEX(Data[],MATCH($A103,Data[Dist],0),MATCH(G$6,Data[#Headers],0))</f>
        <v>1161831</v>
      </c>
      <c r="H103" s="22">
        <f>INDEX(Data[],MATCH($A103,Data[Dist],0),MATCH(H$6,Data[#Headers],0))-G103</f>
        <v>2710939</v>
      </c>
      <c r="I103" s="25"/>
      <c r="J103" s="22">
        <f>INDEX(Notes!$I$2:$N$11,MATCH(Notes!$B$2,Notes!$I$2:$I$11,0),4)*$C103</f>
        <v>1161831</v>
      </c>
      <c r="K103" s="22">
        <f>INDEX(Notes!$I$2:$N$11,MATCH(Notes!$B$2,Notes!$I$2:$I$11,0),5)*$D103</f>
        <v>0</v>
      </c>
      <c r="L103" s="22">
        <f>INDEX(Notes!$I$2:$N$11,MATCH(Notes!$B$2,Notes!$I$2:$I$11,0),6)*$E103</f>
        <v>0</v>
      </c>
      <c r="M103" s="22">
        <f>IF(Notes!$B$2="June",'Payment Total'!$F103,0)</f>
        <v>0</v>
      </c>
      <c r="N103" s="22">
        <f t="shared" si="4"/>
        <v>0</v>
      </c>
      <c r="P103" s="26" t="s">
        <v>939</v>
      </c>
      <c r="Q103" s="26">
        <v>387277</v>
      </c>
      <c r="R103" s="21" t="str">
        <f t="shared" si="5"/>
        <v>1963</v>
      </c>
      <c r="S103" s="44" t="str">
        <f t="shared" si="6"/>
        <v>1963</v>
      </c>
      <c r="T103" s="45">
        <f t="shared" si="7"/>
        <v>0</v>
      </c>
      <c r="V103" s="45"/>
    </row>
    <row r="104" spans="1:22" s="26" customFormat="1" ht="12.75" x14ac:dyDescent="0.2">
      <c r="A104" s="20" t="str">
        <f>Data!B99</f>
        <v>1965</v>
      </c>
      <c r="B104" s="21" t="str">
        <f>INDEX(Data[],MATCH($A104,Data[Dist],0),MATCH(B$6,Data[#Headers],0))</f>
        <v>Easton Valley</v>
      </c>
      <c r="C104" s="22">
        <f>INDEX(Data[],MATCH($A104,Data[Dist],0),MATCH(C$6,Data[#Headers],0))</f>
        <v>395564</v>
      </c>
      <c r="D104" s="160">
        <f>INDEX(Data[],MATCH($A104,Data[Dist],0),MATCH(D$6,Data[#Headers],0))</f>
        <v>393460</v>
      </c>
      <c r="E104" s="160">
        <f>INDEX(Data[],MATCH($A104,Data[Dist],0),MATCH(E$6,Data[#Headers],0))</f>
        <v>393461</v>
      </c>
      <c r="F104" s="160">
        <f>INDEX(Data[],MATCH($A104,Data[Dist],0),MATCH(F$6,Data[#Headers],0))</f>
        <v>393459</v>
      </c>
      <c r="G104" s="22">
        <f>INDEX(Data[],MATCH($A104,Data[Dist],0),MATCH(G$6,Data[#Headers],0))</f>
        <v>1186692</v>
      </c>
      <c r="H104" s="22">
        <f>INDEX(Data[],MATCH($A104,Data[Dist],0),MATCH(H$6,Data[#Headers],0))-G104</f>
        <v>2768950</v>
      </c>
      <c r="I104" s="25"/>
      <c r="J104" s="22">
        <f>INDEX(Notes!$I$2:$N$11,MATCH(Notes!$B$2,Notes!$I$2:$I$11,0),4)*$C104</f>
        <v>1186692</v>
      </c>
      <c r="K104" s="22">
        <f>INDEX(Notes!$I$2:$N$11,MATCH(Notes!$B$2,Notes!$I$2:$I$11,0),5)*$D104</f>
        <v>0</v>
      </c>
      <c r="L104" s="22">
        <f>INDEX(Notes!$I$2:$N$11,MATCH(Notes!$B$2,Notes!$I$2:$I$11,0),6)*$E104</f>
        <v>0</v>
      </c>
      <c r="M104" s="22">
        <f>IF(Notes!$B$2="June",'Payment Total'!$F104,0)</f>
        <v>0</v>
      </c>
      <c r="N104" s="22">
        <f t="shared" si="4"/>
        <v>0</v>
      </c>
      <c r="P104" s="26" t="s">
        <v>940</v>
      </c>
      <c r="Q104" s="26">
        <v>395564</v>
      </c>
      <c r="R104" s="21" t="str">
        <f t="shared" si="5"/>
        <v>1965</v>
      </c>
      <c r="S104" s="44" t="str">
        <f t="shared" si="6"/>
        <v>1965</v>
      </c>
      <c r="T104" s="45">
        <f t="shared" si="7"/>
        <v>0</v>
      </c>
      <c r="V104" s="45"/>
    </row>
    <row r="105" spans="1:22" s="26" customFormat="1" ht="12.75" x14ac:dyDescent="0.2">
      <c r="A105" s="20" t="str">
        <f>Data!B100</f>
        <v>1970</v>
      </c>
      <c r="B105" s="21" t="str">
        <f>INDEX(Data[],MATCH($A105,Data[Dist],0),MATCH(B$6,Data[#Headers],0))</f>
        <v>East Union</v>
      </c>
      <c r="C105" s="22">
        <f>INDEX(Data[],MATCH($A105,Data[Dist],0),MATCH(C$6,Data[#Headers],0))</f>
        <v>367703</v>
      </c>
      <c r="D105" s="160">
        <f>INDEX(Data[],MATCH($A105,Data[Dist],0),MATCH(D$6,Data[#Headers],0))</f>
        <v>365894</v>
      </c>
      <c r="E105" s="160">
        <f>INDEX(Data[],MATCH($A105,Data[Dist],0),MATCH(E$6,Data[#Headers],0))</f>
        <v>365894</v>
      </c>
      <c r="F105" s="160">
        <f>INDEX(Data[],MATCH($A105,Data[Dist],0),MATCH(F$6,Data[#Headers],0))</f>
        <v>365892</v>
      </c>
      <c r="G105" s="22">
        <f>INDEX(Data[],MATCH($A105,Data[Dist],0),MATCH(G$6,Data[#Headers],0))</f>
        <v>1103109</v>
      </c>
      <c r="H105" s="22">
        <f>INDEX(Data[],MATCH($A105,Data[Dist],0),MATCH(H$6,Data[#Headers],0))-G105</f>
        <v>2573918</v>
      </c>
      <c r="I105" s="25"/>
      <c r="J105" s="22">
        <f>INDEX(Notes!$I$2:$N$11,MATCH(Notes!$B$2,Notes!$I$2:$I$11,0),4)*$C105</f>
        <v>1103109</v>
      </c>
      <c r="K105" s="22">
        <f>INDEX(Notes!$I$2:$N$11,MATCH(Notes!$B$2,Notes!$I$2:$I$11,0),5)*$D105</f>
        <v>0</v>
      </c>
      <c r="L105" s="22">
        <f>INDEX(Notes!$I$2:$N$11,MATCH(Notes!$B$2,Notes!$I$2:$I$11,0),6)*$E105</f>
        <v>0</v>
      </c>
      <c r="M105" s="22">
        <f>IF(Notes!$B$2="June",'Payment Total'!$F105,0)</f>
        <v>0</v>
      </c>
      <c r="N105" s="22">
        <f t="shared" si="4"/>
        <v>0</v>
      </c>
      <c r="P105" s="26" t="s">
        <v>941</v>
      </c>
      <c r="Q105" s="26">
        <v>367703</v>
      </c>
      <c r="R105" s="21" t="str">
        <f t="shared" si="5"/>
        <v>1970</v>
      </c>
      <c r="S105" s="44" t="str">
        <f t="shared" si="6"/>
        <v>1970</v>
      </c>
      <c r="T105" s="45">
        <f t="shared" si="7"/>
        <v>0</v>
      </c>
      <c r="V105" s="45"/>
    </row>
    <row r="106" spans="1:22" s="26" customFormat="1" ht="12.75" x14ac:dyDescent="0.2">
      <c r="A106" s="20" t="str">
        <f>Data!B101</f>
        <v>1972</v>
      </c>
      <c r="B106" s="21" t="str">
        <f>INDEX(Data[],MATCH($A106,Data[Dist],0),MATCH(B$6,Data[#Headers],0))</f>
        <v>Eastern Allamakee</v>
      </c>
      <c r="C106" s="22">
        <f>INDEX(Data[],MATCH($A106,Data[Dist],0),MATCH(C$6,Data[#Headers],0))</f>
        <v>195187</v>
      </c>
      <c r="D106" s="160">
        <f>INDEX(Data[],MATCH($A106,Data[Dist],0),MATCH(D$6,Data[#Headers],0))</f>
        <v>193919</v>
      </c>
      <c r="E106" s="160">
        <f>INDEX(Data[],MATCH($A106,Data[Dist],0),MATCH(E$6,Data[#Headers],0))</f>
        <v>193919</v>
      </c>
      <c r="F106" s="160">
        <f>INDEX(Data[],MATCH($A106,Data[Dist],0),MATCH(F$6,Data[#Headers],0))</f>
        <v>193920</v>
      </c>
      <c r="G106" s="22">
        <f>INDEX(Data[],MATCH($A106,Data[Dist],0),MATCH(G$6,Data[#Headers],0))</f>
        <v>585561</v>
      </c>
      <c r="H106" s="22">
        <f>INDEX(Data[],MATCH($A106,Data[Dist],0),MATCH(H$6,Data[#Headers],0))-G106</f>
        <v>1366312</v>
      </c>
      <c r="I106" s="25"/>
      <c r="J106" s="22">
        <f>INDEX(Notes!$I$2:$N$11,MATCH(Notes!$B$2,Notes!$I$2:$I$11,0),4)*$C106</f>
        <v>585561</v>
      </c>
      <c r="K106" s="22">
        <f>INDEX(Notes!$I$2:$N$11,MATCH(Notes!$B$2,Notes!$I$2:$I$11,0),5)*$D106</f>
        <v>0</v>
      </c>
      <c r="L106" s="22">
        <f>INDEX(Notes!$I$2:$N$11,MATCH(Notes!$B$2,Notes!$I$2:$I$11,0),6)*$E106</f>
        <v>0</v>
      </c>
      <c r="M106" s="22">
        <f>IF(Notes!$B$2="June",'Payment Total'!$F106,0)</f>
        <v>0</v>
      </c>
      <c r="N106" s="22">
        <f t="shared" si="4"/>
        <v>0</v>
      </c>
      <c r="P106" s="26" t="s">
        <v>942</v>
      </c>
      <c r="Q106" s="26">
        <v>195187</v>
      </c>
      <c r="R106" s="21" t="str">
        <f t="shared" si="5"/>
        <v>1972</v>
      </c>
      <c r="S106" s="44" t="str">
        <f t="shared" si="6"/>
        <v>1972</v>
      </c>
      <c r="T106" s="45">
        <f t="shared" si="7"/>
        <v>0</v>
      </c>
      <c r="V106" s="45"/>
    </row>
    <row r="107" spans="1:22" s="26" customFormat="1" ht="12.75" x14ac:dyDescent="0.2">
      <c r="A107" s="20" t="str">
        <f>Data!B102</f>
        <v>1975</v>
      </c>
      <c r="B107" s="21" t="str">
        <f>INDEX(Data[],MATCH($A107,Data[Dist],0),MATCH(B$6,Data[#Headers],0))</f>
        <v>River Valley</v>
      </c>
      <c r="C107" s="22">
        <f>INDEX(Data[],MATCH($A107,Data[Dist],0),MATCH(C$6,Data[#Headers],0))</f>
        <v>222242</v>
      </c>
      <c r="D107" s="160">
        <f>INDEX(Data[],MATCH($A107,Data[Dist],0),MATCH(D$6,Data[#Headers],0))</f>
        <v>220816</v>
      </c>
      <c r="E107" s="160">
        <f>INDEX(Data[],MATCH($A107,Data[Dist],0),MATCH(E$6,Data[#Headers],0))</f>
        <v>220816</v>
      </c>
      <c r="F107" s="160">
        <f>INDEX(Data[],MATCH($A107,Data[Dist],0),MATCH(F$6,Data[#Headers],0))</f>
        <v>220814</v>
      </c>
      <c r="G107" s="22">
        <f>INDEX(Data[],MATCH($A107,Data[Dist],0),MATCH(G$6,Data[#Headers],0))</f>
        <v>666726</v>
      </c>
      <c r="H107" s="22">
        <f>INDEX(Data[],MATCH($A107,Data[Dist],0),MATCH(H$6,Data[#Headers],0))-G107</f>
        <v>1555690</v>
      </c>
      <c r="I107" s="25"/>
      <c r="J107" s="22">
        <f>INDEX(Notes!$I$2:$N$11,MATCH(Notes!$B$2,Notes!$I$2:$I$11,0),4)*$C107</f>
        <v>666726</v>
      </c>
      <c r="K107" s="22">
        <f>INDEX(Notes!$I$2:$N$11,MATCH(Notes!$B$2,Notes!$I$2:$I$11,0),5)*$D107</f>
        <v>0</v>
      </c>
      <c r="L107" s="22">
        <f>INDEX(Notes!$I$2:$N$11,MATCH(Notes!$B$2,Notes!$I$2:$I$11,0),6)*$E107</f>
        <v>0</v>
      </c>
      <c r="M107" s="22">
        <f>IF(Notes!$B$2="June",'Payment Total'!$F107,0)</f>
        <v>0</v>
      </c>
      <c r="N107" s="22">
        <f t="shared" si="4"/>
        <v>0</v>
      </c>
      <c r="P107" s="26" t="s">
        <v>943</v>
      </c>
      <c r="Q107" s="26">
        <v>222242</v>
      </c>
      <c r="R107" s="21" t="str">
        <f t="shared" si="5"/>
        <v>1975</v>
      </c>
      <c r="S107" s="44" t="str">
        <f t="shared" si="6"/>
        <v>1975</v>
      </c>
      <c r="T107" s="45">
        <f t="shared" si="7"/>
        <v>0</v>
      </c>
      <c r="V107" s="45"/>
    </row>
    <row r="108" spans="1:22" s="26" customFormat="1" ht="12.75" x14ac:dyDescent="0.2">
      <c r="A108" s="20" t="str">
        <f>Data!B103</f>
        <v>1989</v>
      </c>
      <c r="B108" s="21" t="str">
        <f>INDEX(Data[],MATCH($A108,Data[Dist],0),MATCH(B$6,Data[#Headers],0))</f>
        <v>Edgewood-Colesburg</v>
      </c>
      <c r="C108" s="22">
        <f>INDEX(Data[],MATCH($A108,Data[Dist],0),MATCH(C$6,Data[#Headers],0))</f>
        <v>261152</v>
      </c>
      <c r="D108" s="160">
        <f>INDEX(Data[],MATCH($A108,Data[Dist],0),MATCH(D$6,Data[#Headers],0))</f>
        <v>259616</v>
      </c>
      <c r="E108" s="160">
        <f>INDEX(Data[],MATCH($A108,Data[Dist],0),MATCH(E$6,Data[#Headers],0))</f>
        <v>259616</v>
      </c>
      <c r="F108" s="160">
        <f>INDEX(Data[],MATCH($A108,Data[Dist],0),MATCH(F$6,Data[#Headers],0))</f>
        <v>259617</v>
      </c>
      <c r="G108" s="22">
        <f>INDEX(Data[],MATCH($A108,Data[Dist],0),MATCH(G$6,Data[#Headers],0))</f>
        <v>783456</v>
      </c>
      <c r="H108" s="22">
        <f>INDEX(Data[],MATCH($A108,Data[Dist],0),MATCH(H$6,Data[#Headers],0))-G108</f>
        <v>1828060</v>
      </c>
      <c r="I108" s="25"/>
      <c r="J108" s="22">
        <f>INDEX(Notes!$I$2:$N$11,MATCH(Notes!$B$2,Notes!$I$2:$I$11,0),4)*$C108</f>
        <v>783456</v>
      </c>
      <c r="K108" s="22">
        <f>INDEX(Notes!$I$2:$N$11,MATCH(Notes!$B$2,Notes!$I$2:$I$11,0),5)*$D108</f>
        <v>0</v>
      </c>
      <c r="L108" s="22">
        <f>INDEX(Notes!$I$2:$N$11,MATCH(Notes!$B$2,Notes!$I$2:$I$11,0),6)*$E108</f>
        <v>0</v>
      </c>
      <c r="M108" s="22">
        <f>IF(Notes!$B$2="June",'Payment Total'!$F108,0)</f>
        <v>0</v>
      </c>
      <c r="N108" s="22">
        <f t="shared" si="4"/>
        <v>0</v>
      </c>
      <c r="P108" s="26" t="s">
        <v>944</v>
      </c>
      <c r="Q108" s="26">
        <v>261152</v>
      </c>
      <c r="R108" s="21" t="str">
        <f t="shared" si="5"/>
        <v>1989</v>
      </c>
      <c r="S108" s="44" t="str">
        <f t="shared" si="6"/>
        <v>1989</v>
      </c>
      <c r="T108" s="45">
        <f t="shared" si="7"/>
        <v>0</v>
      </c>
      <c r="V108" s="45"/>
    </row>
    <row r="109" spans="1:22" s="26" customFormat="1" ht="12.75" x14ac:dyDescent="0.2">
      <c r="A109" s="20" t="str">
        <f>Data!B104</f>
        <v>2007</v>
      </c>
      <c r="B109" s="21" t="str">
        <f>INDEX(Data[],MATCH($A109,Data[Dist],0),MATCH(B$6,Data[#Headers],0))</f>
        <v>Eldora-New Providence</v>
      </c>
      <c r="C109" s="22">
        <f>INDEX(Data[],MATCH($A109,Data[Dist],0),MATCH(C$6,Data[#Headers],0))</f>
        <v>428875</v>
      </c>
      <c r="D109" s="160">
        <f>INDEX(Data[],MATCH($A109,Data[Dist],0),MATCH(D$6,Data[#Headers],0))</f>
        <v>426729</v>
      </c>
      <c r="E109" s="160">
        <f>INDEX(Data[],MATCH($A109,Data[Dist],0),MATCH(E$6,Data[#Headers],0))</f>
        <v>426729</v>
      </c>
      <c r="F109" s="160">
        <f>INDEX(Data[],MATCH($A109,Data[Dist],0),MATCH(F$6,Data[#Headers],0))</f>
        <v>426729</v>
      </c>
      <c r="G109" s="22">
        <f>INDEX(Data[],MATCH($A109,Data[Dist],0),MATCH(G$6,Data[#Headers],0))</f>
        <v>1286625</v>
      </c>
      <c r="H109" s="22">
        <f>INDEX(Data[],MATCH($A109,Data[Dist],0),MATCH(H$6,Data[#Headers],0))-G109</f>
        <v>3002128</v>
      </c>
      <c r="I109" s="25"/>
      <c r="J109" s="22">
        <f>INDEX(Notes!$I$2:$N$11,MATCH(Notes!$B$2,Notes!$I$2:$I$11,0),4)*$C109</f>
        <v>1286625</v>
      </c>
      <c r="K109" s="22">
        <f>INDEX(Notes!$I$2:$N$11,MATCH(Notes!$B$2,Notes!$I$2:$I$11,0),5)*$D109</f>
        <v>0</v>
      </c>
      <c r="L109" s="22">
        <f>INDEX(Notes!$I$2:$N$11,MATCH(Notes!$B$2,Notes!$I$2:$I$11,0),6)*$E109</f>
        <v>0</v>
      </c>
      <c r="M109" s="22">
        <f>IF(Notes!$B$2="June",'Payment Total'!$F109,0)</f>
        <v>0</v>
      </c>
      <c r="N109" s="22">
        <f t="shared" si="4"/>
        <v>0</v>
      </c>
      <c r="P109" s="26" t="s">
        <v>945</v>
      </c>
      <c r="Q109" s="26">
        <v>428875</v>
      </c>
      <c r="R109" s="21" t="str">
        <f t="shared" si="5"/>
        <v>2007</v>
      </c>
      <c r="S109" s="44" t="str">
        <f t="shared" si="6"/>
        <v>2007</v>
      </c>
      <c r="T109" s="45">
        <f t="shared" si="7"/>
        <v>0</v>
      </c>
      <c r="V109" s="45"/>
    </row>
    <row r="110" spans="1:22" s="26" customFormat="1" ht="12.75" x14ac:dyDescent="0.2">
      <c r="A110" s="20" t="str">
        <f>Data!B105</f>
        <v>2088</v>
      </c>
      <c r="B110" s="21" t="str">
        <f>INDEX(Data[],MATCH($A110,Data[Dist],0),MATCH(B$6,Data[#Headers],0))</f>
        <v>Emmetsburg</v>
      </c>
      <c r="C110" s="22">
        <f>INDEX(Data[],MATCH($A110,Data[Dist],0),MATCH(C$6,Data[#Headers],0))</f>
        <v>413110</v>
      </c>
      <c r="D110" s="160">
        <f>INDEX(Data[],MATCH($A110,Data[Dist],0),MATCH(D$6,Data[#Headers],0))</f>
        <v>410563</v>
      </c>
      <c r="E110" s="160">
        <f>INDEX(Data[],MATCH($A110,Data[Dist],0),MATCH(E$6,Data[#Headers],0))</f>
        <v>410562</v>
      </c>
      <c r="F110" s="160">
        <f>INDEX(Data[],MATCH($A110,Data[Dist],0),MATCH(F$6,Data[#Headers],0))</f>
        <v>410563</v>
      </c>
      <c r="G110" s="22">
        <f>INDEX(Data[],MATCH($A110,Data[Dist],0),MATCH(G$6,Data[#Headers],0))</f>
        <v>1239330</v>
      </c>
      <c r="H110" s="22">
        <f>INDEX(Data[],MATCH($A110,Data[Dist],0),MATCH(H$6,Data[#Headers],0))-G110</f>
        <v>2891765</v>
      </c>
      <c r="I110" s="25"/>
      <c r="J110" s="22">
        <f>INDEX(Notes!$I$2:$N$11,MATCH(Notes!$B$2,Notes!$I$2:$I$11,0),4)*$C110</f>
        <v>1239330</v>
      </c>
      <c r="K110" s="22">
        <f>INDEX(Notes!$I$2:$N$11,MATCH(Notes!$B$2,Notes!$I$2:$I$11,0),5)*$D110</f>
        <v>0</v>
      </c>
      <c r="L110" s="22">
        <f>INDEX(Notes!$I$2:$N$11,MATCH(Notes!$B$2,Notes!$I$2:$I$11,0),6)*$E110</f>
        <v>0</v>
      </c>
      <c r="M110" s="22">
        <f>IF(Notes!$B$2="June",'Payment Total'!$F110,0)</f>
        <v>0</v>
      </c>
      <c r="N110" s="22">
        <f t="shared" si="4"/>
        <v>0</v>
      </c>
      <c r="P110" s="26" t="s">
        <v>946</v>
      </c>
      <c r="Q110" s="26">
        <v>413110</v>
      </c>
      <c r="R110" s="21" t="str">
        <f t="shared" si="5"/>
        <v>2088</v>
      </c>
      <c r="S110" s="44" t="str">
        <f t="shared" si="6"/>
        <v>2088</v>
      </c>
      <c r="T110" s="45">
        <f t="shared" si="7"/>
        <v>0</v>
      </c>
      <c r="V110" s="45"/>
    </row>
    <row r="111" spans="1:22" s="26" customFormat="1" ht="12.75" x14ac:dyDescent="0.2">
      <c r="A111" s="20" t="str">
        <f>Data!B106</f>
        <v>2097</v>
      </c>
      <c r="B111" s="21" t="str">
        <f>INDEX(Data[],MATCH($A111,Data[Dist],0),MATCH(B$6,Data[#Headers],0))</f>
        <v>English Valleys</v>
      </c>
      <c r="C111" s="22">
        <f>INDEX(Data[],MATCH($A111,Data[Dist],0),MATCH(C$6,Data[#Headers],0))</f>
        <v>306173</v>
      </c>
      <c r="D111" s="160">
        <f>INDEX(Data[],MATCH($A111,Data[Dist],0),MATCH(D$6,Data[#Headers],0))</f>
        <v>304405</v>
      </c>
      <c r="E111" s="160">
        <f>INDEX(Data[],MATCH($A111,Data[Dist],0),MATCH(E$6,Data[#Headers],0))</f>
        <v>304405</v>
      </c>
      <c r="F111" s="160">
        <f>INDEX(Data[],MATCH($A111,Data[Dist],0),MATCH(F$6,Data[#Headers],0))</f>
        <v>304404</v>
      </c>
      <c r="G111" s="22">
        <f>INDEX(Data[],MATCH($A111,Data[Dist],0),MATCH(G$6,Data[#Headers],0))</f>
        <v>918519</v>
      </c>
      <c r="H111" s="22">
        <f>INDEX(Data[],MATCH($A111,Data[Dist],0),MATCH(H$6,Data[#Headers],0))-G111</f>
        <v>2143214</v>
      </c>
      <c r="I111" s="25"/>
      <c r="J111" s="22">
        <f>INDEX(Notes!$I$2:$N$11,MATCH(Notes!$B$2,Notes!$I$2:$I$11,0),4)*$C111</f>
        <v>918519</v>
      </c>
      <c r="K111" s="22">
        <f>INDEX(Notes!$I$2:$N$11,MATCH(Notes!$B$2,Notes!$I$2:$I$11,0),5)*$D111</f>
        <v>0</v>
      </c>
      <c r="L111" s="22">
        <f>INDEX(Notes!$I$2:$N$11,MATCH(Notes!$B$2,Notes!$I$2:$I$11,0),6)*$E111</f>
        <v>0</v>
      </c>
      <c r="M111" s="22">
        <f>IF(Notes!$B$2="June",'Payment Total'!$F111,0)</f>
        <v>0</v>
      </c>
      <c r="N111" s="22">
        <f t="shared" si="4"/>
        <v>0</v>
      </c>
      <c r="P111" s="26" t="s">
        <v>947</v>
      </c>
      <c r="Q111" s="26">
        <v>306173</v>
      </c>
      <c r="R111" s="21" t="str">
        <f t="shared" si="5"/>
        <v>2097</v>
      </c>
      <c r="S111" s="44" t="str">
        <f t="shared" si="6"/>
        <v>2097</v>
      </c>
      <c r="T111" s="45">
        <f t="shared" si="7"/>
        <v>0</v>
      </c>
      <c r="V111" s="45"/>
    </row>
    <row r="112" spans="1:22" s="26" customFormat="1" ht="12.75" x14ac:dyDescent="0.2">
      <c r="A112" s="20" t="str">
        <f>Data!B107</f>
        <v>2113</v>
      </c>
      <c r="B112" s="21" t="str">
        <f>INDEX(Data[],MATCH($A112,Data[Dist],0),MATCH(B$6,Data[#Headers],0))</f>
        <v>Essex</v>
      </c>
      <c r="C112" s="22">
        <f>INDEX(Data[],MATCH($A112,Data[Dist],0),MATCH(C$6,Data[#Headers],0))</f>
        <v>129537</v>
      </c>
      <c r="D112" s="160">
        <f>INDEX(Data[],MATCH($A112,Data[Dist],0),MATCH(D$6,Data[#Headers],0))</f>
        <v>128828</v>
      </c>
      <c r="E112" s="160">
        <f>INDEX(Data[],MATCH($A112,Data[Dist],0),MATCH(E$6,Data[#Headers],0))</f>
        <v>128827</v>
      </c>
      <c r="F112" s="160">
        <f>INDEX(Data[],MATCH($A112,Data[Dist],0),MATCH(F$6,Data[#Headers],0))</f>
        <v>128828</v>
      </c>
      <c r="G112" s="22">
        <f>INDEX(Data[],MATCH($A112,Data[Dist],0),MATCH(G$6,Data[#Headers],0))</f>
        <v>388611</v>
      </c>
      <c r="H112" s="22">
        <f>INDEX(Data[],MATCH($A112,Data[Dist],0),MATCH(H$6,Data[#Headers],0))-G112</f>
        <v>906763</v>
      </c>
      <c r="I112" s="25"/>
      <c r="J112" s="22">
        <f>INDEX(Notes!$I$2:$N$11,MATCH(Notes!$B$2,Notes!$I$2:$I$11,0),4)*$C112</f>
        <v>388611</v>
      </c>
      <c r="K112" s="22">
        <f>INDEX(Notes!$I$2:$N$11,MATCH(Notes!$B$2,Notes!$I$2:$I$11,0),5)*$D112</f>
        <v>0</v>
      </c>
      <c r="L112" s="22">
        <f>INDEX(Notes!$I$2:$N$11,MATCH(Notes!$B$2,Notes!$I$2:$I$11,0),6)*$E112</f>
        <v>0</v>
      </c>
      <c r="M112" s="22">
        <f>IF(Notes!$B$2="June",'Payment Total'!$F112,0)</f>
        <v>0</v>
      </c>
      <c r="N112" s="22">
        <f t="shared" si="4"/>
        <v>0</v>
      </c>
      <c r="P112" s="26" t="s">
        <v>948</v>
      </c>
      <c r="Q112" s="26">
        <v>129537</v>
      </c>
      <c r="R112" s="21" t="str">
        <f t="shared" si="5"/>
        <v>2113</v>
      </c>
      <c r="S112" s="44" t="str">
        <f t="shared" si="6"/>
        <v>2113</v>
      </c>
      <c r="T112" s="45">
        <f t="shared" si="7"/>
        <v>0</v>
      </c>
      <c r="V112" s="45"/>
    </row>
    <row r="113" spans="1:22" s="26" customFormat="1" ht="12.75" x14ac:dyDescent="0.2">
      <c r="A113" s="20" t="str">
        <f>Data!B108</f>
        <v>2124</v>
      </c>
      <c r="B113" s="21" t="str">
        <f>INDEX(Data[],MATCH($A113,Data[Dist],0),MATCH(B$6,Data[#Headers],0))</f>
        <v>Estherville-Lincoln Central</v>
      </c>
      <c r="C113" s="22">
        <f>INDEX(Data[],MATCH($A113,Data[Dist],0),MATCH(C$6,Data[#Headers],0))</f>
        <v>895840</v>
      </c>
      <c r="D113" s="160">
        <f>INDEX(Data[],MATCH($A113,Data[Dist],0),MATCH(D$6,Data[#Headers],0))</f>
        <v>891238</v>
      </c>
      <c r="E113" s="160">
        <f>INDEX(Data[],MATCH($A113,Data[Dist],0),MATCH(E$6,Data[#Headers],0))</f>
        <v>891238</v>
      </c>
      <c r="F113" s="160">
        <f>INDEX(Data[],MATCH($A113,Data[Dist],0),MATCH(F$6,Data[#Headers],0))</f>
        <v>891236</v>
      </c>
      <c r="G113" s="22">
        <f>INDEX(Data[],MATCH($A113,Data[Dist],0),MATCH(G$6,Data[#Headers],0))</f>
        <v>2687520</v>
      </c>
      <c r="H113" s="22">
        <f>INDEX(Data[],MATCH($A113,Data[Dist],0),MATCH(H$6,Data[#Headers],0))-G113</f>
        <v>6270876</v>
      </c>
      <c r="I113" s="25"/>
      <c r="J113" s="22">
        <f>INDEX(Notes!$I$2:$N$11,MATCH(Notes!$B$2,Notes!$I$2:$I$11,0),4)*$C113</f>
        <v>2687520</v>
      </c>
      <c r="K113" s="22">
        <f>INDEX(Notes!$I$2:$N$11,MATCH(Notes!$B$2,Notes!$I$2:$I$11,0),5)*$D113</f>
        <v>0</v>
      </c>
      <c r="L113" s="22">
        <f>INDEX(Notes!$I$2:$N$11,MATCH(Notes!$B$2,Notes!$I$2:$I$11,0),6)*$E113</f>
        <v>0</v>
      </c>
      <c r="M113" s="22">
        <f>IF(Notes!$B$2="June",'Payment Total'!$F113,0)</f>
        <v>0</v>
      </c>
      <c r="N113" s="22">
        <f t="shared" si="4"/>
        <v>0</v>
      </c>
      <c r="P113" s="26" t="s">
        <v>949</v>
      </c>
      <c r="Q113" s="26">
        <v>895840</v>
      </c>
      <c r="R113" s="21" t="str">
        <f t="shared" si="5"/>
        <v>2124</v>
      </c>
      <c r="S113" s="44" t="str">
        <f t="shared" si="6"/>
        <v>2124</v>
      </c>
      <c r="T113" s="45">
        <f t="shared" si="7"/>
        <v>0</v>
      </c>
      <c r="V113" s="45"/>
    </row>
    <row r="114" spans="1:22" s="26" customFormat="1" ht="12.75" x14ac:dyDescent="0.2">
      <c r="A114" s="20" t="str">
        <f>Data!B109</f>
        <v>2151</v>
      </c>
      <c r="B114" s="21" t="str">
        <f>INDEX(Data[],MATCH($A114,Data[Dist],0),MATCH(B$6,Data[#Headers],0))</f>
        <v>Exira-Elk Horn-Kimballton</v>
      </c>
      <c r="C114" s="22">
        <f>INDEX(Data[],MATCH($A114,Data[Dist],0),MATCH(C$6,Data[#Headers],0))</f>
        <v>263635</v>
      </c>
      <c r="D114" s="160">
        <f>INDEX(Data[],MATCH($A114,Data[Dist],0),MATCH(D$6,Data[#Headers],0))</f>
        <v>262002</v>
      </c>
      <c r="E114" s="160">
        <f>INDEX(Data[],MATCH($A114,Data[Dist],0),MATCH(E$6,Data[#Headers],0))</f>
        <v>262002</v>
      </c>
      <c r="F114" s="160">
        <f>INDEX(Data[],MATCH($A114,Data[Dist],0),MATCH(F$6,Data[#Headers],0))</f>
        <v>262001</v>
      </c>
      <c r="G114" s="22">
        <f>INDEX(Data[],MATCH($A114,Data[Dist],0),MATCH(G$6,Data[#Headers],0))</f>
        <v>790905</v>
      </c>
      <c r="H114" s="22">
        <f>INDEX(Data[],MATCH($A114,Data[Dist],0),MATCH(H$6,Data[#Headers],0))-G114</f>
        <v>1845443</v>
      </c>
      <c r="I114" s="25"/>
      <c r="J114" s="22">
        <f>INDEX(Notes!$I$2:$N$11,MATCH(Notes!$B$2,Notes!$I$2:$I$11,0),4)*$C114</f>
        <v>790905</v>
      </c>
      <c r="K114" s="22">
        <f>INDEX(Notes!$I$2:$N$11,MATCH(Notes!$B$2,Notes!$I$2:$I$11,0),5)*$D114</f>
        <v>0</v>
      </c>
      <c r="L114" s="22">
        <f>INDEX(Notes!$I$2:$N$11,MATCH(Notes!$B$2,Notes!$I$2:$I$11,0),6)*$E114</f>
        <v>0</v>
      </c>
      <c r="M114" s="22">
        <f>IF(Notes!$B$2="June",'Payment Total'!$F114,0)</f>
        <v>0</v>
      </c>
      <c r="N114" s="22">
        <f t="shared" si="4"/>
        <v>0</v>
      </c>
      <c r="P114" s="26" t="s">
        <v>950</v>
      </c>
      <c r="Q114" s="26">
        <v>263635</v>
      </c>
      <c r="R114" s="21" t="str">
        <f t="shared" si="5"/>
        <v>2151</v>
      </c>
      <c r="S114" s="44" t="str">
        <f t="shared" si="6"/>
        <v>2151</v>
      </c>
      <c r="T114" s="45">
        <f t="shared" si="7"/>
        <v>0</v>
      </c>
      <c r="V114" s="45"/>
    </row>
    <row r="115" spans="1:22" s="26" customFormat="1" ht="12.75" x14ac:dyDescent="0.2">
      <c r="A115" s="20" t="str">
        <f>Data!B110</f>
        <v>2169</v>
      </c>
      <c r="B115" s="21" t="str">
        <f>INDEX(Data[],MATCH($A115,Data[Dist],0),MATCH(B$6,Data[#Headers],0))</f>
        <v>Fairfield</v>
      </c>
      <c r="C115" s="22">
        <f>INDEX(Data[],MATCH($A115,Data[Dist],0),MATCH(C$6,Data[#Headers],0))</f>
        <v>978199</v>
      </c>
      <c r="D115" s="160">
        <f>INDEX(Data[],MATCH($A115,Data[Dist],0),MATCH(D$6,Data[#Headers],0))</f>
        <v>972194</v>
      </c>
      <c r="E115" s="160">
        <f>INDEX(Data[],MATCH($A115,Data[Dist],0),MATCH(E$6,Data[#Headers],0))</f>
        <v>972194</v>
      </c>
      <c r="F115" s="160">
        <f>INDEX(Data[],MATCH($A115,Data[Dist],0),MATCH(F$6,Data[#Headers],0))</f>
        <v>972195</v>
      </c>
      <c r="G115" s="22">
        <f>INDEX(Data[],MATCH($A115,Data[Dist],0),MATCH(G$6,Data[#Headers],0))</f>
        <v>2934597</v>
      </c>
      <c r="H115" s="22">
        <f>INDEX(Data[],MATCH($A115,Data[Dist],0),MATCH(H$6,Data[#Headers],0))-G115</f>
        <v>6847388</v>
      </c>
      <c r="I115" s="25"/>
      <c r="J115" s="22">
        <f>INDEX(Notes!$I$2:$N$11,MATCH(Notes!$B$2,Notes!$I$2:$I$11,0),4)*$C115</f>
        <v>2934597</v>
      </c>
      <c r="K115" s="22">
        <f>INDEX(Notes!$I$2:$N$11,MATCH(Notes!$B$2,Notes!$I$2:$I$11,0),5)*$D115</f>
        <v>0</v>
      </c>
      <c r="L115" s="22">
        <f>INDEX(Notes!$I$2:$N$11,MATCH(Notes!$B$2,Notes!$I$2:$I$11,0),6)*$E115</f>
        <v>0</v>
      </c>
      <c r="M115" s="22">
        <f>IF(Notes!$B$2="June",'Payment Total'!$F115,0)</f>
        <v>0</v>
      </c>
      <c r="N115" s="22">
        <f t="shared" si="4"/>
        <v>0</v>
      </c>
      <c r="P115" s="26" t="s">
        <v>951</v>
      </c>
      <c r="Q115" s="26">
        <v>978199</v>
      </c>
      <c r="R115" s="21" t="str">
        <f t="shared" si="5"/>
        <v>2169</v>
      </c>
      <c r="S115" s="44" t="str">
        <f t="shared" si="6"/>
        <v>2169</v>
      </c>
      <c r="T115" s="45">
        <f t="shared" si="7"/>
        <v>0</v>
      </c>
      <c r="V115" s="45"/>
    </row>
    <row r="116" spans="1:22" s="26" customFormat="1" ht="12.75" x14ac:dyDescent="0.2">
      <c r="A116" s="20" t="str">
        <f>Data!B111</f>
        <v>2295</v>
      </c>
      <c r="B116" s="21" t="str">
        <f>INDEX(Data[],MATCH($A116,Data[Dist],0),MATCH(B$6,Data[#Headers],0))</f>
        <v>Forest City</v>
      </c>
      <c r="C116" s="22">
        <f>INDEX(Data[],MATCH($A116,Data[Dist],0),MATCH(C$6,Data[#Headers],0))</f>
        <v>732754</v>
      </c>
      <c r="D116" s="160">
        <f>INDEX(Data[],MATCH($A116,Data[Dist],0),MATCH(D$6,Data[#Headers],0))</f>
        <v>728714</v>
      </c>
      <c r="E116" s="160">
        <f>INDEX(Data[],MATCH($A116,Data[Dist],0),MATCH(E$6,Data[#Headers],0))</f>
        <v>728714</v>
      </c>
      <c r="F116" s="160">
        <f>INDEX(Data[],MATCH($A116,Data[Dist],0),MATCH(F$6,Data[#Headers],0))</f>
        <v>728713</v>
      </c>
      <c r="G116" s="22">
        <f>INDEX(Data[],MATCH($A116,Data[Dist],0),MATCH(G$6,Data[#Headers],0))</f>
        <v>2198262</v>
      </c>
      <c r="H116" s="22">
        <f>INDEX(Data[],MATCH($A116,Data[Dist],0),MATCH(H$6,Data[#Headers],0))-G116</f>
        <v>5129280</v>
      </c>
      <c r="I116" s="25"/>
      <c r="J116" s="22">
        <f>INDEX(Notes!$I$2:$N$11,MATCH(Notes!$B$2,Notes!$I$2:$I$11,0),4)*$C116</f>
        <v>2198262</v>
      </c>
      <c r="K116" s="22">
        <f>INDEX(Notes!$I$2:$N$11,MATCH(Notes!$B$2,Notes!$I$2:$I$11,0),5)*$D116</f>
        <v>0</v>
      </c>
      <c r="L116" s="22">
        <f>INDEX(Notes!$I$2:$N$11,MATCH(Notes!$B$2,Notes!$I$2:$I$11,0),6)*$E116</f>
        <v>0</v>
      </c>
      <c r="M116" s="22">
        <f>IF(Notes!$B$2="June",'Payment Total'!$F116,0)</f>
        <v>0</v>
      </c>
      <c r="N116" s="22">
        <f t="shared" si="4"/>
        <v>0</v>
      </c>
      <c r="P116" s="26" t="s">
        <v>952</v>
      </c>
      <c r="Q116" s="26">
        <v>732754</v>
      </c>
      <c r="R116" s="21" t="str">
        <f t="shared" si="5"/>
        <v>2295</v>
      </c>
      <c r="S116" s="44" t="str">
        <f t="shared" si="6"/>
        <v>2295</v>
      </c>
      <c r="T116" s="45">
        <f t="shared" si="7"/>
        <v>0</v>
      </c>
      <c r="V116" s="45"/>
    </row>
    <row r="117" spans="1:22" s="26" customFormat="1" ht="12.75" x14ac:dyDescent="0.2">
      <c r="A117" s="20" t="str">
        <f>Data!B112</f>
        <v>2313</v>
      </c>
      <c r="B117" s="21" t="str">
        <f>INDEX(Data[],MATCH($A117,Data[Dist],0),MATCH(B$6,Data[#Headers],0))</f>
        <v>Fort Dodge</v>
      </c>
      <c r="C117" s="22">
        <f>INDEX(Data[],MATCH($A117,Data[Dist],0),MATCH(C$6,Data[#Headers],0))</f>
        <v>2806680</v>
      </c>
      <c r="D117" s="160">
        <f>INDEX(Data[],MATCH($A117,Data[Dist],0),MATCH(D$6,Data[#Headers],0))</f>
        <v>2793047</v>
      </c>
      <c r="E117" s="160">
        <f>INDEX(Data[],MATCH($A117,Data[Dist],0),MATCH(E$6,Data[#Headers],0))</f>
        <v>2793047</v>
      </c>
      <c r="F117" s="160">
        <f>INDEX(Data[],MATCH($A117,Data[Dist],0),MATCH(F$6,Data[#Headers],0))</f>
        <v>2793048</v>
      </c>
      <c r="G117" s="22">
        <f>INDEX(Data[],MATCH($A117,Data[Dist],0),MATCH(G$6,Data[#Headers],0))</f>
        <v>8420040</v>
      </c>
      <c r="H117" s="22">
        <f>INDEX(Data[],MATCH($A117,Data[Dist],0),MATCH(H$6,Data[#Headers],0))-G117</f>
        <v>19646759</v>
      </c>
      <c r="I117" s="25"/>
      <c r="J117" s="22">
        <f>INDEX(Notes!$I$2:$N$11,MATCH(Notes!$B$2,Notes!$I$2:$I$11,0),4)*$C117</f>
        <v>8420040</v>
      </c>
      <c r="K117" s="22">
        <f>INDEX(Notes!$I$2:$N$11,MATCH(Notes!$B$2,Notes!$I$2:$I$11,0),5)*$D117</f>
        <v>0</v>
      </c>
      <c r="L117" s="22">
        <f>INDEX(Notes!$I$2:$N$11,MATCH(Notes!$B$2,Notes!$I$2:$I$11,0),6)*$E117</f>
        <v>0</v>
      </c>
      <c r="M117" s="22">
        <f>IF(Notes!$B$2="June",'Payment Total'!$F117,0)</f>
        <v>0</v>
      </c>
      <c r="N117" s="22">
        <f t="shared" si="4"/>
        <v>0</v>
      </c>
      <c r="P117" s="26" t="s">
        <v>953</v>
      </c>
      <c r="Q117" s="26">
        <v>2806680</v>
      </c>
      <c r="R117" s="21" t="str">
        <f t="shared" si="5"/>
        <v>2313</v>
      </c>
      <c r="S117" s="44" t="str">
        <f t="shared" si="6"/>
        <v>2313</v>
      </c>
      <c r="T117" s="45">
        <f t="shared" si="7"/>
        <v>0</v>
      </c>
      <c r="V117" s="45"/>
    </row>
    <row r="118" spans="1:22" s="26" customFormat="1" ht="12.75" x14ac:dyDescent="0.2">
      <c r="A118" s="20" t="str">
        <f>Data!B113</f>
        <v>2322</v>
      </c>
      <c r="B118" s="21" t="str">
        <f>INDEX(Data[],MATCH($A118,Data[Dist],0),MATCH(B$6,Data[#Headers],0))</f>
        <v>Fort Madison</v>
      </c>
      <c r="C118" s="22">
        <f>INDEX(Data[],MATCH($A118,Data[Dist],0),MATCH(C$6,Data[#Headers],0))</f>
        <v>1515259</v>
      </c>
      <c r="D118" s="160">
        <f>INDEX(Data[],MATCH($A118,Data[Dist],0),MATCH(D$6,Data[#Headers],0))</f>
        <v>1507211</v>
      </c>
      <c r="E118" s="160">
        <f>INDEX(Data[],MATCH($A118,Data[Dist],0),MATCH(E$6,Data[#Headers],0))</f>
        <v>1507211</v>
      </c>
      <c r="F118" s="160">
        <f>INDEX(Data[],MATCH($A118,Data[Dist],0),MATCH(F$6,Data[#Headers],0))</f>
        <v>1507210</v>
      </c>
      <c r="G118" s="22">
        <f>INDEX(Data[],MATCH($A118,Data[Dist],0),MATCH(G$6,Data[#Headers],0))</f>
        <v>4545777</v>
      </c>
      <c r="H118" s="22">
        <f>INDEX(Data[],MATCH($A118,Data[Dist],0),MATCH(H$6,Data[#Headers],0))-G118</f>
        <v>10606809</v>
      </c>
      <c r="I118" s="25"/>
      <c r="J118" s="22">
        <f>INDEX(Notes!$I$2:$N$11,MATCH(Notes!$B$2,Notes!$I$2:$I$11,0),4)*$C118</f>
        <v>4545777</v>
      </c>
      <c r="K118" s="22">
        <f>INDEX(Notes!$I$2:$N$11,MATCH(Notes!$B$2,Notes!$I$2:$I$11,0),5)*$D118</f>
        <v>0</v>
      </c>
      <c r="L118" s="22">
        <f>INDEX(Notes!$I$2:$N$11,MATCH(Notes!$B$2,Notes!$I$2:$I$11,0),6)*$E118</f>
        <v>0</v>
      </c>
      <c r="M118" s="22">
        <f>IF(Notes!$B$2="June",'Payment Total'!$F118,0)</f>
        <v>0</v>
      </c>
      <c r="N118" s="22">
        <f t="shared" si="4"/>
        <v>0</v>
      </c>
      <c r="P118" s="26" t="s">
        <v>954</v>
      </c>
      <c r="Q118" s="26">
        <v>1515259</v>
      </c>
      <c r="R118" s="21" t="str">
        <f t="shared" si="5"/>
        <v>2322</v>
      </c>
      <c r="S118" s="44" t="str">
        <f t="shared" si="6"/>
        <v>2322</v>
      </c>
      <c r="T118" s="45">
        <f t="shared" si="7"/>
        <v>0</v>
      </c>
      <c r="V118" s="45"/>
    </row>
    <row r="119" spans="1:22" s="26" customFormat="1" ht="12.75" x14ac:dyDescent="0.2">
      <c r="A119" s="20" t="str">
        <f>Data!B114</f>
        <v>2369</v>
      </c>
      <c r="B119" s="21" t="str">
        <f>INDEX(Data[],MATCH($A119,Data[Dist],0),MATCH(B$6,Data[#Headers],0))</f>
        <v>Fremont-Mills</v>
      </c>
      <c r="C119" s="22">
        <f>INDEX(Data[],MATCH($A119,Data[Dist],0),MATCH(C$6,Data[#Headers],0))</f>
        <v>302923</v>
      </c>
      <c r="D119" s="160">
        <f>INDEX(Data[],MATCH($A119,Data[Dist],0),MATCH(D$6,Data[#Headers],0))</f>
        <v>301261</v>
      </c>
      <c r="E119" s="160">
        <f>INDEX(Data[],MATCH($A119,Data[Dist],0),MATCH(E$6,Data[#Headers],0))</f>
        <v>301262</v>
      </c>
      <c r="F119" s="160">
        <f>INDEX(Data[],MATCH($A119,Data[Dist],0),MATCH(F$6,Data[#Headers],0))</f>
        <v>301260</v>
      </c>
      <c r="G119" s="22">
        <f>INDEX(Data[],MATCH($A119,Data[Dist],0),MATCH(G$6,Data[#Headers],0))</f>
        <v>908769</v>
      </c>
      <c r="H119" s="22">
        <f>INDEX(Data[],MATCH($A119,Data[Dist],0),MATCH(H$6,Data[#Headers],0))-G119</f>
        <v>2120460</v>
      </c>
      <c r="I119" s="25"/>
      <c r="J119" s="22">
        <f>INDEX(Notes!$I$2:$N$11,MATCH(Notes!$B$2,Notes!$I$2:$I$11,0),4)*$C119</f>
        <v>908769</v>
      </c>
      <c r="K119" s="22">
        <f>INDEX(Notes!$I$2:$N$11,MATCH(Notes!$B$2,Notes!$I$2:$I$11,0),5)*$D119</f>
        <v>0</v>
      </c>
      <c r="L119" s="22">
        <f>INDEX(Notes!$I$2:$N$11,MATCH(Notes!$B$2,Notes!$I$2:$I$11,0),6)*$E119</f>
        <v>0</v>
      </c>
      <c r="M119" s="22">
        <f>IF(Notes!$B$2="June",'Payment Total'!$F119,0)</f>
        <v>0</v>
      </c>
      <c r="N119" s="22">
        <f t="shared" si="4"/>
        <v>0</v>
      </c>
      <c r="P119" s="26" t="s">
        <v>955</v>
      </c>
      <c r="Q119" s="26">
        <v>302923</v>
      </c>
      <c r="R119" s="21" t="str">
        <f t="shared" si="5"/>
        <v>2369</v>
      </c>
      <c r="S119" s="44" t="str">
        <f t="shared" si="6"/>
        <v>2369</v>
      </c>
      <c r="T119" s="45">
        <f t="shared" si="7"/>
        <v>0</v>
      </c>
      <c r="V119" s="45"/>
    </row>
    <row r="120" spans="1:22" s="26" customFormat="1" ht="12.75" x14ac:dyDescent="0.2">
      <c r="A120" s="20" t="str">
        <f>Data!B115</f>
        <v>2376</v>
      </c>
      <c r="B120" s="21" t="str">
        <f>INDEX(Data[],MATCH($A120,Data[Dist],0),MATCH(B$6,Data[#Headers],0))</f>
        <v>Galva-Holstein</v>
      </c>
      <c r="C120" s="22">
        <f>INDEX(Data[],MATCH($A120,Data[Dist],0),MATCH(C$6,Data[#Headers],0))</f>
        <v>260167</v>
      </c>
      <c r="D120" s="160">
        <f>INDEX(Data[],MATCH($A120,Data[Dist],0),MATCH(D$6,Data[#Headers],0))</f>
        <v>258390</v>
      </c>
      <c r="E120" s="160">
        <f>INDEX(Data[],MATCH($A120,Data[Dist],0),MATCH(E$6,Data[#Headers],0))</f>
        <v>258390</v>
      </c>
      <c r="F120" s="160">
        <f>INDEX(Data[],MATCH($A120,Data[Dist],0),MATCH(F$6,Data[#Headers],0))</f>
        <v>258391</v>
      </c>
      <c r="G120" s="22">
        <f>INDEX(Data[],MATCH($A120,Data[Dist],0),MATCH(G$6,Data[#Headers],0))</f>
        <v>780501</v>
      </c>
      <c r="H120" s="22">
        <f>INDEX(Data[],MATCH($A120,Data[Dist],0),MATCH(H$6,Data[#Headers],0))-G120</f>
        <v>1821166</v>
      </c>
      <c r="I120" s="25"/>
      <c r="J120" s="22">
        <f>INDEX(Notes!$I$2:$N$11,MATCH(Notes!$B$2,Notes!$I$2:$I$11,0),4)*$C120</f>
        <v>780501</v>
      </c>
      <c r="K120" s="22">
        <f>INDEX(Notes!$I$2:$N$11,MATCH(Notes!$B$2,Notes!$I$2:$I$11,0),5)*$D120</f>
        <v>0</v>
      </c>
      <c r="L120" s="22">
        <f>INDEX(Notes!$I$2:$N$11,MATCH(Notes!$B$2,Notes!$I$2:$I$11,0),6)*$E120</f>
        <v>0</v>
      </c>
      <c r="M120" s="22">
        <f>IF(Notes!$B$2="June",'Payment Total'!$F120,0)</f>
        <v>0</v>
      </c>
      <c r="N120" s="22">
        <f t="shared" si="4"/>
        <v>0</v>
      </c>
      <c r="P120" s="26" t="s">
        <v>956</v>
      </c>
      <c r="Q120" s="26">
        <v>260167</v>
      </c>
      <c r="R120" s="21" t="str">
        <f t="shared" si="5"/>
        <v>2376</v>
      </c>
      <c r="S120" s="44" t="str">
        <f t="shared" si="6"/>
        <v>2376</v>
      </c>
      <c r="T120" s="45">
        <f t="shared" si="7"/>
        <v>0</v>
      </c>
      <c r="V120" s="45"/>
    </row>
    <row r="121" spans="1:22" s="26" customFormat="1" ht="12.75" x14ac:dyDescent="0.2">
      <c r="A121" s="20" t="str">
        <f>Data!B116</f>
        <v>2403</v>
      </c>
      <c r="B121" s="21" t="str">
        <f>INDEX(Data[],MATCH($A121,Data[Dist],0),MATCH(B$6,Data[#Headers],0))</f>
        <v>Garner-Hayfield-Ventura</v>
      </c>
      <c r="C121" s="22">
        <f>INDEX(Data[],MATCH($A121,Data[Dist],0),MATCH(C$6,Data[#Headers],0))</f>
        <v>422598</v>
      </c>
      <c r="D121" s="160">
        <f>INDEX(Data[],MATCH($A121,Data[Dist],0),MATCH(D$6,Data[#Headers],0))</f>
        <v>419343</v>
      </c>
      <c r="E121" s="160">
        <f>INDEX(Data[],MATCH($A121,Data[Dist],0),MATCH(E$6,Data[#Headers],0))</f>
        <v>419343</v>
      </c>
      <c r="F121" s="160">
        <f>INDEX(Data[],MATCH($A121,Data[Dist],0),MATCH(F$6,Data[#Headers],0))</f>
        <v>419343</v>
      </c>
      <c r="G121" s="22">
        <f>INDEX(Data[],MATCH($A121,Data[Dist],0),MATCH(G$6,Data[#Headers],0))</f>
        <v>1267794</v>
      </c>
      <c r="H121" s="22">
        <f>INDEX(Data[],MATCH($A121,Data[Dist],0),MATCH(H$6,Data[#Headers],0))-G121</f>
        <v>2958181</v>
      </c>
      <c r="I121" s="25"/>
      <c r="J121" s="22">
        <f>INDEX(Notes!$I$2:$N$11,MATCH(Notes!$B$2,Notes!$I$2:$I$11,0),4)*$C121</f>
        <v>1267794</v>
      </c>
      <c r="K121" s="22">
        <f>INDEX(Notes!$I$2:$N$11,MATCH(Notes!$B$2,Notes!$I$2:$I$11,0),5)*$D121</f>
        <v>0</v>
      </c>
      <c r="L121" s="22">
        <f>INDEX(Notes!$I$2:$N$11,MATCH(Notes!$B$2,Notes!$I$2:$I$11,0),6)*$E121</f>
        <v>0</v>
      </c>
      <c r="M121" s="22">
        <f>IF(Notes!$B$2="June",'Payment Total'!$F121,0)</f>
        <v>0</v>
      </c>
      <c r="N121" s="22">
        <f t="shared" si="4"/>
        <v>0</v>
      </c>
      <c r="P121" s="26" t="s">
        <v>957</v>
      </c>
      <c r="Q121" s="26">
        <v>422598</v>
      </c>
      <c r="R121" s="21" t="str">
        <f t="shared" si="5"/>
        <v>2403</v>
      </c>
      <c r="S121" s="44" t="str">
        <f t="shared" si="6"/>
        <v>2403</v>
      </c>
      <c r="T121" s="45">
        <f t="shared" si="7"/>
        <v>0</v>
      </c>
      <c r="V121" s="45"/>
    </row>
    <row r="122" spans="1:22" s="26" customFormat="1" ht="12.75" x14ac:dyDescent="0.2">
      <c r="A122" s="20" t="str">
        <f>Data!B117</f>
        <v>2457</v>
      </c>
      <c r="B122" s="21" t="str">
        <f>INDEX(Data[],MATCH($A122,Data[Dist],0),MATCH(B$6,Data[#Headers],0))</f>
        <v>George-Little Rock</v>
      </c>
      <c r="C122" s="22">
        <f>INDEX(Data[],MATCH($A122,Data[Dist],0),MATCH(C$6,Data[#Headers],0))</f>
        <v>274259</v>
      </c>
      <c r="D122" s="160">
        <f>INDEX(Data[],MATCH($A122,Data[Dist],0),MATCH(D$6,Data[#Headers],0))</f>
        <v>272518</v>
      </c>
      <c r="E122" s="160">
        <f>INDEX(Data[],MATCH($A122,Data[Dist],0),MATCH(E$6,Data[#Headers],0))</f>
        <v>272519</v>
      </c>
      <c r="F122" s="160">
        <f>INDEX(Data[],MATCH($A122,Data[Dist],0),MATCH(F$6,Data[#Headers],0))</f>
        <v>272517</v>
      </c>
      <c r="G122" s="22">
        <f>INDEX(Data[],MATCH($A122,Data[Dist],0),MATCH(G$6,Data[#Headers],0))</f>
        <v>822777</v>
      </c>
      <c r="H122" s="22">
        <f>INDEX(Data[],MATCH($A122,Data[Dist],0),MATCH(H$6,Data[#Headers],0))-G122</f>
        <v>1919813</v>
      </c>
      <c r="I122" s="25"/>
      <c r="J122" s="22">
        <f>INDEX(Notes!$I$2:$N$11,MATCH(Notes!$B$2,Notes!$I$2:$I$11,0),4)*$C122</f>
        <v>822777</v>
      </c>
      <c r="K122" s="22">
        <f>INDEX(Notes!$I$2:$N$11,MATCH(Notes!$B$2,Notes!$I$2:$I$11,0),5)*$D122</f>
        <v>0</v>
      </c>
      <c r="L122" s="22">
        <f>INDEX(Notes!$I$2:$N$11,MATCH(Notes!$B$2,Notes!$I$2:$I$11,0),6)*$E122</f>
        <v>0</v>
      </c>
      <c r="M122" s="22">
        <f>IF(Notes!$B$2="June",'Payment Total'!$F122,0)</f>
        <v>0</v>
      </c>
      <c r="N122" s="22">
        <f t="shared" si="4"/>
        <v>0</v>
      </c>
      <c r="P122" s="26" t="s">
        <v>958</v>
      </c>
      <c r="Q122" s="26">
        <v>274259</v>
      </c>
      <c r="R122" s="21" t="str">
        <f t="shared" si="5"/>
        <v>2457</v>
      </c>
      <c r="S122" s="44" t="str">
        <f t="shared" si="6"/>
        <v>2457</v>
      </c>
      <c r="T122" s="45">
        <f t="shared" si="7"/>
        <v>0</v>
      </c>
      <c r="V122" s="45"/>
    </row>
    <row r="123" spans="1:22" s="26" customFormat="1" ht="12.75" x14ac:dyDescent="0.2">
      <c r="A123" s="20" t="str">
        <f>Data!B118</f>
        <v>2466</v>
      </c>
      <c r="B123" s="21" t="str">
        <f>INDEX(Data[],MATCH($A123,Data[Dist],0),MATCH(B$6,Data[#Headers],0))</f>
        <v>Gilbert</v>
      </c>
      <c r="C123" s="22">
        <f>INDEX(Data[],MATCH($A123,Data[Dist],0),MATCH(C$6,Data[#Headers],0))</f>
        <v>1001484</v>
      </c>
      <c r="D123" s="160">
        <f>INDEX(Data[],MATCH($A123,Data[Dist],0),MATCH(D$6,Data[#Headers],0))</f>
        <v>995410</v>
      </c>
      <c r="E123" s="160">
        <f>INDEX(Data[],MATCH($A123,Data[Dist],0),MATCH(E$6,Data[#Headers],0))</f>
        <v>995410</v>
      </c>
      <c r="F123" s="160">
        <f>INDEX(Data[],MATCH($A123,Data[Dist],0),MATCH(F$6,Data[#Headers],0))</f>
        <v>995411</v>
      </c>
      <c r="G123" s="22">
        <f>INDEX(Data[],MATCH($A123,Data[Dist],0),MATCH(G$6,Data[#Headers],0))</f>
        <v>3004452</v>
      </c>
      <c r="H123" s="22">
        <f>INDEX(Data[],MATCH($A123,Data[Dist],0),MATCH(H$6,Data[#Headers],0))-G123</f>
        <v>7010392</v>
      </c>
      <c r="I123" s="25"/>
      <c r="J123" s="22">
        <f>INDEX(Notes!$I$2:$N$11,MATCH(Notes!$B$2,Notes!$I$2:$I$11,0),4)*$C123</f>
        <v>3004452</v>
      </c>
      <c r="K123" s="22">
        <f>INDEX(Notes!$I$2:$N$11,MATCH(Notes!$B$2,Notes!$I$2:$I$11,0),5)*$D123</f>
        <v>0</v>
      </c>
      <c r="L123" s="22">
        <f>INDEX(Notes!$I$2:$N$11,MATCH(Notes!$B$2,Notes!$I$2:$I$11,0),6)*$E123</f>
        <v>0</v>
      </c>
      <c r="M123" s="22">
        <f>IF(Notes!$B$2="June",'Payment Total'!$F123,0)</f>
        <v>0</v>
      </c>
      <c r="N123" s="22">
        <f t="shared" si="4"/>
        <v>0</v>
      </c>
      <c r="P123" s="26" t="s">
        <v>959</v>
      </c>
      <c r="Q123" s="26">
        <v>1001484</v>
      </c>
      <c r="R123" s="21" t="str">
        <f t="shared" si="5"/>
        <v>2466</v>
      </c>
      <c r="S123" s="44" t="str">
        <f t="shared" si="6"/>
        <v>2466</v>
      </c>
      <c r="T123" s="45">
        <f t="shared" si="7"/>
        <v>0</v>
      </c>
      <c r="V123" s="45"/>
    </row>
    <row r="124" spans="1:22" s="26" customFormat="1" ht="12.75" x14ac:dyDescent="0.2">
      <c r="A124" s="20" t="str">
        <f>Data!B119</f>
        <v>2493</v>
      </c>
      <c r="B124" s="21" t="str">
        <f>INDEX(Data[],MATCH($A124,Data[Dist],0),MATCH(B$6,Data[#Headers],0))</f>
        <v>Gilmore City-Bradgate</v>
      </c>
      <c r="C124" s="22">
        <f>INDEX(Data[],MATCH($A124,Data[Dist],0),MATCH(C$6,Data[#Headers],0))</f>
        <v>121192</v>
      </c>
      <c r="D124" s="160">
        <f>INDEX(Data[],MATCH($A124,Data[Dist],0),MATCH(D$6,Data[#Headers],0))</f>
        <v>120526</v>
      </c>
      <c r="E124" s="160">
        <f>INDEX(Data[],MATCH($A124,Data[Dist],0),MATCH(E$6,Data[#Headers],0))</f>
        <v>120526</v>
      </c>
      <c r="F124" s="160">
        <f>INDEX(Data[],MATCH($A124,Data[Dist],0),MATCH(F$6,Data[#Headers],0))</f>
        <v>120526</v>
      </c>
      <c r="G124" s="22">
        <f>INDEX(Data[],MATCH($A124,Data[Dist],0),MATCH(G$6,Data[#Headers],0))</f>
        <v>363576</v>
      </c>
      <c r="H124" s="22">
        <f>INDEX(Data[],MATCH($A124,Data[Dist],0),MATCH(H$6,Data[#Headers],0))-G124</f>
        <v>848345</v>
      </c>
      <c r="I124" s="25"/>
      <c r="J124" s="22">
        <f>INDEX(Notes!$I$2:$N$11,MATCH(Notes!$B$2,Notes!$I$2:$I$11,0),4)*$C124</f>
        <v>363576</v>
      </c>
      <c r="K124" s="22">
        <f>INDEX(Notes!$I$2:$N$11,MATCH(Notes!$B$2,Notes!$I$2:$I$11,0),5)*$D124</f>
        <v>0</v>
      </c>
      <c r="L124" s="22">
        <f>INDEX(Notes!$I$2:$N$11,MATCH(Notes!$B$2,Notes!$I$2:$I$11,0),6)*$E124</f>
        <v>0</v>
      </c>
      <c r="M124" s="22">
        <f>IF(Notes!$B$2="June",'Payment Total'!$F124,0)</f>
        <v>0</v>
      </c>
      <c r="N124" s="22">
        <f t="shared" si="4"/>
        <v>0</v>
      </c>
      <c r="P124" s="26" t="s">
        <v>960</v>
      </c>
      <c r="Q124" s="26">
        <v>121192</v>
      </c>
      <c r="R124" s="21" t="str">
        <f t="shared" si="5"/>
        <v>2493</v>
      </c>
      <c r="S124" s="44" t="str">
        <f t="shared" si="6"/>
        <v>2493</v>
      </c>
      <c r="T124" s="45">
        <f t="shared" si="7"/>
        <v>0</v>
      </c>
      <c r="V124" s="45"/>
    </row>
    <row r="125" spans="1:22" s="26" customFormat="1" ht="12.75" x14ac:dyDescent="0.2">
      <c r="A125" s="20" t="str">
        <f>Data!B120</f>
        <v>2502</v>
      </c>
      <c r="B125" s="21" t="str">
        <f>INDEX(Data[],MATCH($A125,Data[Dist],0),MATCH(B$6,Data[#Headers],0))</f>
        <v>Gladbrook-Reinbeck</v>
      </c>
      <c r="C125" s="22">
        <f>INDEX(Data[],MATCH($A125,Data[Dist],0),MATCH(C$6,Data[#Headers],0))</f>
        <v>382429</v>
      </c>
      <c r="D125" s="160">
        <f>INDEX(Data[],MATCH($A125,Data[Dist],0),MATCH(D$6,Data[#Headers],0))</f>
        <v>380066</v>
      </c>
      <c r="E125" s="160">
        <f>INDEX(Data[],MATCH($A125,Data[Dist],0),MATCH(E$6,Data[#Headers],0))</f>
        <v>380066</v>
      </c>
      <c r="F125" s="160">
        <f>INDEX(Data[],MATCH($A125,Data[Dist],0),MATCH(F$6,Data[#Headers],0))</f>
        <v>380064</v>
      </c>
      <c r="G125" s="22">
        <f>INDEX(Data[],MATCH($A125,Data[Dist],0),MATCH(G$6,Data[#Headers],0))</f>
        <v>1147287</v>
      </c>
      <c r="H125" s="22">
        <f>INDEX(Data[],MATCH($A125,Data[Dist],0),MATCH(H$6,Data[#Headers],0))-G125</f>
        <v>2677002</v>
      </c>
      <c r="I125" s="25"/>
      <c r="J125" s="22">
        <f>INDEX(Notes!$I$2:$N$11,MATCH(Notes!$B$2,Notes!$I$2:$I$11,0),4)*$C125</f>
        <v>1147287</v>
      </c>
      <c r="K125" s="22">
        <f>INDEX(Notes!$I$2:$N$11,MATCH(Notes!$B$2,Notes!$I$2:$I$11,0),5)*$D125</f>
        <v>0</v>
      </c>
      <c r="L125" s="22">
        <f>INDEX(Notes!$I$2:$N$11,MATCH(Notes!$B$2,Notes!$I$2:$I$11,0),6)*$E125</f>
        <v>0</v>
      </c>
      <c r="M125" s="22">
        <f>IF(Notes!$B$2="June",'Payment Total'!$F125,0)</f>
        <v>0</v>
      </c>
      <c r="N125" s="22">
        <f t="shared" si="4"/>
        <v>0</v>
      </c>
      <c r="P125" s="26" t="s">
        <v>961</v>
      </c>
      <c r="Q125" s="26">
        <v>382429</v>
      </c>
      <c r="R125" s="21" t="str">
        <f t="shared" si="5"/>
        <v>2502</v>
      </c>
      <c r="S125" s="44" t="str">
        <f t="shared" si="6"/>
        <v>2502</v>
      </c>
      <c r="T125" s="45">
        <f t="shared" si="7"/>
        <v>0</v>
      </c>
      <c r="V125" s="45"/>
    </row>
    <row r="126" spans="1:22" s="26" customFormat="1" ht="12.75" x14ac:dyDescent="0.2">
      <c r="A126" s="20" t="str">
        <f>Data!B121</f>
        <v>2511</v>
      </c>
      <c r="B126" s="21" t="str">
        <f>INDEX(Data[],MATCH($A126,Data[Dist],0),MATCH(B$6,Data[#Headers],0))</f>
        <v>Glenwood</v>
      </c>
      <c r="C126" s="22">
        <f>INDEX(Data[],MATCH($A126,Data[Dist],0),MATCH(C$6,Data[#Headers],0))</f>
        <v>1348964</v>
      </c>
      <c r="D126" s="160">
        <f>INDEX(Data[],MATCH($A126,Data[Dist],0),MATCH(D$6,Data[#Headers],0))</f>
        <v>1341618</v>
      </c>
      <c r="E126" s="160">
        <f>INDEX(Data[],MATCH($A126,Data[Dist],0),MATCH(E$6,Data[#Headers],0))</f>
        <v>1341618</v>
      </c>
      <c r="F126" s="160">
        <f>INDEX(Data[],MATCH($A126,Data[Dist],0),MATCH(F$6,Data[#Headers],0))</f>
        <v>1341619</v>
      </c>
      <c r="G126" s="22">
        <f>INDEX(Data[],MATCH($A126,Data[Dist],0),MATCH(G$6,Data[#Headers],0))</f>
        <v>4046892</v>
      </c>
      <c r="H126" s="22">
        <f>INDEX(Data[],MATCH($A126,Data[Dist],0),MATCH(H$6,Data[#Headers],0))-G126</f>
        <v>9442750</v>
      </c>
      <c r="I126" s="25"/>
      <c r="J126" s="22">
        <f>INDEX(Notes!$I$2:$N$11,MATCH(Notes!$B$2,Notes!$I$2:$I$11,0),4)*$C126</f>
        <v>4046892</v>
      </c>
      <c r="K126" s="22">
        <f>INDEX(Notes!$I$2:$N$11,MATCH(Notes!$B$2,Notes!$I$2:$I$11,0),5)*$D126</f>
        <v>0</v>
      </c>
      <c r="L126" s="22">
        <f>INDEX(Notes!$I$2:$N$11,MATCH(Notes!$B$2,Notes!$I$2:$I$11,0),6)*$E126</f>
        <v>0</v>
      </c>
      <c r="M126" s="22">
        <f>IF(Notes!$B$2="June",'Payment Total'!$F126,0)</f>
        <v>0</v>
      </c>
      <c r="N126" s="22">
        <f t="shared" si="4"/>
        <v>0</v>
      </c>
      <c r="P126" s="26" t="s">
        <v>962</v>
      </c>
      <c r="Q126" s="26">
        <v>1348964</v>
      </c>
      <c r="R126" s="21" t="str">
        <f t="shared" si="5"/>
        <v>2511</v>
      </c>
      <c r="S126" s="44" t="str">
        <f t="shared" si="6"/>
        <v>2511</v>
      </c>
      <c r="T126" s="45">
        <f t="shared" si="7"/>
        <v>0</v>
      </c>
      <c r="V126" s="45"/>
    </row>
    <row r="127" spans="1:22" s="26" customFormat="1" ht="12.75" x14ac:dyDescent="0.2">
      <c r="A127" s="20" t="str">
        <f>Data!B122</f>
        <v>2520</v>
      </c>
      <c r="B127" s="21" t="str">
        <f>INDEX(Data[],MATCH($A127,Data[Dist],0),MATCH(B$6,Data[#Headers],0))</f>
        <v>Glidden-Ralston</v>
      </c>
      <c r="C127" s="22">
        <f>INDEX(Data[],MATCH($A127,Data[Dist],0),MATCH(C$6,Data[#Headers],0))</f>
        <v>184673</v>
      </c>
      <c r="D127" s="160">
        <f>INDEX(Data[],MATCH($A127,Data[Dist],0),MATCH(D$6,Data[#Headers],0))</f>
        <v>183540</v>
      </c>
      <c r="E127" s="160">
        <f>INDEX(Data[],MATCH($A127,Data[Dist],0),MATCH(E$6,Data[#Headers],0))</f>
        <v>183540</v>
      </c>
      <c r="F127" s="160">
        <f>INDEX(Data[],MATCH($A127,Data[Dist],0),MATCH(F$6,Data[#Headers],0))</f>
        <v>183541</v>
      </c>
      <c r="G127" s="22">
        <f>INDEX(Data[],MATCH($A127,Data[Dist],0),MATCH(G$6,Data[#Headers],0))</f>
        <v>554019</v>
      </c>
      <c r="H127" s="22">
        <f>INDEX(Data[],MATCH($A127,Data[Dist],0),MATCH(H$6,Data[#Headers],0))-G127</f>
        <v>1292713</v>
      </c>
      <c r="I127" s="25"/>
      <c r="J127" s="22">
        <f>INDEX(Notes!$I$2:$N$11,MATCH(Notes!$B$2,Notes!$I$2:$I$11,0),4)*$C127</f>
        <v>554019</v>
      </c>
      <c r="K127" s="22">
        <f>INDEX(Notes!$I$2:$N$11,MATCH(Notes!$B$2,Notes!$I$2:$I$11,0),5)*$D127</f>
        <v>0</v>
      </c>
      <c r="L127" s="22">
        <f>INDEX(Notes!$I$2:$N$11,MATCH(Notes!$B$2,Notes!$I$2:$I$11,0),6)*$E127</f>
        <v>0</v>
      </c>
      <c r="M127" s="22">
        <f>IF(Notes!$B$2="June",'Payment Total'!$F127,0)</f>
        <v>0</v>
      </c>
      <c r="N127" s="22">
        <f t="shared" si="4"/>
        <v>0</v>
      </c>
      <c r="P127" s="26" t="s">
        <v>963</v>
      </c>
      <c r="Q127" s="26">
        <v>184673</v>
      </c>
      <c r="R127" s="21" t="str">
        <f t="shared" si="5"/>
        <v>2520</v>
      </c>
      <c r="S127" s="44" t="str">
        <f t="shared" si="6"/>
        <v>2520</v>
      </c>
      <c r="T127" s="45">
        <f t="shared" si="7"/>
        <v>0</v>
      </c>
      <c r="V127" s="45"/>
    </row>
    <row r="128" spans="1:22" s="26" customFormat="1" ht="12.75" x14ac:dyDescent="0.2">
      <c r="A128" s="20" t="str">
        <f>Data!B123</f>
        <v>2556</v>
      </c>
      <c r="B128" s="21" t="str">
        <f>INDEX(Data[],MATCH($A128,Data[Dist],0),MATCH(B$6,Data[#Headers],0))</f>
        <v>Graettinger-Terril</v>
      </c>
      <c r="C128" s="22">
        <f>INDEX(Data[],MATCH($A128,Data[Dist],0),MATCH(C$6,Data[#Headers],0))</f>
        <v>199707</v>
      </c>
      <c r="D128" s="160">
        <f>INDEX(Data[],MATCH($A128,Data[Dist],0),MATCH(D$6,Data[#Headers],0))</f>
        <v>198260</v>
      </c>
      <c r="E128" s="160">
        <f>INDEX(Data[],MATCH($A128,Data[Dist],0),MATCH(E$6,Data[#Headers],0))</f>
        <v>198260</v>
      </c>
      <c r="F128" s="160">
        <f>INDEX(Data[],MATCH($A128,Data[Dist],0),MATCH(F$6,Data[#Headers],0))</f>
        <v>198258</v>
      </c>
      <c r="G128" s="22">
        <f>INDEX(Data[],MATCH($A128,Data[Dist],0),MATCH(G$6,Data[#Headers],0))</f>
        <v>599121</v>
      </c>
      <c r="H128" s="22">
        <f>INDEX(Data[],MATCH($A128,Data[Dist],0),MATCH(H$6,Data[#Headers],0))-G128</f>
        <v>1397948</v>
      </c>
      <c r="I128" s="25"/>
      <c r="J128" s="22">
        <f>INDEX(Notes!$I$2:$N$11,MATCH(Notes!$B$2,Notes!$I$2:$I$11,0),4)*$C128</f>
        <v>599121</v>
      </c>
      <c r="K128" s="22">
        <f>INDEX(Notes!$I$2:$N$11,MATCH(Notes!$B$2,Notes!$I$2:$I$11,0),5)*$D128</f>
        <v>0</v>
      </c>
      <c r="L128" s="22">
        <f>INDEX(Notes!$I$2:$N$11,MATCH(Notes!$B$2,Notes!$I$2:$I$11,0),6)*$E128</f>
        <v>0</v>
      </c>
      <c r="M128" s="22">
        <f>IF(Notes!$B$2="June",'Payment Total'!$F128,0)</f>
        <v>0</v>
      </c>
      <c r="N128" s="22">
        <f t="shared" si="4"/>
        <v>0</v>
      </c>
      <c r="P128" s="26" t="s">
        <v>964</v>
      </c>
      <c r="Q128" s="26">
        <v>199707</v>
      </c>
      <c r="R128" s="21" t="str">
        <f t="shared" si="5"/>
        <v>2556</v>
      </c>
      <c r="S128" s="44" t="str">
        <f t="shared" si="6"/>
        <v>2556</v>
      </c>
      <c r="T128" s="45">
        <f t="shared" si="7"/>
        <v>0</v>
      </c>
      <c r="V128" s="45"/>
    </row>
    <row r="129" spans="1:22" s="26" customFormat="1" ht="12.75" x14ac:dyDescent="0.2">
      <c r="A129" s="20" t="str">
        <f>Data!B124</f>
        <v>2673</v>
      </c>
      <c r="B129" s="21" t="str">
        <f>INDEX(Data[],MATCH($A129,Data[Dist],0),MATCH(B$6,Data[#Headers],0))</f>
        <v>Nodaway Valley</v>
      </c>
      <c r="C129" s="22">
        <f>INDEX(Data[],MATCH($A129,Data[Dist],0),MATCH(C$6,Data[#Headers],0))</f>
        <v>412777</v>
      </c>
      <c r="D129" s="160">
        <f>INDEX(Data[],MATCH($A129,Data[Dist],0),MATCH(D$6,Data[#Headers],0))</f>
        <v>410379</v>
      </c>
      <c r="E129" s="160">
        <f>INDEX(Data[],MATCH($A129,Data[Dist],0),MATCH(E$6,Data[#Headers],0))</f>
        <v>410378</v>
      </c>
      <c r="F129" s="160">
        <f>INDEX(Data[],MATCH($A129,Data[Dist],0),MATCH(F$6,Data[#Headers],0))</f>
        <v>410379</v>
      </c>
      <c r="G129" s="22">
        <f>INDEX(Data[],MATCH($A129,Data[Dist],0),MATCH(G$6,Data[#Headers],0))</f>
        <v>1238331</v>
      </c>
      <c r="H129" s="22">
        <f>INDEX(Data[],MATCH($A129,Data[Dist],0),MATCH(H$6,Data[#Headers],0))-G129</f>
        <v>2889439</v>
      </c>
      <c r="I129" s="25"/>
      <c r="J129" s="22">
        <f>INDEX(Notes!$I$2:$N$11,MATCH(Notes!$B$2,Notes!$I$2:$I$11,0),4)*$C129</f>
        <v>1238331</v>
      </c>
      <c r="K129" s="22">
        <f>INDEX(Notes!$I$2:$N$11,MATCH(Notes!$B$2,Notes!$I$2:$I$11,0),5)*$D129</f>
        <v>0</v>
      </c>
      <c r="L129" s="22">
        <f>INDEX(Notes!$I$2:$N$11,MATCH(Notes!$B$2,Notes!$I$2:$I$11,0),6)*$E129</f>
        <v>0</v>
      </c>
      <c r="M129" s="22">
        <f>IF(Notes!$B$2="June",'Payment Total'!$F129,0)</f>
        <v>0</v>
      </c>
      <c r="N129" s="22">
        <f t="shared" si="4"/>
        <v>0</v>
      </c>
      <c r="P129" s="26" t="s">
        <v>965</v>
      </c>
      <c r="Q129" s="26">
        <v>412777</v>
      </c>
      <c r="R129" s="21" t="str">
        <f t="shared" si="5"/>
        <v>2673</v>
      </c>
      <c r="S129" s="44" t="str">
        <f t="shared" si="6"/>
        <v>2673</v>
      </c>
      <c r="T129" s="45">
        <f t="shared" si="7"/>
        <v>0</v>
      </c>
      <c r="V129" s="45"/>
    </row>
    <row r="130" spans="1:22" s="26" customFormat="1" ht="12.75" x14ac:dyDescent="0.2">
      <c r="A130" s="20" t="str">
        <f>Data!B125</f>
        <v>2682</v>
      </c>
      <c r="B130" s="21" t="str">
        <f>INDEX(Data[],MATCH($A130,Data[Dist],0),MATCH(B$6,Data[#Headers],0))</f>
        <v>GMG</v>
      </c>
      <c r="C130" s="22">
        <f>INDEX(Data[],MATCH($A130,Data[Dist],0),MATCH(C$6,Data[#Headers],0))</f>
        <v>133784</v>
      </c>
      <c r="D130" s="160">
        <f>INDEX(Data[],MATCH($A130,Data[Dist],0),MATCH(D$6,Data[#Headers],0))</f>
        <v>132810</v>
      </c>
      <c r="E130" s="160">
        <f>INDEX(Data[],MATCH($A130,Data[Dist],0),MATCH(E$6,Data[#Headers],0))</f>
        <v>132809</v>
      </c>
      <c r="F130" s="160">
        <f>INDEX(Data[],MATCH($A130,Data[Dist],0),MATCH(F$6,Data[#Headers],0))</f>
        <v>132810</v>
      </c>
      <c r="G130" s="22">
        <f>INDEX(Data[],MATCH($A130,Data[Dist],0),MATCH(G$6,Data[#Headers],0))</f>
        <v>401352</v>
      </c>
      <c r="H130" s="22">
        <f>INDEX(Data[],MATCH($A130,Data[Dist],0),MATCH(H$6,Data[#Headers],0))-G130</f>
        <v>936487</v>
      </c>
      <c r="I130" s="25"/>
      <c r="J130" s="22">
        <f>INDEX(Notes!$I$2:$N$11,MATCH(Notes!$B$2,Notes!$I$2:$I$11,0),4)*$C130</f>
        <v>401352</v>
      </c>
      <c r="K130" s="22">
        <f>INDEX(Notes!$I$2:$N$11,MATCH(Notes!$B$2,Notes!$I$2:$I$11,0),5)*$D130</f>
        <v>0</v>
      </c>
      <c r="L130" s="22">
        <f>INDEX(Notes!$I$2:$N$11,MATCH(Notes!$B$2,Notes!$I$2:$I$11,0),6)*$E130</f>
        <v>0</v>
      </c>
      <c r="M130" s="22">
        <f>IF(Notes!$B$2="June",'Payment Total'!$F130,0)</f>
        <v>0</v>
      </c>
      <c r="N130" s="22">
        <f t="shared" si="4"/>
        <v>0</v>
      </c>
      <c r="P130" s="26" t="s">
        <v>966</v>
      </c>
      <c r="Q130" s="26">
        <v>133784</v>
      </c>
      <c r="R130" s="21" t="str">
        <f t="shared" si="5"/>
        <v>2682</v>
      </c>
      <c r="S130" s="44" t="str">
        <f t="shared" si="6"/>
        <v>2682</v>
      </c>
      <c r="T130" s="45">
        <f t="shared" si="7"/>
        <v>0</v>
      </c>
      <c r="V130" s="45"/>
    </row>
    <row r="131" spans="1:22" s="26" customFormat="1" ht="12.75" x14ac:dyDescent="0.2">
      <c r="A131" s="20" t="str">
        <f>Data!B126</f>
        <v>2709</v>
      </c>
      <c r="B131" s="21" t="str">
        <f>INDEX(Data[],MATCH($A131,Data[Dist],0),MATCH(B$6,Data[#Headers],0))</f>
        <v>Grinnell-Newburg</v>
      </c>
      <c r="C131" s="22">
        <f>INDEX(Data[],MATCH($A131,Data[Dist],0),MATCH(C$6,Data[#Headers],0))</f>
        <v>1007558</v>
      </c>
      <c r="D131" s="160">
        <f>INDEX(Data[],MATCH($A131,Data[Dist],0),MATCH(D$6,Data[#Headers],0))</f>
        <v>1001822</v>
      </c>
      <c r="E131" s="160">
        <f>INDEX(Data[],MATCH($A131,Data[Dist],0),MATCH(E$6,Data[#Headers],0))</f>
        <v>1001822</v>
      </c>
      <c r="F131" s="160">
        <f>INDEX(Data[],MATCH($A131,Data[Dist],0),MATCH(F$6,Data[#Headers],0))</f>
        <v>1001820</v>
      </c>
      <c r="G131" s="22">
        <f>INDEX(Data[],MATCH($A131,Data[Dist],0),MATCH(G$6,Data[#Headers],0))</f>
        <v>3022674</v>
      </c>
      <c r="H131" s="22">
        <f>INDEX(Data[],MATCH($A131,Data[Dist],0),MATCH(H$6,Data[#Headers],0))-G131</f>
        <v>7052904</v>
      </c>
      <c r="I131" s="25"/>
      <c r="J131" s="22">
        <f>INDEX(Notes!$I$2:$N$11,MATCH(Notes!$B$2,Notes!$I$2:$I$11,0),4)*$C131</f>
        <v>3022674</v>
      </c>
      <c r="K131" s="22">
        <f>INDEX(Notes!$I$2:$N$11,MATCH(Notes!$B$2,Notes!$I$2:$I$11,0),5)*$D131</f>
        <v>0</v>
      </c>
      <c r="L131" s="22">
        <f>INDEX(Notes!$I$2:$N$11,MATCH(Notes!$B$2,Notes!$I$2:$I$11,0),6)*$E131</f>
        <v>0</v>
      </c>
      <c r="M131" s="22">
        <f>IF(Notes!$B$2="June",'Payment Total'!$F131,0)</f>
        <v>0</v>
      </c>
      <c r="N131" s="22">
        <f t="shared" si="4"/>
        <v>0</v>
      </c>
      <c r="P131" s="26" t="s">
        <v>967</v>
      </c>
      <c r="Q131" s="26">
        <v>1007558</v>
      </c>
      <c r="R131" s="21" t="str">
        <f t="shared" si="5"/>
        <v>2709</v>
      </c>
      <c r="S131" s="44" t="str">
        <f t="shared" si="6"/>
        <v>2709</v>
      </c>
      <c r="T131" s="45">
        <f t="shared" si="7"/>
        <v>0</v>
      </c>
      <c r="V131" s="45"/>
    </row>
    <row r="132" spans="1:22" s="26" customFormat="1" ht="12.75" x14ac:dyDescent="0.2">
      <c r="A132" s="20" t="str">
        <f>Data!B127</f>
        <v>2718</v>
      </c>
      <c r="B132" s="21" t="str">
        <f>INDEX(Data[],MATCH($A132,Data[Dist],0),MATCH(B$6,Data[#Headers],0))</f>
        <v>Griswold</v>
      </c>
      <c r="C132" s="22">
        <f>INDEX(Data[],MATCH($A132,Data[Dist],0),MATCH(C$6,Data[#Headers],0))</f>
        <v>279080</v>
      </c>
      <c r="D132" s="160">
        <f>INDEX(Data[],MATCH($A132,Data[Dist],0),MATCH(D$6,Data[#Headers],0))</f>
        <v>277365</v>
      </c>
      <c r="E132" s="160">
        <f>INDEX(Data[],MATCH($A132,Data[Dist],0),MATCH(E$6,Data[#Headers],0))</f>
        <v>277366</v>
      </c>
      <c r="F132" s="160">
        <f>INDEX(Data[],MATCH($A132,Data[Dist],0),MATCH(F$6,Data[#Headers],0))</f>
        <v>277364</v>
      </c>
      <c r="G132" s="22">
        <f>INDEX(Data[],MATCH($A132,Data[Dist],0),MATCH(G$6,Data[#Headers],0))</f>
        <v>837240</v>
      </c>
      <c r="H132" s="22">
        <f>INDEX(Data[],MATCH($A132,Data[Dist],0),MATCH(H$6,Data[#Headers],0))-G132</f>
        <v>1953558</v>
      </c>
      <c r="I132" s="25"/>
      <c r="J132" s="22">
        <f>INDEX(Notes!$I$2:$N$11,MATCH(Notes!$B$2,Notes!$I$2:$I$11,0),4)*$C132</f>
        <v>837240</v>
      </c>
      <c r="K132" s="22">
        <f>INDEX(Notes!$I$2:$N$11,MATCH(Notes!$B$2,Notes!$I$2:$I$11,0),5)*$D132</f>
        <v>0</v>
      </c>
      <c r="L132" s="22">
        <f>INDEX(Notes!$I$2:$N$11,MATCH(Notes!$B$2,Notes!$I$2:$I$11,0),6)*$E132</f>
        <v>0</v>
      </c>
      <c r="M132" s="22">
        <f>IF(Notes!$B$2="June",'Payment Total'!$F132,0)</f>
        <v>0</v>
      </c>
      <c r="N132" s="22">
        <f t="shared" si="4"/>
        <v>0</v>
      </c>
      <c r="P132" s="26" t="s">
        <v>968</v>
      </c>
      <c r="Q132" s="26">
        <v>279080</v>
      </c>
      <c r="R132" s="21" t="str">
        <f t="shared" si="5"/>
        <v>2718</v>
      </c>
      <c r="S132" s="44" t="str">
        <f t="shared" si="6"/>
        <v>2718</v>
      </c>
      <c r="T132" s="45">
        <f t="shared" si="7"/>
        <v>0</v>
      </c>
      <c r="V132" s="45"/>
    </row>
    <row r="133" spans="1:22" s="26" customFormat="1" ht="12.75" x14ac:dyDescent="0.2">
      <c r="A133" s="20" t="str">
        <f>Data!B128</f>
        <v>2727</v>
      </c>
      <c r="B133" s="21" t="str">
        <f>INDEX(Data[],MATCH($A133,Data[Dist],0),MATCH(B$6,Data[#Headers],0))</f>
        <v>Grundy Center</v>
      </c>
      <c r="C133" s="22">
        <f>INDEX(Data[],MATCH($A133,Data[Dist],0),MATCH(C$6,Data[#Headers],0))</f>
        <v>481693</v>
      </c>
      <c r="D133" s="160">
        <f>INDEX(Data[],MATCH($A133,Data[Dist],0),MATCH(D$6,Data[#Headers],0))</f>
        <v>479092</v>
      </c>
      <c r="E133" s="160">
        <f>INDEX(Data[],MATCH($A133,Data[Dist],0),MATCH(E$6,Data[#Headers],0))</f>
        <v>479092</v>
      </c>
      <c r="F133" s="160">
        <f>INDEX(Data[],MATCH($A133,Data[Dist],0),MATCH(F$6,Data[#Headers],0))</f>
        <v>479090</v>
      </c>
      <c r="G133" s="22">
        <f>INDEX(Data[],MATCH($A133,Data[Dist],0),MATCH(G$6,Data[#Headers],0))</f>
        <v>1445079</v>
      </c>
      <c r="H133" s="22">
        <f>INDEX(Data[],MATCH($A133,Data[Dist],0),MATCH(H$6,Data[#Headers],0))-G133</f>
        <v>3371847</v>
      </c>
      <c r="I133" s="25"/>
      <c r="J133" s="22">
        <f>INDEX(Notes!$I$2:$N$11,MATCH(Notes!$B$2,Notes!$I$2:$I$11,0),4)*$C133</f>
        <v>1445079</v>
      </c>
      <c r="K133" s="22">
        <f>INDEX(Notes!$I$2:$N$11,MATCH(Notes!$B$2,Notes!$I$2:$I$11,0),5)*$D133</f>
        <v>0</v>
      </c>
      <c r="L133" s="22">
        <f>INDEX(Notes!$I$2:$N$11,MATCH(Notes!$B$2,Notes!$I$2:$I$11,0),6)*$E133</f>
        <v>0</v>
      </c>
      <c r="M133" s="22">
        <f>IF(Notes!$B$2="June",'Payment Total'!$F133,0)</f>
        <v>0</v>
      </c>
      <c r="N133" s="22">
        <f t="shared" si="4"/>
        <v>0</v>
      </c>
      <c r="P133" s="26" t="s">
        <v>969</v>
      </c>
      <c r="Q133" s="26">
        <v>481693</v>
      </c>
      <c r="R133" s="21" t="str">
        <f t="shared" si="5"/>
        <v>2727</v>
      </c>
      <c r="S133" s="44" t="str">
        <f t="shared" si="6"/>
        <v>2727</v>
      </c>
      <c r="T133" s="45">
        <f t="shared" si="7"/>
        <v>0</v>
      </c>
      <c r="V133" s="45"/>
    </row>
    <row r="134" spans="1:22" s="26" customFormat="1" ht="12.75" x14ac:dyDescent="0.2">
      <c r="A134" s="20" t="str">
        <f>Data!B129</f>
        <v>2754</v>
      </c>
      <c r="B134" s="21" t="str">
        <f>INDEX(Data[],MATCH($A134,Data[Dist],0),MATCH(B$6,Data[#Headers],0))</f>
        <v>Guthrie Center</v>
      </c>
      <c r="C134" s="22">
        <f>INDEX(Data[],MATCH($A134,Data[Dist],0),MATCH(C$6,Data[#Headers],0))</f>
        <v>254823</v>
      </c>
      <c r="D134" s="160">
        <f>INDEX(Data[],MATCH($A134,Data[Dist],0),MATCH(D$6,Data[#Headers],0))</f>
        <v>253291</v>
      </c>
      <c r="E134" s="160">
        <f>INDEX(Data[],MATCH($A134,Data[Dist],0),MATCH(E$6,Data[#Headers],0))</f>
        <v>253290</v>
      </c>
      <c r="F134" s="160">
        <f>INDEX(Data[],MATCH($A134,Data[Dist],0),MATCH(F$6,Data[#Headers],0))</f>
        <v>253291</v>
      </c>
      <c r="G134" s="22">
        <f>INDEX(Data[],MATCH($A134,Data[Dist],0),MATCH(G$6,Data[#Headers],0))</f>
        <v>764469</v>
      </c>
      <c r="H134" s="22">
        <f>INDEX(Data[],MATCH($A134,Data[Dist],0),MATCH(H$6,Data[#Headers],0))-G134</f>
        <v>1783756</v>
      </c>
      <c r="I134" s="25"/>
      <c r="J134" s="22">
        <f>INDEX(Notes!$I$2:$N$11,MATCH(Notes!$B$2,Notes!$I$2:$I$11,0),4)*$C134</f>
        <v>764469</v>
      </c>
      <c r="K134" s="22">
        <f>INDEX(Notes!$I$2:$N$11,MATCH(Notes!$B$2,Notes!$I$2:$I$11,0),5)*$D134</f>
        <v>0</v>
      </c>
      <c r="L134" s="22">
        <f>INDEX(Notes!$I$2:$N$11,MATCH(Notes!$B$2,Notes!$I$2:$I$11,0),6)*$E134</f>
        <v>0</v>
      </c>
      <c r="M134" s="22">
        <f>IF(Notes!$B$2="June",'Payment Total'!$F134,0)</f>
        <v>0</v>
      </c>
      <c r="N134" s="22">
        <f t="shared" si="4"/>
        <v>0</v>
      </c>
      <c r="P134" s="26" t="s">
        <v>970</v>
      </c>
      <c r="Q134" s="26">
        <v>254823</v>
      </c>
      <c r="R134" s="21" t="str">
        <f t="shared" si="5"/>
        <v>2754</v>
      </c>
      <c r="S134" s="44" t="str">
        <f t="shared" si="6"/>
        <v>2754</v>
      </c>
      <c r="T134" s="45">
        <f t="shared" si="7"/>
        <v>0</v>
      </c>
      <c r="V134" s="45"/>
    </row>
    <row r="135" spans="1:22" s="26" customFormat="1" ht="12.75" x14ac:dyDescent="0.2">
      <c r="A135" s="20" t="str">
        <f>Data!B130</f>
        <v>2763</v>
      </c>
      <c r="B135" s="21" t="str">
        <f>INDEX(Data[],MATCH($A135,Data[Dist],0),MATCH(B$6,Data[#Headers],0))</f>
        <v>Clayton Ridge</v>
      </c>
      <c r="C135" s="22">
        <f>INDEX(Data[],MATCH($A135,Data[Dist],0),MATCH(C$6,Data[#Headers],0))</f>
        <v>359083</v>
      </c>
      <c r="D135" s="160">
        <f>INDEX(Data[],MATCH($A135,Data[Dist],0),MATCH(D$6,Data[#Headers],0))</f>
        <v>356625</v>
      </c>
      <c r="E135" s="160">
        <f>INDEX(Data[],MATCH($A135,Data[Dist],0),MATCH(E$6,Data[#Headers],0))</f>
        <v>356625</v>
      </c>
      <c r="F135" s="160">
        <f>INDEX(Data[],MATCH($A135,Data[Dist],0),MATCH(F$6,Data[#Headers],0))</f>
        <v>356624</v>
      </c>
      <c r="G135" s="22">
        <f>INDEX(Data[],MATCH($A135,Data[Dist],0),MATCH(G$6,Data[#Headers],0))</f>
        <v>1077249</v>
      </c>
      <c r="H135" s="22">
        <f>INDEX(Data[],MATCH($A135,Data[Dist],0),MATCH(H$6,Data[#Headers],0))-G135</f>
        <v>2513576</v>
      </c>
      <c r="I135" s="25"/>
      <c r="J135" s="22">
        <f>INDEX(Notes!$I$2:$N$11,MATCH(Notes!$B$2,Notes!$I$2:$I$11,0),4)*$C135</f>
        <v>1077249</v>
      </c>
      <c r="K135" s="22">
        <f>INDEX(Notes!$I$2:$N$11,MATCH(Notes!$B$2,Notes!$I$2:$I$11,0),5)*$D135</f>
        <v>0</v>
      </c>
      <c r="L135" s="22">
        <f>INDEX(Notes!$I$2:$N$11,MATCH(Notes!$B$2,Notes!$I$2:$I$11,0),6)*$E135</f>
        <v>0</v>
      </c>
      <c r="M135" s="22">
        <f>IF(Notes!$B$2="June",'Payment Total'!$F135,0)</f>
        <v>0</v>
      </c>
      <c r="N135" s="22">
        <f t="shared" si="4"/>
        <v>0</v>
      </c>
      <c r="P135" s="26" t="s">
        <v>971</v>
      </c>
      <c r="Q135" s="26">
        <v>359083</v>
      </c>
      <c r="R135" s="21" t="str">
        <f t="shared" si="5"/>
        <v>2763</v>
      </c>
      <c r="S135" s="44" t="str">
        <f t="shared" si="6"/>
        <v>2763</v>
      </c>
      <c r="T135" s="45">
        <f t="shared" si="7"/>
        <v>0</v>
      </c>
      <c r="V135" s="45"/>
    </row>
    <row r="136" spans="1:22" s="26" customFormat="1" ht="12.75" x14ac:dyDescent="0.2">
      <c r="A136" s="20" t="str">
        <f>Data!B131</f>
        <v>2766</v>
      </c>
      <c r="B136" s="21" t="str">
        <f>INDEX(Data[],MATCH($A136,Data[Dist],0),MATCH(B$6,Data[#Headers],0))</f>
        <v>HLV</v>
      </c>
      <c r="C136" s="22">
        <f>INDEX(Data[],MATCH($A136,Data[Dist],0),MATCH(C$6,Data[#Headers],0))</f>
        <v>195097</v>
      </c>
      <c r="D136" s="160">
        <f>INDEX(Data[],MATCH($A136,Data[Dist],0),MATCH(D$6,Data[#Headers],0))</f>
        <v>193898</v>
      </c>
      <c r="E136" s="160">
        <f>INDEX(Data[],MATCH($A136,Data[Dist],0),MATCH(E$6,Data[#Headers],0))</f>
        <v>193898</v>
      </c>
      <c r="F136" s="160">
        <f>INDEX(Data[],MATCH($A136,Data[Dist],0),MATCH(F$6,Data[#Headers],0))</f>
        <v>193896</v>
      </c>
      <c r="G136" s="22">
        <f>INDEX(Data[],MATCH($A136,Data[Dist],0),MATCH(G$6,Data[#Headers],0))</f>
        <v>585291</v>
      </c>
      <c r="H136" s="22">
        <f>INDEX(Data[],MATCH($A136,Data[Dist],0),MATCH(H$6,Data[#Headers],0))-G136</f>
        <v>1365680</v>
      </c>
      <c r="I136" s="25"/>
      <c r="J136" s="22">
        <f>INDEX(Notes!$I$2:$N$11,MATCH(Notes!$B$2,Notes!$I$2:$I$11,0),4)*$C136</f>
        <v>585291</v>
      </c>
      <c r="K136" s="22">
        <f>INDEX(Notes!$I$2:$N$11,MATCH(Notes!$B$2,Notes!$I$2:$I$11,0),5)*$D136</f>
        <v>0</v>
      </c>
      <c r="L136" s="22">
        <f>INDEX(Notes!$I$2:$N$11,MATCH(Notes!$B$2,Notes!$I$2:$I$11,0),6)*$E136</f>
        <v>0</v>
      </c>
      <c r="M136" s="22">
        <f>IF(Notes!$B$2="June",'Payment Total'!$F136,0)</f>
        <v>0</v>
      </c>
      <c r="N136" s="22">
        <f t="shared" ref="N136:N199" si="8">SUM(J136:M136)-G136</f>
        <v>0</v>
      </c>
      <c r="P136" s="26" t="s">
        <v>972</v>
      </c>
      <c r="Q136" s="26">
        <v>195097</v>
      </c>
      <c r="R136" s="21" t="str">
        <f t="shared" ref="R136:R199" si="9">TEXT(P136/10000,"0000")</f>
        <v>2766</v>
      </c>
      <c r="S136" s="44" t="str">
        <f t="shared" ref="S136:S199" si="10">IF(R136="1968","3582",IF(R136="5160","5319",IF(R136="5510","4824",IF(R136="6536","1935",IF(R136="6035","6048",IF(R136="5325","5323",IF(R136="6099","5157",R136)))))))</f>
        <v>2766</v>
      </c>
      <c r="T136" s="45">
        <f t="shared" ref="T136:T199" si="11">INDEX($A$7:$H$331,MATCH($S136,$A$7:$A$331,0),3)-Q136</f>
        <v>0</v>
      </c>
      <c r="V136" s="45"/>
    </row>
    <row r="137" spans="1:22" s="26" customFormat="1" ht="12.75" x14ac:dyDescent="0.2">
      <c r="A137" s="20" t="str">
        <f>Data!B132</f>
        <v>2772</v>
      </c>
      <c r="B137" s="21" t="str">
        <f>INDEX(Data[],MATCH($A137,Data[Dist],0),MATCH(B$6,Data[#Headers],0))</f>
        <v>Hamburg</v>
      </c>
      <c r="C137" s="22">
        <f>INDEX(Data[],MATCH($A137,Data[Dist],0),MATCH(C$6,Data[#Headers],0))</f>
        <v>122192</v>
      </c>
      <c r="D137" s="160">
        <f>INDEX(Data[],MATCH($A137,Data[Dist],0),MATCH(D$6,Data[#Headers],0))</f>
        <v>121327</v>
      </c>
      <c r="E137" s="160">
        <f>INDEX(Data[],MATCH($A137,Data[Dist],0),MATCH(E$6,Data[#Headers],0))</f>
        <v>121328</v>
      </c>
      <c r="F137" s="160">
        <f>INDEX(Data[],MATCH($A137,Data[Dist],0),MATCH(F$6,Data[#Headers],0))</f>
        <v>121326</v>
      </c>
      <c r="G137" s="22">
        <f>INDEX(Data[],MATCH($A137,Data[Dist],0),MATCH(G$6,Data[#Headers],0))</f>
        <v>366576</v>
      </c>
      <c r="H137" s="22">
        <f>INDEX(Data[],MATCH($A137,Data[Dist],0),MATCH(H$6,Data[#Headers],0))-G137</f>
        <v>855347</v>
      </c>
      <c r="I137" s="25"/>
      <c r="J137" s="22">
        <f>INDEX(Notes!$I$2:$N$11,MATCH(Notes!$B$2,Notes!$I$2:$I$11,0),4)*$C137</f>
        <v>366576</v>
      </c>
      <c r="K137" s="22">
        <f>INDEX(Notes!$I$2:$N$11,MATCH(Notes!$B$2,Notes!$I$2:$I$11,0),5)*$D137</f>
        <v>0</v>
      </c>
      <c r="L137" s="22">
        <f>INDEX(Notes!$I$2:$N$11,MATCH(Notes!$B$2,Notes!$I$2:$I$11,0),6)*$E137</f>
        <v>0</v>
      </c>
      <c r="M137" s="22">
        <f>IF(Notes!$B$2="June",'Payment Total'!$F137,0)</f>
        <v>0</v>
      </c>
      <c r="N137" s="22">
        <f t="shared" si="8"/>
        <v>0</v>
      </c>
      <c r="P137" s="26" t="s">
        <v>973</v>
      </c>
      <c r="Q137" s="26">
        <v>122192</v>
      </c>
      <c r="R137" s="21" t="str">
        <f t="shared" si="9"/>
        <v>2772</v>
      </c>
      <c r="S137" s="44" t="str">
        <f t="shared" si="10"/>
        <v>2772</v>
      </c>
      <c r="T137" s="45">
        <f t="shared" si="11"/>
        <v>0</v>
      </c>
      <c r="V137" s="45"/>
    </row>
    <row r="138" spans="1:22" s="26" customFormat="1" ht="12.75" x14ac:dyDescent="0.2">
      <c r="A138" s="20" t="str">
        <f>Data!B133</f>
        <v>2781</v>
      </c>
      <c r="B138" s="21" t="str">
        <f>INDEX(Data[],MATCH($A138,Data[Dist],0),MATCH(B$6,Data[#Headers],0))</f>
        <v>Hampton-Dumont</v>
      </c>
      <c r="C138" s="22">
        <f>INDEX(Data[],MATCH($A138,Data[Dist],0),MATCH(C$6,Data[#Headers],0))</f>
        <v>800733</v>
      </c>
      <c r="D138" s="160">
        <f>INDEX(Data[],MATCH($A138,Data[Dist],0),MATCH(D$6,Data[#Headers],0))</f>
        <v>796447</v>
      </c>
      <c r="E138" s="160">
        <f>INDEX(Data[],MATCH($A138,Data[Dist],0),MATCH(E$6,Data[#Headers],0))</f>
        <v>796448</v>
      </c>
      <c r="F138" s="160">
        <f>INDEX(Data[],MATCH($A138,Data[Dist],0),MATCH(F$6,Data[#Headers],0))</f>
        <v>796446</v>
      </c>
      <c r="G138" s="22">
        <f>INDEX(Data[],MATCH($A138,Data[Dist],0),MATCH(G$6,Data[#Headers],0))</f>
        <v>2402199</v>
      </c>
      <c r="H138" s="22">
        <f>INDEX(Data[],MATCH($A138,Data[Dist],0),MATCH(H$6,Data[#Headers],0))-G138</f>
        <v>5605132</v>
      </c>
      <c r="I138" s="25"/>
      <c r="J138" s="22">
        <f>INDEX(Notes!$I$2:$N$11,MATCH(Notes!$B$2,Notes!$I$2:$I$11,0),4)*$C138</f>
        <v>2402199</v>
      </c>
      <c r="K138" s="22">
        <f>INDEX(Notes!$I$2:$N$11,MATCH(Notes!$B$2,Notes!$I$2:$I$11,0),5)*$D138</f>
        <v>0</v>
      </c>
      <c r="L138" s="22">
        <f>INDEX(Notes!$I$2:$N$11,MATCH(Notes!$B$2,Notes!$I$2:$I$11,0),6)*$E138</f>
        <v>0</v>
      </c>
      <c r="M138" s="22">
        <f>IF(Notes!$B$2="June",'Payment Total'!$F138,0)</f>
        <v>0</v>
      </c>
      <c r="N138" s="22">
        <f t="shared" si="8"/>
        <v>0</v>
      </c>
      <c r="P138" s="26" t="s">
        <v>974</v>
      </c>
      <c r="Q138" s="26">
        <v>800733</v>
      </c>
      <c r="R138" s="21" t="str">
        <f t="shared" si="9"/>
        <v>2781</v>
      </c>
      <c r="S138" s="44" t="str">
        <f t="shared" si="10"/>
        <v>2781</v>
      </c>
      <c r="T138" s="45">
        <f t="shared" si="11"/>
        <v>0</v>
      </c>
      <c r="V138" s="45"/>
    </row>
    <row r="139" spans="1:22" s="26" customFormat="1" ht="12.75" x14ac:dyDescent="0.2">
      <c r="A139" s="20" t="str">
        <f>Data!B134</f>
        <v>2826</v>
      </c>
      <c r="B139" s="21" t="str">
        <f>INDEX(Data[],MATCH($A139,Data[Dist],0),MATCH(B$6,Data[#Headers],0))</f>
        <v>Harlan</v>
      </c>
      <c r="C139" s="22">
        <f>INDEX(Data[],MATCH($A139,Data[Dist],0),MATCH(C$6,Data[#Headers],0))</f>
        <v>952183</v>
      </c>
      <c r="D139" s="160">
        <f>INDEX(Data[],MATCH($A139,Data[Dist],0),MATCH(D$6,Data[#Headers],0))</f>
        <v>946918</v>
      </c>
      <c r="E139" s="160">
        <f>INDEX(Data[],MATCH($A139,Data[Dist],0),MATCH(E$6,Data[#Headers],0))</f>
        <v>946918</v>
      </c>
      <c r="F139" s="160">
        <f>INDEX(Data[],MATCH($A139,Data[Dist],0),MATCH(F$6,Data[#Headers],0))</f>
        <v>946919</v>
      </c>
      <c r="G139" s="22">
        <f>INDEX(Data[],MATCH($A139,Data[Dist],0),MATCH(G$6,Data[#Headers],0))</f>
        <v>2856549</v>
      </c>
      <c r="H139" s="22">
        <f>INDEX(Data[],MATCH($A139,Data[Dist],0),MATCH(H$6,Data[#Headers],0))-G139</f>
        <v>6665283</v>
      </c>
      <c r="I139" s="25"/>
      <c r="J139" s="22">
        <f>INDEX(Notes!$I$2:$N$11,MATCH(Notes!$B$2,Notes!$I$2:$I$11,0),4)*$C139</f>
        <v>2856549</v>
      </c>
      <c r="K139" s="22">
        <f>INDEX(Notes!$I$2:$N$11,MATCH(Notes!$B$2,Notes!$I$2:$I$11,0),5)*$D139</f>
        <v>0</v>
      </c>
      <c r="L139" s="22">
        <f>INDEX(Notes!$I$2:$N$11,MATCH(Notes!$B$2,Notes!$I$2:$I$11,0),6)*$E139</f>
        <v>0</v>
      </c>
      <c r="M139" s="22">
        <f>IF(Notes!$B$2="June",'Payment Total'!$F139,0)</f>
        <v>0</v>
      </c>
      <c r="N139" s="22">
        <f t="shared" si="8"/>
        <v>0</v>
      </c>
      <c r="P139" s="26" t="s">
        <v>975</v>
      </c>
      <c r="Q139" s="26">
        <v>952183</v>
      </c>
      <c r="R139" s="21" t="str">
        <f t="shared" si="9"/>
        <v>2826</v>
      </c>
      <c r="S139" s="44" t="str">
        <f t="shared" si="10"/>
        <v>2826</v>
      </c>
      <c r="T139" s="45">
        <f t="shared" si="11"/>
        <v>0</v>
      </c>
      <c r="V139" s="45"/>
    </row>
    <row r="140" spans="1:22" s="26" customFormat="1" ht="12.75" x14ac:dyDescent="0.2">
      <c r="A140" s="20" t="str">
        <f>Data!B135</f>
        <v>2846</v>
      </c>
      <c r="B140" s="21" t="str">
        <f>INDEX(Data[],MATCH($A140,Data[Dist],0),MATCH(B$6,Data[#Headers],0))</f>
        <v>Harris-Lake Park</v>
      </c>
      <c r="C140" s="22">
        <f>INDEX(Data[],MATCH($A140,Data[Dist],0),MATCH(C$6,Data[#Headers],0))</f>
        <v>114146</v>
      </c>
      <c r="D140" s="160">
        <f>INDEX(Data[],MATCH($A140,Data[Dist],0),MATCH(D$6,Data[#Headers],0))</f>
        <v>113020</v>
      </c>
      <c r="E140" s="160">
        <f>INDEX(Data[],MATCH($A140,Data[Dist],0),MATCH(E$6,Data[#Headers],0))</f>
        <v>113020</v>
      </c>
      <c r="F140" s="160">
        <f>INDEX(Data[],MATCH($A140,Data[Dist],0),MATCH(F$6,Data[#Headers],0))</f>
        <v>113020</v>
      </c>
      <c r="G140" s="22">
        <f>INDEX(Data[],MATCH($A140,Data[Dist],0),MATCH(G$6,Data[#Headers],0))</f>
        <v>342438</v>
      </c>
      <c r="H140" s="22">
        <f>INDEX(Data[],MATCH($A140,Data[Dist],0),MATCH(H$6,Data[#Headers],0))-G140</f>
        <v>799019</v>
      </c>
      <c r="I140" s="25"/>
      <c r="J140" s="22">
        <f>INDEX(Notes!$I$2:$N$11,MATCH(Notes!$B$2,Notes!$I$2:$I$11,0),4)*$C140</f>
        <v>342438</v>
      </c>
      <c r="K140" s="22">
        <f>INDEX(Notes!$I$2:$N$11,MATCH(Notes!$B$2,Notes!$I$2:$I$11,0),5)*$D140</f>
        <v>0</v>
      </c>
      <c r="L140" s="22">
        <f>INDEX(Notes!$I$2:$N$11,MATCH(Notes!$B$2,Notes!$I$2:$I$11,0),6)*$E140</f>
        <v>0</v>
      </c>
      <c r="M140" s="22">
        <f>IF(Notes!$B$2="June",'Payment Total'!$F140,0)</f>
        <v>0</v>
      </c>
      <c r="N140" s="22">
        <f t="shared" si="8"/>
        <v>0</v>
      </c>
      <c r="P140" s="26" t="s">
        <v>976</v>
      </c>
      <c r="Q140" s="26">
        <v>114146</v>
      </c>
      <c r="R140" s="21" t="str">
        <f t="shared" si="9"/>
        <v>2846</v>
      </c>
      <c r="S140" s="44" t="str">
        <f t="shared" si="10"/>
        <v>2846</v>
      </c>
      <c r="T140" s="45">
        <f t="shared" si="11"/>
        <v>0</v>
      </c>
      <c r="V140" s="45"/>
    </row>
    <row r="141" spans="1:22" s="26" customFormat="1" ht="12.75" x14ac:dyDescent="0.2">
      <c r="A141" s="20" t="str">
        <f>Data!B136</f>
        <v>2862</v>
      </c>
      <c r="B141" s="21" t="str">
        <f>INDEX(Data[],MATCH($A141,Data[Dist],0),MATCH(B$6,Data[#Headers],0))</f>
        <v>Hartley-Melvin-Sanborn</v>
      </c>
      <c r="C141" s="22">
        <f>INDEX(Data[],MATCH($A141,Data[Dist],0),MATCH(C$6,Data[#Headers],0))</f>
        <v>325396</v>
      </c>
      <c r="D141" s="160">
        <f>INDEX(Data[],MATCH($A141,Data[Dist],0),MATCH(D$6,Data[#Headers],0))</f>
        <v>322940</v>
      </c>
      <c r="E141" s="160">
        <f>INDEX(Data[],MATCH($A141,Data[Dist],0),MATCH(E$6,Data[#Headers],0))</f>
        <v>322940</v>
      </c>
      <c r="F141" s="160">
        <f>INDEX(Data[],MATCH($A141,Data[Dist],0),MATCH(F$6,Data[#Headers],0))</f>
        <v>322939</v>
      </c>
      <c r="G141" s="22">
        <f>INDEX(Data[],MATCH($A141,Data[Dist],0),MATCH(G$6,Data[#Headers],0))</f>
        <v>976188</v>
      </c>
      <c r="H141" s="22">
        <f>INDEX(Data[],MATCH($A141,Data[Dist],0),MATCH(H$6,Data[#Headers],0))-G141</f>
        <v>2277775</v>
      </c>
      <c r="I141" s="25"/>
      <c r="J141" s="22">
        <f>INDEX(Notes!$I$2:$N$11,MATCH(Notes!$B$2,Notes!$I$2:$I$11,0),4)*$C141</f>
        <v>976188</v>
      </c>
      <c r="K141" s="22">
        <f>INDEX(Notes!$I$2:$N$11,MATCH(Notes!$B$2,Notes!$I$2:$I$11,0),5)*$D141</f>
        <v>0</v>
      </c>
      <c r="L141" s="22">
        <f>INDEX(Notes!$I$2:$N$11,MATCH(Notes!$B$2,Notes!$I$2:$I$11,0),6)*$E141</f>
        <v>0</v>
      </c>
      <c r="M141" s="22">
        <f>IF(Notes!$B$2="June",'Payment Total'!$F141,0)</f>
        <v>0</v>
      </c>
      <c r="N141" s="22">
        <f t="shared" si="8"/>
        <v>0</v>
      </c>
      <c r="P141" s="26" t="s">
        <v>977</v>
      </c>
      <c r="Q141" s="26">
        <v>325396</v>
      </c>
      <c r="R141" s="21" t="str">
        <f t="shared" si="9"/>
        <v>2862</v>
      </c>
      <c r="S141" s="44" t="str">
        <f t="shared" si="10"/>
        <v>2862</v>
      </c>
      <c r="T141" s="45">
        <f t="shared" si="11"/>
        <v>0</v>
      </c>
      <c r="V141" s="45"/>
    </row>
    <row r="142" spans="1:22" s="26" customFormat="1" ht="12.75" x14ac:dyDescent="0.2">
      <c r="A142" s="20" t="str">
        <f>Data!B137</f>
        <v>2977</v>
      </c>
      <c r="B142" s="21" t="str">
        <f>INDEX(Data[],MATCH($A142,Data[Dist],0),MATCH(B$6,Data[#Headers],0))</f>
        <v>Highland</v>
      </c>
      <c r="C142" s="22">
        <f>INDEX(Data[],MATCH($A142,Data[Dist],0),MATCH(C$6,Data[#Headers],0))</f>
        <v>348109</v>
      </c>
      <c r="D142" s="160">
        <f>INDEX(Data[],MATCH($A142,Data[Dist],0),MATCH(D$6,Data[#Headers],0))</f>
        <v>345877</v>
      </c>
      <c r="E142" s="160">
        <f>INDEX(Data[],MATCH($A142,Data[Dist],0),MATCH(E$6,Data[#Headers],0))</f>
        <v>345877</v>
      </c>
      <c r="F142" s="160">
        <f>INDEX(Data[],MATCH($A142,Data[Dist],0),MATCH(F$6,Data[#Headers],0))</f>
        <v>345875</v>
      </c>
      <c r="G142" s="22">
        <f>INDEX(Data[],MATCH($A142,Data[Dist],0),MATCH(G$6,Data[#Headers],0))</f>
        <v>1044327</v>
      </c>
      <c r="H142" s="22">
        <f>INDEX(Data[],MATCH($A142,Data[Dist],0),MATCH(H$6,Data[#Headers],0))-G142</f>
        <v>2436761</v>
      </c>
      <c r="I142" s="25"/>
      <c r="J142" s="22">
        <f>INDEX(Notes!$I$2:$N$11,MATCH(Notes!$B$2,Notes!$I$2:$I$11,0),4)*$C142</f>
        <v>1044327</v>
      </c>
      <c r="K142" s="22">
        <f>INDEX(Notes!$I$2:$N$11,MATCH(Notes!$B$2,Notes!$I$2:$I$11,0),5)*$D142</f>
        <v>0</v>
      </c>
      <c r="L142" s="22">
        <f>INDEX(Notes!$I$2:$N$11,MATCH(Notes!$B$2,Notes!$I$2:$I$11,0),6)*$E142</f>
        <v>0</v>
      </c>
      <c r="M142" s="22">
        <f>IF(Notes!$B$2="June",'Payment Total'!$F142,0)</f>
        <v>0</v>
      </c>
      <c r="N142" s="22">
        <f t="shared" si="8"/>
        <v>0</v>
      </c>
      <c r="P142" s="26" t="s">
        <v>978</v>
      </c>
      <c r="Q142" s="26">
        <v>348109</v>
      </c>
      <c r="R142" s="21" t="str">
        <f t="shared" si="9"/>
        <v>2977</v>
      </c>
      <c r="S142" s="44" t="str">
        <f t="shared" si="10"/>
        <v>2977</v>
      </c>
      <c r="T142" s="45">
        <f t="shared" si="11"/>
        <v>0</v>
      </c>
      <c r="V142" s="45"/>
    </row>
    <row r="143" spans="1:22" s="26" customFormat="1" ht="12.75" x14ac:dyDescent="0.2">
      <c r="A143" s="20" t="str">
        <f>Data!B138</f>
        <v>2988</v>
      </c>
      <c r="B143" s="21" t="str">
        <f>INDEX(Data[],MATCH($A143,Data[Dist],0),MATCH(B$6,Data[#Headers],0))</f>
        <v>Hinton</v>
      </c>
      <c r="C143" s="22">
        <f>INDEX(Data[],MATCH($A143,Data[Dist],0),MATCH(C$6,Data[#Headers],0))</f>
        <v>369470</v>
      </c>
      <c r="D143" s="160">
        <f>INDEX(Data[],MATCH($A143,Data[Dist],0),MATCH(D$6,Data[#Headers],0))</f>
        <v>367337</v>
      </c>
      <c r="E143" s="160">
        <f>INDEX(Data[],MATCH($A143,Data[Dist],0),MATCH(E$6,Data[#Headers],0))</f>
        <v>367337</v>
      </c>
      <c r="F143" s="160">
        <f>INDEX(Data[],MATCH($A143,Data[Dist],0),MATCH(F$6,Data[#Headers],0))</f>
        <v>367336</v>
      </c>
      <c r="G143" s="22">
        <f>INDEX(Data[],MATCH($A143,Data[Dist],0),MATCH(G$6,Data[#Headers],0))</f>
        <v>1108410</v>
      </c>
      <c r="H143" s="22">
        <f>INDEX(Data[],MATCH($A143,Data[Dist],0),MATCH(H$6,Data[#Headers],0))-G143</f>
        <v>2586288</v>
      </c>
      <c r="I143" s="25"/>
      <c r="J143" s="22">
        <f>INDEX(Notes!$I$2:$N$11,MATCH(Notes!$B$2,Notes!$I$2:$I$11,0),4)*$C143</f>
        <v>1108410</v>
      </c>
      <c r="K143" s="22">
        <f>INDEX(Notes!$I$2:$N$11,MATCH(Notes!$B$2,Notes!$I$2:$I$11,0),5)*$D143</f>
        <v>0</v>
      </c>
      <c r="L143" s="22">
        <f>INDEX(Notes!$I$2:$N$11,MATCH(Notes!$B$2,Notes!$I$2:$I$11,0),6)*$E143</f>
        <v>0</v>
      </c>
      <c r="M143" s="22">
        <f>IF(Notes!$B$2="June",'Payment Total'!$F143,0)</f>
        <v>0</v>
      </c>
      <c r="N143" s="22">
        <f t="shared" si="8"/>
        <v>0</v>
      </c>
      <c r="P143" s="26" t="s">
        <v>979</v>
      </c>
      <c r="Q143" s="26">
        <v>369470</v>
      </c>
      <c r="R143" s="21" t="str">
        <f t="shared" si="9"/>
        <v>2988</v>
      </c>
      <c r="S143" s="44" t="str">
        <f t="shared" si="10"/>
        <v>2988</v>
      </c>
      <c r="T143" s="45">
        <f t="shared" si="11"/>
        <v>0</v>
      </c>
      <c r="V143" s="45"/>
    </row>
    <row r="144" spans="1:22" s="26" customFormat="1" ht="12.75" x14ac:dyDescent="0.2">
      <c r="A144" s="20" t="str">
        <f>Data!B139</f>
        <v>3029</v>
      </c>
      <c r="B144" s="21" t="str">
        <f>INDEX(Data[],MATCH($A144,Data[Dist],0),MATCH(B$6,Data[#Headers],0))</f>
        <v>Howard-Winneshiek</v>
      </c>
      <c r="C144" s="22">
        <f>INDEX(Data[],MATCH($A144,Data[Dist],0),MATCH(C$6,Data[#Headers],0))</f>
        <v>747426</v>
      </c>
      <c r="D144" s="160">
        <f>INDEX(Data[],MATCH($A144,Data[Dist],0),MATCH(D$6,Data[#Headers],0))</f>
        <v>743017</v>
      </c>
      <c r="E144" s="160">
        <f>INDEX(Data[],MATCH($A144,Data[Dist],0),MATCH(E$6,Data[#Headers],0))</f>
        <v>743017</v>
      </c>
      <c r="F144" s="160">
        <f>INDEX(Data[],MATCH($A144,Data[Dist],0),MATCH(F$6,Data[#Headers],0))</f>
        <v>743015</v>
      </c>
      <c r="G144" s="22">
        <f>INDEX(Data[],MATCH($A144,Data[Dist],0),MATCH(G$6,Data[#Headers],0))</f>
        <v>2242278</v>
      </c>
      <c r="H144" s="22">
        <f>INDEX(Data[],MATCH($A144,Data[Dist],0),MATCH(H$6,Data[#Headers],0))-G144</f>
        <v>5231981</v>
      </c>
      <c r="I144" s="25"/>
      <c r="J144" s="22">
        <f>INDEX(Notes!$I$2:$N$11,MATCH(Notes!$B$2,Notes!$I$2:$I$11,0),4)*$C144</f>
        <v>2242278</v>
      </c>
      <c r="K144" s="22">
        <f>INDEX(Notes!$I$2:$N$11,MATCH(Notes!$B$2,Notes!$I$2:$I$11,0),5)*$D144</f>
        <v>0</v>
      </c>
      <c r="L144" s="22">
        <f>INDEX(Notes!$I$2:$N$11,MATCH(Notes!$B$2,Notes!$I$2:$I$11,0),6)*$E144</f>
        <v>0</v>
      </c>
      <c r="M144" s="22">
        <f>IF(Notes!$B$2="June",'Payment Total'!$F144,0)</f>
        <v>0</v>
      </c>
      <c r="N144" s="22">
        <f t="shared" si="8"/>
        <v>0</v>
      </c>
      <c r="P144" s="26" t="s">
        <v>980</v>
      </c>
      <c r="Q144" s="26">
        <v>747426</v>
      </c>
      <c r="R144" s="21" t="str">
        <f t="shared" si="9"/>
        <v>3029</v>
      </c>
      <c r="S144" s="44" t="str">
        <f t="shared" si="10"/>
        <v>3029</v>
      </c>
      <c r="T144" s="45">
        <f t="shared" si="11"/>
        <v>0</v>
      </c>
      <c r="V144" s="45"/>
    </row>
    <row r="145" spans="1:22" s="26" customFormat="1" ht="12.75" x14ac:dyDescent="0.2">
      <c r="A145" s="20" t="str">
        <f>Data!B140</f>
        <v>3033</v>
      </c>
      <c r="B145" s="21" t="str">
        <f>INDEX(Data[],MATCH($A145,Data[Dist],0),MATCH(B$6,Data[#Headers],0))</f>
        <v>Hubbard-Radcliffe</v>
      </c>
      <c r="C145" s="22">
        <f>INDEX(Data[],MATCH($A145,Data[Dist],0),MATCH(C$6,Data[#Headers],0))</f>
        <v>196261</v>
      </c>
      <c r="D145" s="160">
        <f>INDEX(Data[],MATCH($A145,Data[Dist],0),MATCH(D$6,Data[#Headers],0))</f>
        <v>194684</v>
      </c>
      <c r="E145" s="160">
        <f>INDEX(Data[],MATCH($A145,Data[Dist],0),MATCH(E$6,Data[#Headers],0))</f>
        <v>194684</v>
      </c>
      <c r="F145" s="160">
        <f>INDEX(Data[],MATCH($A145,Data[Dist],0),MATCH(F$6,Data[#Headers],0))</f>
        <v>194683</v>
      </c>
      <c r="G145" s="22">
        <f>INDEX(Data[],MATCH($A145,Data[Dist],0),MATCH(G$6,Data[#Headers],0))</f>
        <v>588783</v>
      </c>
      <c r="H145" s="22">
        <f>INDEX(Data[],MATCH($A145,Data[Dist],0),MATCH(H$6,Data[#Headers],0))-G145</f>
        <v>1373823</v>
      </c>
      <c r="I145" s="25"/>
      <c r="J145" s="22">
        <f>INDEX(Notes!$I$2:$N$11,MATCH(Notes!$B$2,Notes!$I$2:$I$11,0),4)*$C145</f>
        <v>588783</v>
      </c>
      <c r="K145" s="22">
        <f>INDEX(Notes!$I$2:$N$11,MATCH(Notes!$B$2,Notes!$I$2:$I$11,0),5)*$D145</f>
        <v>0</v>
      </c>
      <c r="L145" s="22">
        <f>INDEX(Notes!$I$2:$N$11,MATCH(Notes!$B$2,Notes!$I$2:$I$11,0),6)*$E145</f>
        <v>0</v>
      </c>
      <c r="M145" s="22">
        <f>IF(Notes!$B$2="June",'Payment Total'!$F145,0)</f>
        <v>0</v>
      </c>
      <c r="N145" s="22">
        <f t="shared" si="8"/>
        <v>0</v>
      </c>
      <c r="P145" s="26" t="s">
        <v>981</v>
      </c>
      <c r="Q145" s="26">
        <v>196261</v>
      </c>
      <c r="R145" s="21" t="str">
        <f t="shared" si="9"/>
        <v>3033</v>
      </c>
      <c r="S145" s="44" t="str">
        <f t="shared" si="10"/>
        <v>3033</v>
      </c>
      <c r="T145" s="45">
        <f t="shared" si="11"/>
        <v>0</v>
      </c>
      <c r="V145" s="45"/>
    </row>
    <row r="146" spans="1:22" s="26" customFormat="1" ht="12.75" x14ac:dyDescent="0.2">
      <c r="A146" s="20" t="str">
        <f>Data!B141</f>
        <v>3042</v>
      </c>
      <c r="B146" s="21" t="str">
        <f>INDEX(Data[],MATCH($A146,Data[Dist],0),MATCH(B$6,Data[#Headers],0))</f>
        <v>Hudson</v>
      </c>
      <c r="C146" s="22">
        <f>INDEX(Data[],MATCH($A146,Data[Dist],0),MATCH(C$6,Data[#Headers],0))</f>
        <v>559022</v>
      </c>
      <c r="D146" s="160">
        <f>INDEX(Data[],MATCH($A146,Data[Dist],0),MATCH(D$6,Data[#Headers],0))</f>
        <v>556285</v>
      </c>
      <c r="E146" s="160">
        <f>INDEX(Data[],MATCH($A146,Data[Dist],0),MATCH(E$6,Data[#Headers],0))</f>
        <v>556285</v>
      </c>
      <c r="F146" s="160">
        <f>INDEX(Data[],MATCH($A146,Data[Dist],0),MATCH(F$6,Data[#Headers],0))</f>
        <v>556285</v>
      </c>
      <c r="G146" s="22">
        <f>INDEX(Data[],MATCH($A146,Data[Dist],0),MATCH(G$6,Data[#Headers],0))</f>
        <v>1677066</v>
      </c>
      <c r="H146" s="22">
        <f>INDEX(Data[],MATCH($A146,Data[Dist],0),MATCH(H$6,Data[#Headers],0))-G146</f>
        <v>3913149</v>
      </c>
      <c r="I146" s="25"/>
      <c r="J146" s="22">
        <f>INDEX(Notes!$I$2:$N$11,MATCH(Notes!$B$2,Notes!$I$2:$I$11,0),4)*$C146</f>
        <v>1677066</v>
      </c>
      <c r="K146" s="22">
        <f>INDEX(Notes!$I$2:$N$11,MATCH(Notes!$B$2,Notes!$I$2:$I$11,0),5)*$D146</f>
        <v>0</v>
      </c>
      <c r="L146" s="22">
        <f>INDEX(Notes!$I$2:$N$11,MATCH(Notes!$B$2,Notes!$I$2:$I$11,0),6)*$E146</f>
        <v>0</v>
      </c>
      <c r="M146" s="22">
        <f>IF(Notes!$B$2="June",'Payment Total'!$F146,0)</f>
        <v>0</v>
      </c>
      <c r="N146" s="22">
        <f t="shared" si="8"/>
        <v>0</v>
      </c>
      <c r="P146" s="26" t="s">
        <v>982</v>
      </c>
      <c r="Q146" s="26">
        <v>559022</v>
      </c>
      <c r="R146" s="21" t="str">
        <f t="shared" si="9"/>
        <v>3042</v>
      </c>
      <c r="S146" s="44" t="str">
        <f t="shared" si="10"/>
        <v>3042</v>
      </c>
      <c r="T146" s="45">
        <f t="shared" si="11"/>
        <v>0</v>
      </c>
      <c r="V146" s="45"/>
    </row>
    <row r="147" spans="1:22" s="26" customFormat="1" ht="12.75" x14ac:dyDescent="0.2">
      <c r="A147" s="20" t="str">
        <f>Data!B142</f>
        <v>3060</v>
      </c>
      <c r="B147" s="21" t="str">
        <f>INDEX(Data[],MATCH($A147,Data[Dist],0),MATCH(B$6,Data[#Headers],0))</f>
        <v>Humboldt</v>
      </c>
      <c r="C147" s="22">
        <f>INDEX(Data[],MATCH($A147,Data[Dist],0),MATCH(C$6,Data[#Headers],0))</f>
        <v>837950</v>
      </c>
      <c r="D147" s="160">
        <f>INDEX(Data[],MATCH($A147,Data[Dist],0),MATCH(D$6,Data[#Headers],0))</f>
        <v>833177</v>
      </c>
      <c r="E147" s="160">
        <f>INDEX(Data[],MATCH($A147,Data[Dist],0),MATCH(E$6,Data[#Headers],0))</f>
        <v>833177</v>
      </c>
      <c r="F147" s="160">
        <f>INDEX(Data[],MATCH($A147,Data[Dist],0),MATCH(F$6,Data[#Headers],0))</f>
        <v>833176</v>
      </c>
      <c r="G147" s="22">
        <f>INDEX(Data[],MATCH($A147,Data[Dist],0),MATCH(G$6,Data[#Headers],0))</f>
        <v>2513850</v>
      </c>
      <c r="H147" s="22">
        <f>INDEX(Data[],MATCH($A147,Data[Dist],0),MATCH(H$6,Data[#Headers],0))-G147</f>
        <v>5865650</v>
      </c>
      <c r="I147" s="25"/>
      <c r="J147" s="22">
        <f>INDEX(Notes!$I$2:$N$11,MATCH(Notes!$B$2,Notes!$I$2:$I$11,0),4)*$C147</f>
        <v>2513850</v>
      </c>
      <c r="K147" s="22">
        <f>INDEX(Notes!$I$2:$N$11,MATCH(Notes!$B$2,Notes!$I$2:$I$11,0),5)*$D147</f>
        <v>0</v>
      </c>
      <c r="L147" s="22">
        <f>INDEX(Notes!$I$2:$N$11,MATCH(Notes!$B$2,Notes!$I$2:$I$11,0),6)*$E147</f>
        <v>0</v>
      </c>
      <c r="M147" s="22">
        <f>IF(Notes!$B$2="June",'Payment Total'!$F147,0)</f>
        <v>0</v>
      </c>
      <c r="N147" s="22">
        <f t="shared" si="8"/>
        <v>0</v>
      </c>
      <c r="P147" s="26" t="s">
        <v>983</v>
      </c>
      <c r="Q147" s="26">
        <v>837950</v>
      </c>
      <c r="R147" s="21" t="str">
        <f t="shared" si="9"/>
        <v>3060</v>
      </c>
      <c r="S147" s="44" t="str">
        <f t="shared" si="10"/>
        <v>3060</v>
      </c>
      <c r="T147" s="45">
        <f t="shared" si="11"/>
        <v>0</v>
      </c>
      <c r="V147" s="45"/>
    </row>
    <row r="148" spans="1:22" s="26" customFormat="1" ht="12.75" x14ac:dyDescent="0.2">
      <c r="A148" s="20" t="str">
        <f>Data!B143</f>
        <v>3105</v>
      </c>
      <c r="B148" s="21" t="str">
        <f>INDEX(Data[],MATCH($A148,Data[Dist],0),MATCH(B$6,Data[#Headers],0))</f>
        <v>Independence</v>
      </c>
      <c r="C148" s="22">
        <f>INDEX(Data[],MATCH($A148,Data[Dist],0),MATCH(C$6,Data[#Headers],0))</f>
        <v>1023074</v>
      </c>
      <c r="D148" s="160">
        <f>INDEX(Data[],MATCH($A148,Data[Dist],0),MATCH(D$6,Data[#Headers],0))</f>
        <v>1017777</v>
      </c>
      <c r="E148" s="160">
        <f>INDEX(Data[],MATCH($A148,Data[Dist],0),MATCH(E$6,Data[#Headers],0))</f>
        <v>1017778</v>
      </c>
      <c r="F148" s="160">
        <f>INDEX(Data[],MATCH($A148,Data[Dist],0),MATCH(F$6,Data[#Headers],0))</f>
        <v>1017776</v>
      </c>
      <c r="G148" s="22">
        <f>INDEX(Data[],MATCH($A148,Data[Dist],0),MATCH(G$6,Data[#Headers],0))</f>
        <v>3069222</v>
      </c>
      <c r="H148" s="22">
        <f>INDEX(Data[],MATCH($A148,Data[Dist],0),MATCH(H$6,Data[#Headers],0))-G148</f>
        <v>7161522</v>
      </c>
      <c r="I148" s="25"/>
      <c r="J148" s="22">
        <f>INDEX(Notes!$I$2:$N$11,MATCH(Notes!$B$2,Notes!$I$2:$I$11,0),4)*$C148</f>
        <v>3069222</v>
      </c>
      <c r="K148" s="22">
        <f>INDEX(Notes!$I$2:$N$11,MATCH(Notes!$B$2,Notes!$I$2:$I$11,0),5)*$D148</f>
        <v>0</v>
      </c>
      <c r="L148" s="22">
        <f>INDEX(Notes!$I$2:$N$11,MATCH(Notes!$B$2,Notes!$I$2:$I$11,0),6)*$E148</f>
        <v>0</v>
      </c>
      <c r="M148" s="22">
        <f>IF(Notes!$B$2="June",'Payment Total'!$F148,0)</f>
        <v>0</v>
      </c>
      <c r="N148" s="22">
        <f t="shared" si="8"/>
        <v>0</v>
      </c>
      <c r="P148" s="26" t="s">
        <v>984</v>
      </c>
      <c r="Q148" s="26">
        <v>1023074</v>
      </c>
      <c r="R148" s="21" t="str">
        <f t="shared" si="9"/>
        <v>3105</v>
      </c>
      <c r="S148" s="44" t="str">
        <f t="shared" si="10"/>
        <v>3105</v>
      </c>
      <c r="T148" s="45">
        <f t="shared" si="11"/>
        <v>0</v>
      </c>
      <c r="V148" s="45"/>
    </row>
    <row r="149" spans="1:22" s="26" customFormat="1" ht="12.75" x14ac:dyDescent="0.2">
      <c r="A149" s="20" t="str">
        <f>Data!B144</f>
        <v>3114</v>
      </c>
      <c r="B149" s="21" t="str">
        <f>INDEX(Data[],MATCH($A149,Data[Dist],0),MATCH(B$6,Data[#Headers],0))</f>
        <v>Indianola</v>
      </c>
      <c r="C149" s="22">
        <f>INDEX(Data[],MATCH($A149,Data[Dist],0),MATCH(C$6,Data[#Headers],0))</f>
        <v>2611534</v>
      </c>
      <c r="D149" s="160">
        <f>INDEX(Data[],MATCH($A149,Data[Dist],0),MATCH(D$6,Data[#Headers],0))</f>
        <v>2598377</v>
      </c>
      <c r="E149" s="160">
        <f>INDEX(Data[],MATCH($A149,Data[Dist],0),MATCH(E$6,Data[#Headers],0))</f>
        <v>2598377</v>
      </c>
      <c r="F149" s="160">
        <f>INDEX(Data[],MATCH($A149,Data[Dist],0),MATCH(F$6,Data[#Headers],0))</f>
        <v>2598375</v>
      </c>
      <c r="G149" s="22">
        <f>INDEX(Data[],MATCH($A149,Data[Dist],0),MATCH(G$6,Data[#Headers],0))</f>
        <v>7834602</v>
      </c>
      <c r="H149" s="22">
        <f>INDEX(Data[],MATCH($A149,Data[Dist],0),MATCH(H$6,Data[#Headers],0))-G149</f>
        <v>18280733</v>
      </c>
      <c r="I149" s="25"/>
      <c r="J149" s="22">
        <f>INDEX(Notes!$I$2:$N$11,MATCH(Notes!$B$2,Notes!$I$2:$I$11,0),4)*$C149</f>
        <v>7834602</v>
      </c>
      <c r="K149" s="22">
        <f>INDEX(Notes!$I$2:$N$11,MATCH(Notes!$B$2,Notes!$I$2:$I$11,0),5)*$D149</f>
        <v>0</v>
      </c>
      <c r="L149" s="22">
        <f>INDEX(Notes!$I$2:$N$11,MATCH(Notes!$B$2,Notes!$I$2:$I$11,0),6)*$E149</f>
        <v>0</v>
      </c>
      <c r="M149" s="22">
        <f>IF(Notes!$B$2="June",'Payment Total'!$F149,0)</f>
        <v>0</v>
      </c>
      <c r="N149" s="22">
        <f t="shared" si="8"/>
        <v>0</v>
      </c>
      <c r="P149" s="26" t="s">
        <v>985</v>
      </c>
      <c r="Q149" s="26">
        <v>2611534</v>
      </c>
      <c r="R149" s="21" t="str">
        <f t="shared" si="9"/>
        <v>3114</v>
      </c>
      <c r="S149" s="44" t="str">
        <f t="shared" si="10"/>
        <v>3114</v>
      </c>
      <c r="T149" s="45">
        <f t="shared" si="11"/>
        <v>0</v>
      </c>
      <c r="V149" s="45"/>
    </row>
    <row r="150" spans="1:22" s="26" customFormat="1" ht="12.75" x14ac:dyDescent="0.2">
      <c r="A150" s="20" t="str">
        <f>Data!B145</f>
        <v>3119</v>
      </c>
      <c r="B150" s="21" t="str">
        <f>INDEX(Data[],MATCH($A150,Data[Dist],0),MATCH(B$6,Data[#Headers],0))</f>
        <v>Interstate 35</v>
      </c>
      <c r="C150" s="22">
        <f>INDEX(Data[],MATCH($A150,Data[Dist],0),MATCH(C$6,Data[#Headers],0))</f>
        <v>601408</v>
      </c>
      <c r="D150" s="160">
        <f>INDEX(Data[],MATCH($A150,Data[Dist],0),MATCH(D$6,Data[#Headers],0))</f>
        <v>598196</v>
      </c>
      <c r="E150" s="160">
        <f>INDEX(Data[],MATCH($A150,Data[Dist],0),MATCH(E$6,Data[#Headers],0))</f>
        <v>598196</v>
      </c>
      <c r="F150" s="160">
        <f>INDEX(Data[],MATCH($A150,Data[Dist],0),MATCH(F$6,Data[#Headers],0))</f>
        <v>598196</v>
      </c>
      <c r="G150" s="22">
        <f>INDEX(Data[],MATCH($A150,Data[Dist],0),MATCH(G$6,Data[#Headers],0))</f>
        <v>1804224</v>
      </c>
      <c r="H150" s="22">
        <f>INDEX(Data[],MATCH($A150,Data[Dist],0),MATCH(H$6,Data[#Headers],0))-G150</f>
        <v>4209851</v>
      </c>
      <c r="I150" s="25"/>
      <c r="J150" s="22">
        <f>INDEX(Notes!$I$2:$N$11,MATCH(Notes!$B$2,Notes!$I$2:$I$11,0),4)*$C150</f>
        <v>1804224</v>
      </c>
      <c r="K150" s="22">
        <f>INDEX(Notes!$I$2:$N$11,MATCH(Notes!$B$2,Notes!$I$2:$I$11,0),5)*$D150</f>
        <v>0</v>
      </c>
      <c r="L150" s="22">
        <f>INDEX(Notes!$I$2:$N$11,MATCH(Notes!$B$2,Notes!$I$2:$I$11,0),6)*$E150</f>
        <v>0</v>
      </c>
      <c r="M150" s="22">
        <f>IF(Notes!$B$2="June",'Payment Total'!$F150,0)</f>
        <v>0</v>
      </c>
      <c r="N150" s="22">
        <f t="shared" si="8"/>
        <v>0</v>
      </c>
      <c r="P150" s="26" t="s">
        <v>986</v>
      </c>
      <c r="Q150" s="26">
        <v>601408</v>
      </c>
      <c r="R150" s="21" t="str">
        <f t="shared" si="9"/>
        <v>3119</v>
      </c>
      <c r="S150" s="44" t="str">
        <f t="shared" si="10"/>
        <v>3119</v>
      </c>
      <c r="T150" s="45">
        <f t="shared" si="11"/>
        <v>0</v>
      </c>
      <c r="V150" s="45"/>
    </row>
    <row r="151" spans="1:22" s="26" customFormat="1" ht="12.75" x14ac:dyDescent="0.2">
      <c r="A151" s="20" t="str">
        <f>Data!B146</f>
        <v>3141</v>
      </c>
      <c r="B151" s="21" t="str">
        <f>INDEX(Data[],MATCH($A151,Data[Dist],0),MATCH(B$6,Data[#Headers],0))</f>
        <v>Iowa City</v>
      </c>
      <c r="C151" s="22">
        <f>INDEX(Data[],MATCH($A151,Data[Dist],0),MATCH(C$6,Data[#Headers],0))</f>
        <v>9181425</v>
      </c>
      <c r="D151" s="160">
        <f>INDEX(Data[],MATCH($A151,Data[Dist],0),MATCH(D$6,Data[#Headers],0))</f>
        <v>9126145</v>
      </c>
      <c r="E151" s="160">
        <f>INDEX(Data[],MATCH($A151,Data[Dist],0),MATCH(E$6,Data[#Headers],0))</f>
        <v>9126144</v>
      </c>
      <c r="F151" s="160">
        <f>INDEX(Data[],MATCH($A151,Data[Dist],0),MATCH(F$6,Data[#Headers],0))</f>
        <v>9126145</v>
      </c>
      <c r="G151" s="22">
        <f>INDEX(Data[],MATCH($A151,Data[Dist],0),MATCH(G$6,Data[#Headers],0))</f>
        <v>27544275</v>
      </c>
      <c r="H151" s="22">
        <f>INDEX(Data[],MATCH($A151,Data[Dist],0),MATCH(H$6,Data[#Headers],0))-G151</f>
        <v>64269975</v>
      </c>
      <c r="I151" s="25"/>
      <c r="J151" s="22">
        <f>INDEX(Notes!$I$2:$N$11,MATCH(Notes!$B$2,Notes!$I$2:$I$11,0),4)*$C151</f>
        <v>27544275</v>
      </c>
      <c r="K151" s="22">
        <f>INDEX(Notes!$I$2:$N$11,MATCH(Notes!$B$2,Notes!$I$2:$I$11,0),5)*$D151</f>
        <v>0</v>
      </c>
      <c r="L151" s="22">
        <f>INDEX(Notes!$I$2:$N$11,MATCH(Notes!$B$2,Notes!$I$2:$I$11,0),6)*$E151</f>
        <v>0</v>
      </c>
      <c r="M151" s="22">
        <f>IF(Notes!$B$2="June",'Payment Total'!$F151,0)</f>
        <v>0</v>
      </c>
      <c r="N151" s="22">
        <f t="shared" si="8"/>
        <v>0</v>
      </c>
      <c r="P151" s="26" t="s">
        <v>987</v>
      </c>
      <c r="Q151" s="26">
        <v>9181425</v>
      </c>
      <c r="R151" s="21" t="str">
        <f t="shared" si="9"/>
        <v>3141</v>
      </c>
      <c r="S151" s="44" t="str">
        <f t="shared" si="10"/>
        <v>3141</v>
      </c>
      <c r="T151" s="45">
        <f t="shared" si="11"/>
        <v>0</v>
      </c>
      <c r="V151" s="45"/>
    </row>
    <row r="152" spans="1:22" s="26" customFormat="1" ht="12.75" x14ac:dyDescent="0.2">
      <c r="A152" s="20" t="str">
        <f>Data!B147</f>
        <v>3150</v>
      </c>
      <c r="B152" s="21" t="str">
        <f>INDEX(Data[],MATCH($A152,Data[Dist],0),MATCH(B$6,Data[#Headers],0))</f>
        <v>Iowa Falls</v>
      </c>
      <c r="C152" s="22">
        <f>INDEX(Data[],MATCH($A152,Data[Dist],0),MATCH(C$6,Data[#Headers],0))</f>
        <v>699224</v>
      </c>
      <c r="D152" s="160">
        <f>INDEX(Data[],MATCH($A152,Data[Dist],0),MATCH(D$6,Data[#Headers],0))</f>
        <v>695387</v>
      </c>
      <c r="E152" s="160">
        <f>INDEX(Data[],MATCH($A152,Data[Dist],0),MATCH(E$6,Data[#Headers],0))</f>
        <v>695387</v>
      </c>
      <c r="F152" s="160">
        <f>INDEX(Data[],MATCH($A152,Data[Dist],0),MATCH(F$6,Data[#Headers],0))</f>
        <v>695387</v>
      </c>
      <c r="G152" s="22">
        <f>INDEX(Data[],MATCH($A152,Data[Dist],0),MATCH(G$6,Data[#Headers],0))</f>
        <v>2097672</v>
      </c>
      <c r="H152" s="22">
        <f>INDEX(Data[],MATCH($A152,Data[Dist],0),MATCH(H$6,Data[#Headers],0))-G152</f>
        <v>4894569</v>
      </c>
      <c r="I152" s="25"/>
      <c r="J152" s="22">
        <f>INDEX(Notes!$I$2:$N$11,MATCH(Notes!$B$2,Notes!$I$2:$I$11,0),4)*$C152</f>
        <v>2097672</v>
      </c>
      <c r="K152" s="22">
        <f>INDEX(Notes!$I$2:$N$11,MATCH(Notes!$B$2,Notes!$I$2:$I$11,0),5)*$D152</f>
        <v>0</v>
      </c>
      <c r="L152" s="22">
        <f>INDEX(Notes!$I$2:$N$11,MATCH(Notes!$B$2,Notes!$I$2:$I$11,0),6)*$E152</f>
        <v>0</v>
      </c>
      <c r="M152" s="22">
        <f>IF(Notes!$B$2="June",'Payment Total'!$F152,0)</f>
        <v>0</v>
      </c>
      <c r="N152" s="22">
        <f>SUM(J152:M152)-G152</f>
        <v>0</v>
      </c>
      <c r="P152" s="26" t="s">
        <v>988</v>
      </c>
      <c r="Q152" s="26">
        <v>699224</v>
      </c>
      <c r="R152" s="21" t="str">
        <f t="shared" si="9"/>
        <v>3150</v>
      </c>
      <c r="S152" s="44" t="str">
        <f t="shared" si="10"/>
        <v>3150</v>
      </c>
      <c r="T152" s="45">
        <f t="shared" si="11"/>
        <v>0</v>
      </c>
      <c r="V152" s="45"/>
    </row>
    <row r="153" spans="1:22" s="26" customFormat="1" ht="12.75" x14ac:dyDescent="0.2">
      <c r="A153" s="20" t="str">
        <f>Data!B148</f>
        <v>3154</v>
      </c>
      <c r="B153" s="21" t="str">
        <f>INDEX(Data[],MATCH($A153,Data[Dist],0),MATCH(B$6,Data[#Headers],0))</f>
        <v>Iowa Valley</v>
      </c>
      <c r="C153" s="22">
        <f>INDEX(Data[],MATCH($A153,Data[Dist],0),MATCH(C$6,Data[#Headers],0))</f>
        <v>360166</v>
      </c>
      <c r="D153" s="160">
        <f>INDEX(Data[],MATCH($A153,Data[Dist],0),MATCH(D$6,Data[#Headers],0))</f>
        <v>358252</v>
      </c>
      <c r="E153" s="160">
        <f>INDEX(Data[],MATCH($A153,Data[Dist],0),MATCH(E$6,Data[#Headers],0))</f>
        <v>358252</v>
      </c>
      <c r="F153" s="160">
        <f>INDEX(Data[],MATCH($A153,Data[Dist],0),MATCH(F$6,Data[#Headers],0))</f>
        <v>358253</v>
      </c>
      <c r="G153" s="22">
        <f>INDEX(Data[],MATCH($A153,Data[Dist],0),MATCH(G$6,Data[#Headers],0))</f>
        <v>1080498</v>
      </c>
      <c r="H153" s="22">
        <f>INDEX(Data[],MATCH($A153,Data[Dist],0),MATCH(H$6,Data[#Headers],0))-G153</f>
        <v>2521164</v>
      </c>
      <c r="I153" s="25"/>
      <c r="J153" s="22">
        <f>INDEX(Notes!$I$2:$N$11,MATCH(Notes!$B$2,Notes!$I$2:$I$11,0),4)*$C153</f>
        <v>1080498</v>
      </c>
      <c r="K153" s="22">
        <f>INDEX(Notes!$I$2:$N$11,MATCH(Notes!$B$2,Notes!$I$2:$I$11,0),5)*$D153</f>
        <v>0</v>
      </c>
      <c r="L153" s="22">
        <f>INDEX(Notes!$I$2:$N$11,MATCH(Notes!$B$2,Notes!$I$2:$I$11,0),6)*$E153</f>
        <v>0</v>
      </c>
      <c r="M153" s="22">
        <f>IF(Notes!$B$2="June",'Payment Total'!$F153,0)</f>
        <v>0</v>
      </c>
      <c r="N153" s="22">
        <f t="shared" si="8"/>
        <v>0</v>
      </c>
      <c r="P153" s="26" t="s">
        <v>989</v>
      </c>
      <c r="Q153" s="26">
        <v>360166</v>
      </c>
      <c r="R153" s="21" t="str">
        <f t="shared" si="9"/>
        <v>3154</v>
      </c>
      <c r="S153" s="44" t="str">
        <f t="shared" si="10"/>
        <v>3154</v>
      </c>
      <c r="T153" s="45">
        <f t="shared" si="11"/>
        <v>0</v>
      </c>
      <c r="V153" s="45"/>
    </row>
    <row r="154" spans="1:22" s="26" customFormat="1" ht="12.75" x14ac:dyDescent="0.2">
      <c r="A154" s="20" t="str">
        <f>Data!B149</f>
        <v>3168</v>
      </c>
      <c r="B154" s="21" t="str">
        <f>INDEX(Data[],MATCH($A154,Data[Dist],0),MATCH(B$6,Data[#Headers],0))</f>
        <v>IKM-Manning</v>
      </c>
      <c r="C154" s="22">
        <f>INDEX(Data[],MATCH($A154,Data[Dist],0),MATCH(C$6,Data[#Headers],0))</f>
        <v>384463</v>
      </c>
      <c r="D154" s="160">
        <f>INDEX(Data[],MATCH($A154,Data[Dist],0),MATCH(D$6,Data[#Headers],0))</f>
        <v>381913</v>
      </c>
      <c r="E154" s="160">
        <f>INDEX(Data[],MATCH($A154,Data[Dist],0),MATCH(E$6,Data[#Headers],0))</f>
        <v>381914</v>
      </c>
      <c r="F154" s="160">
        <f>INDEX(Data[],MATCH($A154,Data[Dist],0),MATCH(F$6,Data[#Headers],0))</f>
        <v>381912</v>
      </c>
      <c r="G154" s="22">
        <f>INDEX(Data[],MATCH($A154,Data[Dist],0),MATCH(G$6,Data[#Headers],0))</f>
        <v>1153389</v>
      </c>
      <c r="H154" s="22">
        <f>INDEX(Data[],MATCH($A154,Data[Dist],0),MATCH(H$6,Data[#Headers],0))-G154</f>
        <v>2691243</v>
      </c>
      <c r="I154" s="25"/>
      <c r="J154" s="22">
        <f>INDEX(Notes!$I$2:$N$11,MATCH(Notes!$B$2,Notes!$I$2:$I$11,0),4)*$C154</f>
        <v>1153389</v>
      </c>
      <c r="K154" s="22">
        <f>INDEX(Notes!$I$2:$N$11,MATCH(Notes!$B$2,Notes!$I$2:$I$11,0),5)*$D154</f>
        <v>0</v>
      </c>
      <c r="L154" s="22">
        <f>INDEX(Notes!$I$2:$N$11,MATCH(Notes!$B$2,Notes!$I$2:$I$11,0),6)*$E154</f>
        <v>0</v>
      </c>
      <c r="M154" s="22">
        <f>IF(Notes!$B$2="June",'Payment Total'!$F154,0)</f>
        <v>0</v>
      </c>
      <c r="N154" s="22">
        <f t="shared" si="8"/>
        <v>0</v>
      </c>
      <c r="P154" s="26" t="s">
        <v>990</v>
      </c>
      <c r="Q154" s="26">
        <v>384463</v>
      </c>
      <c r="R154" s="21" t="str">
        <f t="shared" si="9"/>
        <v>3168</v>
      </c>
      <c r="S154" s="44" t="str">
        <f t="shared" si="10"/>
        <v>3168</v>
      </c>
      <c r="T154" s="45">
        <f t="shared" si="11"/>
        <v>0</v>
      </c>
      <c r="V154" s="45"/>
    </row>
    <row r="155" spans="1:22" s="26" customFormat="1" ht="12.75" x14ac:dyDescent="0.2">
      <c r="A155" s="20" t="str">
        <f>Data!B150</f>
        <v>3186</v>
      </c>
      <c r="B155" s="21" t="str">
        <f>INDEX(Data[],MATCH($A155,Data[Dist],0),MATCH(B$6,Data[#Headers],0))</f>
        <v>Janesville</v>
      </c>
      <c r="C155" s="22">
        <f>INDEX(Data[],MATCH($A155,Data[Dist],0),MATCH(C$6,Data[#Headers],0))</f>
        <v>327754</v>
      </c>
      <c r="D155" s="160">
        <f>INDEX(Data[],MATCH($A155,Data[Dist],0),MATCH(D$6,Data[#Headers],0))</f>
        <v>326067</v>
      </c>
      <c r="E155" s="160">
        <f>INDEX(Data[],MATCH($A155,Data[Dist],0),MATCH(E$6,Data[#Headers],0))</f>
        <v>326067</v>
      </c>
      <c r="F155" s="160">
        <f>INDEX(Data[],MATCH($A155,Data[Dist],0),MATCH(F$6,Data[#Headers],0))</f>
        <v>326066</v>
      </c>
      <c r="G155" s="22">
        <f>INDEX(Data[],MATCH($A155,Data[Dist],0),MATCH(G$6,Data[#Headers],0))</f>
        <v>983262</v>
      </c>
      <c r="H155" s="22">
        <f>INDEX(Data[],MATCH($A155,Data[Dist],0),MATCH(H$6,Data[#Headers],0))-G155</f>
        <v>2294282</v>
      </c>
      <c r="I155" s="25"/>
      <c r="J155" s="22">
        <f>INDEX(Notes!$I$2:$N$11,MATCH(Notes!$B$2,Notes!$I$2:$I$11,0),4)*$C155</f>
        <v>983262</v>
      </c>
      <c r="K155" s="22">
        <f>INDEX(Notes!$I$2:$N$11,MATCH(Notes!$B$2,Notes!$I$2:$I$11,0),5)*$D155</f>
        <v>0</v>
      </c>
      <c r="L155" s="22">
        <f>INDEX(Notes!$I$2:$N$11,MATCH(Notes!$B$2,Notes!$I$2:$I$11,0),6)*$E155</f>
        <v>0</v>
      </c>
      <c r="M155" s="22">
        <f>IF(Notes!$B$2="June",'Payment Total'!$F155,0)</f>
        <v>0</v>
      </c>
      <c r="N155" s="22">
        <f t="shared" si="8"/>
        <v>0</v>
      </c>
      <c r="P155" s="26" t="s">
        <v>991</v>
      </c>
      <c r="Q155" s="26">
        <v>327754</v>
      </c>
      <c r="R155" s="21" t="str">
        <f t="shared" si="9"/>
        <v>3186</v>
      </c>
      <c r="S155" s="44" t="str">
        <f t="shared" si="10"/>
        <v>3186</v>
      </c>
      <c r="T155" s="45">
        <f t="shared" si="11"/>
        <v>0</v>
      </c>
      <c r="V155" s="45"/>
    </row>
    <row r="156" spans="1:22" s="26" customFormat="1" ht="12.75" x14ac:dyDescent="0.2">
      <c r="A156" s="20" t="str">
        <f>Data!B151</f>
        <v>3195</v>
      </c>
      <c r="B156" s="21" t="str">
        <f>INDEX(Data[],MATCH($A156,Data[Dist],0),MATCH(B$6,Data[#Headers],0))</f>
        <v>Greene County</v>
      </c>
      <c r="C156" s="22">
        <f>INDEX(Data[],MATCH($A156,Data[Dist],0),MATCH(C$6,Data[#Headers],0))</f>
        <v>761758</v>
      </c>
      <c r="D156" s="160">
        <f>INDEX(Data[],MATCH($A156,Data[Dist],0),MATCH(D$6,Data[#Headers],0))</f>
        <v>757221</v>
      </c>
      <c r="E156" s="160">
        <f>INDEX(Data[],MATCH($A156,Data[Dist],0),MATCH(E$6,Data[#Headers],0))</f>
        <v>757222</v>
      </c>
      <c r="F156" s="160">
        <f>INDEX(Data[],MATCH($A156,Data[Dist],0),MATCH(F$6,Data[#Headers],0))</f>
        <v>757220</v>
      </c>
      <c r="G156" s="22">
        <f>INDEX(Data[],MATCH($A156,Data[Dist],0),MATCH(G$6,Data[#Headers],0))</f>
        <v>2285274</v>
      </c>
      <c r="H156" s="22">
        <f>INDEX(Data[],MATCH($A156,Data[Dist],0),MATCH(H$6,Data[#Headers],0))-G156</f>
        <v>5332306</v>
      </c>
      <c r="I156" s="25"/>
      <c r="J156" s="22">
        <f>INDEX(Notes!$I$2:$N$11,MATCH(Notes!$B$2,Notes!$I$2:$I$11,0),4)*$C156</f>
        <v>2285274</v>
      </c>
      <c r="K156" s="22">
        <f>INDEX(Notes!$I$2:$N$11,MATCH(Notes!$B$2,Notes!$I$2:$I$11,0),5)*$D156</f>
        <v>0</v>
      </c>
      <c r="L156" s="22">
        <f>INDEX(Notes!$I$2:$N$11,MATCH(Notes!$B$2,Notes!$I$2:$I$11,0),6)*$E156</f>
        <v>0</v>
      </c>
      <c r="M156" s="22">
        <f>IF(Notes!$B$2="June",'Payment Total'!$F156,0)</f>
        <v>0</v>
      </c>
      <c r="N156" s="22">
        <f t="shared" si="8"/>
        <v>0</v>
      </c>
      <c r="P156" s="26" t="s">
        <v>992</v>
      </c>
      <c r="Q156" s="26">
        <v>761758</v>
      </c>
      <c r="R156" s="21" t="str">
        <f t="shared" si="9"/>
        <v>3195</v>
      </c>
      <c r="S156" s="44" t="str">
        <f t="shared" si="10"/>
        <v>3195</v>
      </c>
      <c r="T156" s="45">
        <f t="shared" si="11"/>
        <v>0</v>
      </c>
      <c r="V156" s="45"/>
    </row>
    <row r="157" spans="1:22" s="26" customFormat="1" ht="12.75" x14ac:dyDescent="0.2">
      <c r="A157" s="20" t="str">
        <f>Data!B152</f>
        <v>3204</v>
      </c>
      <c r="B157" s="21" t="str">
        <f>INDEX(Data[],MATCH($A157,Data[Dist],0),MATCH(B$6,Data[#Headers],0))</f>
        <v>Jesup</v>
      </c>
      <c r="C157" s="22">
        <f>INDEX(Data[],MATCH($A157,Data[Dist],0),MATCH(C$6,Data[#Headers],0))</f>
        <v>649040</v>
      </c>
      <c r="D157" s="160">
        <f>INDEX(Data[],MATCH($A157,Data[Dist],0),MATCH(D$6,Data[#Headers],0))</f>
        <v>645617</v>
      </c>
      <c r="E157" s="160">
        <f>INDEX(Data[],MATCH($A157,Data[Dist],0),MATCH(E$6,Data[#Headers],0))</f>
        <v>645618</v>
      </c>
      <c r="F157" s="160">
        <f>INDEX(Data[],MATCH($A157,Data[Dist],0),MATCH(F$6,Data[#Headers],0))</f>
        <v>645616</v>
      </c>
      <c r="G157" s="22">
        <f>INDEX(Data[],MATCH($A157,Data[Dist],0),MATCH(G$6,Data[#Headers],0))</f>
        <v>1947120</v>
      </c>
      <c r="H157" s="22">
        <f>INDEX(Data[],MATCH($A157,Data[Dist],0),MATCH(H$6,Data[#Headers],0))-G157</f>
        <v>4543282</v>
      </c>
      <c r="I157" s="25"/>
      <c r="J157" s="22">
        <f>INDEX(Notes!$I$2:$N$11,MATCH(Notes!$B$2,Notes!$I$2:$I$11,0),4)*$C157</f>
        <v>1947120</v>
      </c>
      <c r="K157" s="22">
        <f>INDEX(Notes!$I$2:$N$11,MATCH(Notes!$B$2,Notes!$I$2:$I$11,0),5)*$D157</f>
        <v>0</v>
      </c>
      <c r="L157" s="22">
        <f>INDEX(Notes!$I$2:$N$11,MATCH(Notes!$B$2,Notes!$I$2:$I$11,0),6)*$E157</f>
        <v>0</v>
      </c>
      <c r="M157" s="22">
        <f>IF(Notes!$B$2="June",'Payment Total'!$F157,0)</f>
        <v>0</v>
      </c>
      <c r="N157" s="22">
        <f t="shared" si="8"/>
        <v>0</v>
      </c>
      <c r="P157" s="26" t="s">
        <v>993</v>
      </c>
      <c r="Q157" s="26">
        <v>649040</v>
      </c>
      <c r="R157" s="21" t="str">
        <f t="shared" si="9"/>
        <v>3204</v>
      </c>
      <c r="S157" s="44" t="str">
        <f t="shared" si="10"/>
        <v>3204</v>
      </c>
      <c r="T157" s="45">
        <f t="shared" si="11"/>
        <v>0</v>
      </c>
      <c r="V157" s="45"/>
    </row>
    <row r="158" spans="1:22" s="26" customFormat="1" ht="12.75" x14ac:dyDescent="0.2">
      <c r="A158" s="20" t="str">
        <f>Data!B153</f>
        <v>3231</v>
      </c>
      <c r="B158" s="21" t="str">
        <f>INDEX(Data[],MATCH($A158,Data[Dist],0),MATCH(B$6,Data[#Headers],0))</f>
        <v>Johnston</v>
      </c>
      <c r="C158" s="22">
        <f>INDEX(Data[],MATCH($A158,Data[Dist],0),MATCH(C$6,Data[#Headers],0))</f>
        <v>4831941</v>
      </c>
      <c r="D158" s="160">
        <f>INDEX(Data[],MATCH($A158,Data[Dist],0),MATCH(D$6,Data[#Headers],0))</f>
        <v>4805200</v>
      </c>
      <c r="E158" s="160">
        <f>INDEX(Data[],MATCH($A158,Data[Dist],0),MATCH(E$6,Data[#Headers],0))</f>
        <v>4805201</v>
      </c>
      <c r="F158" s="160">
        <f>INDEX(Data[],MATCH($A158,Data[Dist],0),MATCH(F$6,Data[#Headers],0))</f>
        <v>4805199</v>
      </c>
      <c r="G158" s="22">
        <f>INDEX(Data[],MATCH($A158,Data[Dist],0),MATCH(G$6,Data[#Headers],0))</f>
        <v>14495823</v>
      </c>
      <c r="H158" s="22">
        <f>INDEX(Data[],MATCH($A158,Data[Dist],0),MATCH(H$6,Data[#Headers],0))-G158</f>
        <v>33823584</v>
      </c>
      <c r="I158" s="25"/>
      <c r="J158" s="22">
        <f>INDEX(Notes!$I$2:$N$11,MATCH(Notes!$B$2,Notes!$I$2:$I$11,0),4)*$C158</f>
        <v>14495823</v>
      </c>
      <c r="K158" s="22">
        <f>INDEX(Notes!$I$2:$N$11,MATCH(Notes!$B$2,Notes!$I$2:$I$11,0),5)*$D158</f>
        <v>0</v>
      </c>
      <c r="L158" s="22">
        <f>INDEX(Notes!$I$2:$N$11,MATCH(Notes!$B$2,Notes!$I$2:$I$11,0),6)*$E158</f>
        <v>0</v>
      </c>
      <c r="M158" s="22">
        <f>IF(Notes!$B$2="June",'Payment Total'!$F158,0)</f>
        <v>0</v>
      </c>
      <c r="N158" s="22">
        <f t="shared" si="8"/>
        <v>0</v>
      </c>
      <c r="P158" s="26" t="s">
        <v>994</v>
      </c>
      <c r="Q158" s="26">
        <v>4831941</v>
      </c>
      <c r="R158" s="21" t="str">
        <f t="shared" si="9"/>
        <v>3231</v>
      </c>
      <c r="S158" s="44" t="str">
        <f t="shared" si="10"/>
        <v>3231</v>
      </c>
      <c r="T158" s="45">
        <f t="shared" si="11"/>
        <v>0</v>
      </c>
      <c r="V158" s="45"/>
    </row>
    <row r="159" spans="1:22" s="26" customFormat="1" ht="12.75" x14ac:dyDescent="0.2">
      <c r="A159" s="20" t="str">
        <f>Data!B154</f>
        <v>3312</v>
      </c>
      <c r="B159" s="21" t="str">
        <f>INDEX(Data[],MATCH($A159,Data[Dist],0),MATCH(B$6,Data[#Headers],0))</f>
        <v>Keokuk</v>
      </c>
      <c r="C159" s="22">
        <f>INDEX(Data[],MATCH($A159,Data[Dist],0),MATCH(C$6,Data[#Headers],0))</f>
        <v>1601501</v>
      </c>
      <c r="D159" s="160">
        <f>INDEX(Data[],MATCH($A159,Data[Dist],0),MATCH(D$6,Data[#Headers],0))</f>
        <v>1594419</v>
      </c>
      <c r="E159" s="160">
        <f>INDEX(Data[],MATCH($A159,Data[Dist],0),MATCH(E$6,Data[#Headers],0))</f>
        <v>1594419</v>
      </c>
      <c r="F159" s="160">
        <f>INDEX(Data[],MATCH($A159,Data[Dist],0),MATCH(F$6,Data[#Headers],0))</f>
        <v>1594417</v>
      </c>
      <c r="G159" s="22">
        <f>INDEX(Data[],MATCH($A159,Data[Dist],0),MATCH(G$6,Data[#Headers],0))</f>
        <v>4804503</v>
      </c>
      <c r="H159" s="22">
        <f>INDEX(Data[],MATCH($A159,Data[Dist],0),MATCH(H$6,Data[#Headers],0))-G159</f>
        <v>11210508</v>
      </c>
      <c r="I159" s="25"/>
      <c r="J159" s="22">
        <f>INDEX(Notes!$I$2:$N$11,MATCH(Notes!$B$2,Notes!$I$2:$I$11,0),4)*$C159</f>
        <v>4804503</v>
      </c>
      <c r="K159" s="22">
        <f>INDEX(Notes!$I$2:$N$11,MATCH(Notes!$B$2,Notes!$I$2:$I$11,0),5)*$D159</f>
        <v>0</v>
      </c>
      <c r="L159" s="22">
        <f>INDEX(Notes!$I$2:$N$11,MATCH(Notes!$B$2,Notes!$I$2:$I$11,0),6)*$E159</f>
        <v>0</v>
      </c>
      <c r="M159" s="22">
        <f>IF(Notes!$B$2="June",'Payment Total'!$F159,0)</f>
        <v>0</v>
      </c>
      <c r="N159" s="22">
        <f t="shared" si="8"/>
        <v>0</v>
      </c>
      <c r="P159" s="26" t="s">
        <v>995</v>
      </c>
      <c r="Q159" s="26">
        <v>1601501</v>
      </c>
      <c r="R159" s="21" t="str">
        <f t="shared" si="9"/>
        <v>3312</v>
      </c>
      <c r="S159" s="44" t="str">
        <f t="shared" si="10"/>
        <v>3312</v>
      </c>
      <c r="T159" s="45">
        <f t="shared" si="11"/>
        <v>0</v>
      </c>
      <c r="V159" s="45"/>
    </row>
    <row r="160" spans="1:22" s="26" customFormat="1" ht="12.75" x14ac:dyDescent="0.2">
      <c r="A160" s="20" t="str">
        <f>Data!B155</f>
        <v>3330</v>
      </c>
      <c r="B160" s="21" t="str">
        <f>INDEX(Data[],MATCH($A160,Data[Dist],0),MATCH(B$6,Data[#Headers],0))</f>
        <v>Keota</v>
      </c>
      <c r="C160" s="22">
        <f>INDEX(Data[],MATCH($A160,Data[Dist],0),MATCH(C$6,Data[#Headers],0))</f>
        <v>225817</v>
      </c>
      <c r="D160" s="160">
        <f>INDEX(Data[],MATCH($A160,Data[Dist],0),MATCH(D$6,Data[#Headers],0))</f>
        <v>224437</v>
      </c>
      <c r="E160" s="160">
        <f>INDEX(Data[],MATCH($A160,Data[Dist],0),MATCH(E$6,Data[#Headers],0))</f>
        <v>224437</v>
      </c>
      <c r="F160" s="160">
        <f>INDEX(Data[],MATCH($A160,Data[Dist],0),MATCH(F$6,Data[#Headers],0))</f>
        <v>224436</v>
      </c>
      <c r="G160" s="22">
        <f>INDEX(Data[],MATCH($A160,Data[Dist],0),MATCH(G$6,Data[#Headers],0))</f>
        <v>677451</v>
      </c>
      <c r="H160" s="22">
        <f>INDEX(Data[],MATCH($A160,Data[Dist],0),MATCH(H$6,Data[#Headers],0))-G160</f>
        <v>1580723</v>
      </c>
      <c r="I160" s="25"/>
      <c r="J160" s="22">
        <f>INDEX(Notes!$I$2:$N$11,MATCH(Notes!$B$2,Notes!$I$2:$I$11,0),4)*$C160</f>
        <v>677451</v>
      </c>
      <c r="K160" s="22">
        <f>INDEX(Notes!$I$2:$N$11,MATCH(Notes!$B$2,Notes!$I$2:$I$11,0),5)*$D160</f>
        <v>0</v>
      </c>
      <c r="L160" s="22">
        <f>INDEX(Notes!$I$2:$N$11,MATCH(Notes!$B$2,Notes!$I$2:$I$11,0),6)*$E160</f>
        <v>0</v>
      </c>
      <c r="M160" s="22">
        <f>IF(Notes!$B$2="June",'Payment Total'!$F160,0)</f>
        <v>0</v>
      </c>
      <c r="N160" s="22">
        <f t="shared" si="8"/>
        <v>0</v>
      </c>
      <c r="P160" s="26" t="s">
        <v>996</v>
      </c>
      <c r="Q160" s="26">
        <v>225817</v>
      </c>
      <c r="R160" s="21" t="str">
        <f t="shared" si="9"/>
        <v>3330</v>
      </c>
      <c r="S160" s="44" t="str">
        <f t="shared" si="10"/>
        <v>3330</v>
      </c>
      <c r="T160" s="45">
        <f t="shared" si="11"/>
        <v>0</v>
      </c>
      <c r="V160" s="45"/>
    </row>
    <row r="161" spans="1:22" s="26" customFormat="1" ht="12.75" x14ac:dyDescent="0.2">
      <c r="A161" s="20" t="str">
        <f>Data!B156</f>
        <v>3348</v>
      </c>
      <c r="B161" s="21" t="str">
        <f>INDEX(Data[],MATCH($A161,Data[Dist],0),MATCH(B$6,Data[#Headers],0))</f>
        <v>Kingsley-Pierson</v>
      </c>
      <c r="C161" s="22">
        <f>INDEX(Data[],MATCH($A161,Data[Dist],0),MATCH(C$6,Data[#Headers],0))</f>
        <v>317313</v>
      </c>
      <c r="D161" s="160">
        <f>INDEX(Data[],MATCH($A161,Data[Dist],0),MATCH(D$6,Data[#Headers],0))</f>
        <v>315509</v>
      </c>
      <c r="E161" s="160">
        <f>INDEX(Data[],MATCH($A161,Data[Dist],0),MATCH(E$6,Data[#Headers],0))</f>
        <v>315510</v>
      </c>
      <c r="F161" s="160">
        <f>INDEX(Data[],MATCH($A161,Data[Dist],0),MATCH(F$6,Data[#Headers],0))</f>
        <v>315508</v>
      </c>
      <c r="G161" s="22">
        <f>INDEX(Data[],MATCH($A161,Data[Dist],0),MATCH(G$6,Data[#Headers],0))</f>
        <v>951939</v>
      </c>
      <c r="H161" s="22">
        <f>INDEX(Data[],MATCH($A161,Data[Dist],0),MATCH(H$6,Data[#Headers],0))-G161</f>
        <v>2221190</v>
      </c>
      <c r="I161" s="25"/>
      <c r="J161" s="22">
        <f>INDEX(Notes!$I$2:$N$11,MATCH(Notes!$B$2,Notes!$I$2:$I$11,0),4)*$C161</f>
        <v>951939</v>
      </c>
      <c r="K161" s="22">
        <f>INDEX(Notes!$I$2:$N$11,MATCH(Notes!$B$2,Notes!$I$2:$I$11,0),5)*$D161</f>
        <v>0</v>
      </c>
      <c r="L161" s="22">
        <f>INDEX(Notes!$I$2:$N$11,MATCH(Notes!$B$2,Notes!$I$2:$I$11,0),6)*$E161</f>
        <v>0</v>
      </c>
      <c r="M161" s="22">
        <f>IF(Notes!$B$2="June",'Payment Total'!$F161,0)</f>
        <v>0</v>
      </c>
      <c r="N161" s="22">
        <f t="shared" si="8"/>
        <v>0</v>
      </c>
      <c r="P161" s="26" t="s">
        <v>997</v>
      </c>
      <c r="Q161" s="26">
        <v>317313</v>
      </c>
      <c r="R161" s="21" t="str">
        <f t="shared" si="9"/>
        <v>3348</v>
      </c>
      <c r="S161" s="44" t="str">
        <f t="shared" si="10"/>
        <v>3348</v>
      </c>
      <c r="T161" s="45">
        <f t="shared" si="11"/>
        <v>0</v>
      </c>
      <c r="V161" s="45"/>
    </row>
    <row r="162" spans="1:22" s="26" customFormat="1" ht="12.75" x14ac:dyDescent="0.2">
      <c r="A162" s="20" t="str">
        <f>Data!B157</f>
        <v>3375</v>
      </c>
      <c r="B162" s="21" t="str">
        <f>INDEX(Data[],MATCH($A162,Data[Dist],0),MATCH(B$6,Data[#Headers],0))</f>
        <v>Knoxville</v>
      </c>
      <c r="C162" s="22">
        <f>INDEX(Data[],MATCH($A162,Data[Dist],0),MATCH(C$6,Data[#Headers],0))</f>
        <v>1366133</v>
      </c>
      <c r="D162" s="160">
        <f>INDEX(Data[],MATCH($A162,Data[Dist],0),MATCH(D$6,Data[#Headers],0))</f>
        <v>1359390</v>
      </c>
      <c r="E162" s="160">
        <f>INDEX(Data[],MATCH($A162,Data[Dist],0),MATCH(E$6,Data[#Headers],0))</f>
        <v>1359390</v>
      </c>
      <c r="F162" s="160">
        <f>INDEX(Data[],MATCH($A162,Data[Dist],0),MATCH(F$6,Data[#Headers],0))</f>
        <v>1359390</v>
      </c>
      <c r="G162" s="22">
        <f>INDEX(Data[],MATCH($A162,Data[Dist],0),MATCH(G$6,Data[#Headers],0))</f>
        <v>4098399</v>
      </c>
      <c r="H162" s="22">
        <f>INDEX(Data[],MATCH($A162,Data[Dist],0),MATCH(H$6,Data[#Headers],0))-G162</f>
        <v>9562928</v>
      </c>
      <c r="I162" s="25"/>
      <c r="J162" s="22">
        <f>INDEX(Notes!$I$2:$N$11,MATCH(Notes!$B$2,Notes!$I$2:$I$11,0),4)*$C162</f>
        <v>4098399</v>
      </c>
      <c r="K162" s="22">
        <f>INDEX(Notes!$I$2:$N$11,MATCH(Notes!$B$2,Notes!$I$2:$I$11,0),5)*$D162</f>
        <v>0</v>
      </c>
      <c r="L162" s="22">
        <f>INDEX(Notes!$I$2:$N$11,MATCH(Notes!$B$2,Notes!$I$2:$I$11,0),6)*$E162</f>
        <v>0</v>
      </c>
      <c r="M162" s="22">
        <f>IF(Notes!$B$2="June",'Payment Total'!$F162,0)</f>
        <v>0</v>
      </c>
      <c r="N162" s="22">
        <f t="shared" si="8"/>
        <v>0</v>
      </c>
      <c r="P162" s="26" t="s">
        <v>998</v>
      </c>
      <c r="Q162" s="26">
        <v>1366133</v>
      </c>
      <c r="R162" s="21" t="str">
        <f t="shared" si="9"/>
        <v>3375</v>
      </c>
      <c r="S162" s="44" t="str">
        <f t="shared" si="10"/>
        <v>3375</v>
      </c>
      <c r="T162" s="45">
        <f t="shared" si="11"/>
        <v>0</v>
      </c>
      <c r="V162" s="45"/>
    </row>
    <row r="163" spans="1:22" s="26" customFormat="1" ht="12.75" x14ac:dyDescent="0.2">
      <c r="A163" s="20" t="str">
        <f>Data!B158</f>
        <v>3420</v>
      </c>
      <c r="B163" s="21" t="str">
        <f>INDEX(Data[],MATCH($A163,Data[Dist],0),MATCH(B$6,Data[#Headers],0))</f>
        <v>Lake Mills</v>
      </c>
      <c r="C163" s="22">
        <f>INDEX(Data[],MATCH($A163,Data[Dist],0),MATCH(C$6,Data[#Headers],0))</f>
        <v>346037</v>
      </c>
      <c r="D163" s="160">
        <f>INDEX(Data[],MATCH($A163,Data[Dist],0),MATCH(D$6,Data[#Headers],0))</f>
        <v>343874</v>
      </c>
      <c r="E163" s="160">
        <f>INDEX(Data[],MATCH($A163,Data[Dist],0),MATCH(E$6,Data[#Headers],0))</f>
        <v>343875</v>
      </c>
      <c r="F163" s="160">
        <f>INDEX(Data[],MATCH($A163,Data[Dist],0),MATCH(F$6,Data[#Headers],0))</f>
        <v>343873</v>
      </c>
      <c r="G163" s="22">
        <f>INDEX(Data[],MATCH($A163,Data[Dist],0),MATCH(G$6,Data[#Headers],0))</f>
        <v>1038111</v>
      </c>
      <c r="H163" s="22">
        <f>INDEX(Data[],MATCH($A163,Data[Dist],0),MATCH(H$6,Data[#Headers],0))-G163</f>
        <v>2422263</v>
      </c>
      <c r="I163" s="25"/>
      <c r="J163" s="22">
        <f>INDEX(Notes!$I$2:$N$11,MATCH(Notes!$B$2,Notes!$I$2:$I$11,0),4)*$C163</f>
        <v>1038111</v>
      </c>
      <c r="K163" s="22">
        <f>INDEX(Notes!$I$2:$N$11,MATCH(Notes!$B$2,Notes!$I$2:$I$11,0),5)*$D163</f>
        <v>0</v>
      </c>
      <c r="L163" s="22">
        <f>INDEX(Notes!$I$2:$N$11,MATCH(Notes!$B$2,Notes!$I$2:$I$11,0),6)*$E163</f>
        <v>0</v>
      </c>
      <c r="M163" s="22">
        <f>IF(Notes!$B$2="June",'Payment Total'!$F163,0)</f>
        <v>0</v>
      </c>
      <c r="N163" s="22">
        <f t="shared" si="8"/>
        <v>0</v>
      </c>
      <c r="P163" s="26" t="s">
        <v>999</v>
      </c>
      <c r="Q163" s="26">
        <v>346037</v>
      </c>
      <c r="R163" s="21" t="str">
        <f t="shared" si="9"/>
        <v>3420</v>
      </c>
      <c r="S163" s="44" t="str">
        <f t="shared" si="10"/>
        <v>3420</v>
      </c>
      <c r="T163" s="45">
        <f t="shared" si="11"/>
        <v>0</v>
      </c>
      <c r="V163" s="45"/>
    </row>
    <row r="164" spans="1:22" s="26" customFormat="1" ht="12.75" x14ac:dyDescent="0.2">
      <c r="A164" s="20" t="str">
        <f>Data!B159</f>
        <v>3465</v>
      </c>
      <c r="B164" s="21" t="str">
        <f>INDEX(Data[],MATCH($A164,Data[Dist],0),MATCH(B$6,Data[#Headers],0))</f>
        <v>Lamoni</v>
      </c>
      <c r="C164" s="22">
        <f>INDEX(Data[],MATCH($A164,Data[Dist],0),MATCH(C$6,Data[#Headers],0))</f>
        <v>295450</v>
      </c>
      <c r="D164" s="160">
        <f>INDEX(Data[],MATCH($A164,Data[Dist],0),MATCH(D$6,Data[#Headers],0))</f>
        <v>294161</v>
      </c>
      <c r="E164" s="160">
        <f>INDEX(Data[],MATCH($A164,Data[Dist],0),MATCH(E$6,Data[#Headers],0))</f>
        <v>294162</v>
      </c>
      <c r="F164" s="160">
        <f>INDEX(Data[],MATCH($A164,Data[Dist],0),MATCH(F$6,Data[#Headers],0))</f>
        <v>294160</v>
      </c>
      <c r="G164" s="22">
        <f>INDEX(Data[],MATCH($A164,Data[Dist],0),MATCH(G$6,Data[#Headers],0))</f>
        <v>886350</v>
      </c>
      <c r="H164" s="22">
        <f>INDEX(Data[],MATCH($A164,Data[Dist],0),MATCH(H$6,Data[#Headers],0))-G164</f>
        <v>2068154</v>
      </c>
      <c r="I164" s="25"/>
      <c r="J164" s="22">
        <f>INDEX(Notes!$I$2:$N$11,MATCH(Notes!$B$2,Notes!$I$2:$I$11,0),4)*$C164</f>
        <v>886350</v>
      </c>
      <c r="K164" s="22">
        <f>INDEX(Notes!$I$2:$N$11,MATCH(Notes!$B$2,Notes!$I$2:$I$11,0),5)*$D164</f>
        <v>0</v>
      </c>
      <c r="L164" s="22">
        <f>INDEX(Notes!$I$2:$N$11,MATCH(Notes!$B$2,Notes!$I$2:$I$11,0),6)*$E164</f>
        <v>0</v>
      </c>
      <c r="M164" s="22">
        <f>IF(Notes!$B$2="June",'Payment Total'!$F164,0)</f>
        <v>0</v>
      </c>
      <c r="N164" s="22">
        <f t="shared" si="8"/>
        <v>0</v>
      </c>
      <c r="P164" s="26" t="s">
        <v>1000</v>
      </c>
      <c r="Q164" s="26">
        <v>295450</v>
      </c>
      <c r="R164" s="21" t="str">
        <f t="shared" si="9"/>
        <v>3465</v>
      </c>
      <c r="S164" s="44" t="str">
        <f t="shared" si="10"/>
        <v>3465</v>
      </c>
      <c r="T164" s="45">
        <f t="shared" si="11"/>
        <v>0</v>
      </c>
      <c r="V164" s="45"/>
    </row>
    <row r="165" spans="1:22" s="26" customFormat="1" ht="12.75" x14ac:dyDescent="0.2">
      <c r="A165" s="20" t="str">
        <f>Data!B160</f>
        <v>3537</v>
      </c>
      <c r="B165" s="21" t="str">
        <f>INDEX(Data[],MATCH($A165,Data[Dist],0),MATCH(B$6,Data[#Headers],0))</f>
        <v>Laurens-Marathon</v>
      </c>
      <c r="C165" s="22">
        <f>INDEX(Data[],MATCH($A165,Data[Dist],0),MATCH(C$6,Data[#Headers],0))</f>
        <v>196540</v>
      </c>
      <c r="D165" s="160">
        <f>INDEX(Data[],MATCH($A165,Data[Dist],0),MATCH(D$6,Data[#Headers],0))</f>
        <v>195394</v>
      </c>
      <c r="E165" s="160">
        <f>INDEX(Data[],MATCH($A165,Data[Dist],0),MATCH(E$6,Data[#Headers],0))</f>
        <v>195395</v>
      </c>
      <c r="F165" s="160">
        <f>INDEX(Data[],MATCH($A165,Data[Dist],0),MATCH(F$6,Data[#Headers],0))</f>
        <v>195393</v>
      </c>
      <c r="G165" s="22">
        <f>INDEX(Data[],MATCH($A165,Data[Dist],0),MATCH(G$6,Data[#Headers],0))</f>
        <v>589620</v>
      </c>
      <c r="H165" s="22">
        <f>INDEX(Data[],MATCH($A165,Data[Dist],0),MATCH(H$6,Data[#Headers],0))-G165</f>
        <v>1375781</v>
      </c>
      <c r="I165" s="25"/>
      <c r="J165" s="22">
        <f>INDEX(Notes!$I$2:$N$11,MATCH(Notes!$B$2,Notes!$I$2:$I$11,0),4)*$C165</f>
        <v>589620</v>
      </c>
      <c r="K165" s="22">
        <f>INDEX(Notes!$I$2:$N$11,MATCH(Notes!$B$2,Notes!$I$2:$I$11,0),5)*$D165</f>
        <v>0</v>
      </c>
      <c r="L165" s="22">
        <f>INDEX(Notes!$I$2:$N$11,MATCH(Notes!$B$2,Notes!$I$2:$I$11,0),6)*$E165</f>
        <v>0</v>
      </c>
      <c r="M165" s="22">
        <f>IF(Notes!$B$2="June",'Payment Total'!$F165,0)</f>
        <v>0</v>
      </c>
      <c r="N165" s="22">
        <f t="shared" si="8"/>
        <v>0</v>
      </c>
      <c r="P165" s="26" t="s">
        <v>1001</v>
      </c>
      <c r="Q165" s="26">
        <v>196540</v>
      </c>
      <c r="R165" s="21" t="str">
        <f t="shared" si="9"/>
        <v>3537</v>
      </c>
      <c r="S165" s="44" t="str">
        <f t="shared" si="10"/>
        <v>3537</v>
      </c>
      <c r="T165" s="45">
        <f t="shared" si="11"/>
        <v>0</v>
      </c>
      <c r="V165" s="45"/>
    </row>
    <row r="166" spans="1:22" s="26" customFormat="1" ht="12.75" x14ac:dyDescent="0.2">
      <c r="A166" s="20" t="str">
        <f>Data!B161</f>
        <v>3555</v>
      </c>
      <c r="B166" s="21" t="str">
        <f>INDEX(Data[],MATCH($A166,Data[Dist],0),MATCH(B$6,Data[#Headers],0))</f>
        <v>Lawton-Bronson</v>
      </c>
      <c r="C166" s="22">
        <f>INDEX(Data[],MATCH($A166,Data[Dist],0),MATCH(C$6,Data[#Headers],0))</f>
        <v>400057</v>
      </c>
      <c r="D166" s="160">
        <f>INDEX(Data[],MATCH($A166,Data[Dist],0),MATCH(D$6,Data[#Headers],0))</f>
        <v>397717</v>
      </c>
      <c r="E166" s="160">
        <f>INDEX(Data[],MATCH($A166,Data[Dist],0),MATCH(E$6,Data[#Headers],0))</f>
        <v>397717</v>
      </c>
      <c r="F166" s="160">
        <f>INDEX(Data[],MATCH($A166,Data[Dist],0),MATCH(F$6,Data[#Headers],0))</f>
        <v>397715</v>
      </c>
      <c r="G166" s="22">
        <f>INDEX(Data[],MATCH($A166,Data[Dist],0),MATCH(G$6,Data[#Headers],0))</f>
        <v>1200171</v>
      </c>
      <c r="H166" s="22">
        <f>INDEX(Data[],MATCH($A166,Data[Dist],0),MATCH(H$6,Data[#Headers],0))-G166</f>
        <v>2800403</v>
      </c>
      <c r="I166" s="25"/>
      <c r="J166" s="22">
        <f>INDEX(Notes!$I$2:$N$11,MATCH(Notes!$B$2,Notes!$I$2:$I$11,0),4)*$C166</f>
        <v>1200171</v>
      </c>
      <c r="K166" s="22">
        <f>INDEX(Notes!$I$2:$N$11,MATCH(Notes!$B$2,Notes!$I$2:$I$11,0),5)*$D166</f>
        <v>0</v>
      </c>
      <c r="L166" s="22">
        <f>INDEX(Notes!$I$2:$N$11,MATCH(Notes!$B$2,Notes!$I$2:$I$11,0),6)*$E166</f>
        <v>0</v>
      </c>
      <c r="M166" s="22">
        <f>IF(Notes!$B$2="June",'Payment Total'!$F166,0)</f>
        <v>0</v>
      </c>
      <c r="N166" s="22">
        <f t="shared" si="8"/>
        <v>0</v>
      </c>
      <c r="P166" s="26" t="s">
        <v>1002</v>
      </c>
      <c r="Q166" s="26">
        <v>400057</v>
      </c>
      <c r="R166" s="21" t="str">
        <f t="shared" si="9"/>
        <v>3555</v>
      </c>
      <c r="S166" s="44" t="str">
        <f t="shared" si="10"/>
        <v>3555</v>
      </c>
      <c r="T166" s="45">
        <f t="shared" si="11"/>
        <v>0</v>
      </c>
      <c r="V166" s="45"/>
    </row>
    <row r="167" spans="1:22" s="26" customFormat="1" ht="12.75" x14ac:dyDescent="0.2">
      <c r="A167" s="20" t="str">
        <f>Data!B162</f>
        <v>3582</v>
      </c>
      <c r="B167" s="21" t="str">
        <f>INDEX(Data[],MATCH($A167,Data[Dist],0),MATCH(B$6,Data[#Headers],0))</f>
        <v>East Marshall</v>
      </c>
      <c r="C167" s="22">
        <f>INDEX(Data[],MATCH($A167,Data[Dist],0),MATCH(C$6,Data[#Headers],0))</f>
        <v>312628</v>
      </c>
      <c r="D167" s="160">
        <f>INDEX(Data[],MATCH($A167,Data[Dist],0),MATCH(D$6,Data[#Headers],0))</f>
        <v>310618</v>
      </c>
      <c r="E167" s="160">
        <f>INDEX(Data[],MATCH($A167,Data[Dist],0),MATCH(E$6,Data[#Headers],0))</f>
        <v>310617</v>
      </c>
      <c r="F167" s="160">
        <f>INDEX(Data[],MATCH($A167,Data[Dist],0),MATCH(F$6,Data[#Headers],0))</f>
        <v>310618</v>
      </c>
      <c r="G167" s="22">
        <f>INDEX(Data[],MATCH($A167,Data[Dist],0),MATCH(G$6,Data[#Headers],0))</f>
        <v>937884</v>
      </c>
      <c r="H167" s="22">
        <f>INDEX(Data[],MATCH($A167,Data[Dist],0),MATCH(H$6,Data[#Headers],0))-G167</f>
        <v>2188397</v>
      </c>
      <c r="I167" s="25"/>
      <c r="J167" s="22">
        <f>INDEX(Notes!$I$2:$N$11,MATCH(Notes!$B$2,Notes!$I$2:$I$11,0),4)*$C167</f>
        <v>937884</v>
      </c>
      <c r="K167" s="22">
        <f>INDEX(Notes!$I$2:$N$11,MATCH(Notes!$B$2,Notes!$I$2:$I$11,0),5)*$D167</f>
        <v>0</v>
      </c>
      <c r="L167" s="22">
        <f>INDEX(Notes!$I$2:$N$11,MATCH(Notes!$B$2,Notes!$I$2:$I$11,0),6)*$E167</f>
        <v>0</v>
      </c>
      <c r="M167" s="22">
        <f>IF(Notes!$B$2="June",'Payment Total'!$F167,0)</f>
        <v>0</v>
      </c>
      <c r="N167" s="22">
        <f t="shared" si="8"/>
        <v>0</v>
      </c>
      <c r="P167" s="26" t="s">
        <v>1003</v>
      </c>
      <c r="Q167" s="26">
        <v>312628</v>
      </c>
      <c r="R167" s="21" t="str">
        <f t="shared" si="9"/>
        <v>1968</v>
      </c>
      <c r="S167" s="44" t="str">
        <f t="shared" si="10"/>
        <v>3582</v>
      </c>
      <c r="T167" s="45">
        <f t="shared" si="11"/>
        <v>0</v>
      </c>
      <c r="V167" s="45"/>
    </row>
    <row r="168" spans="1:22" s="26" customFormat="1" ht="12.75" x14ac:dyDescent="0.2">
      <c r="A168" s="20" t="str">
        <f>Data!B163</f>
        <v>3600</v>
      </c>
      <c r="B168" s="21" t="str">
        <f>INDEX(Data[],MATCH($A168,Data[Dist],0),MATCH(B$6,Data[#Headers],0))</f>
        <v>Le Mars</v>
      </c>
      <c r="C168" s="22">
        <f>INDEX(Data[],MATCH($A168,Data[Dist],0),MATCH(C$6,Data[#Headers],0))</f>
        <v>1557198</v>
      </c>
      <c r="D168" s="160">
        <f>INDEX(Data[],MATCH($A168,Data[Dist],0),MATCH(D$6,Data[#Headers],0))</f>
        <v>1548641</v>
      </c>
      <c r="E168" s="160">
        <f>INDEX(Data[],MATCH($A168,Data[Dist],0),MATCH(E$6,Data[#Headers],0))</f>
        <v>1548641</v>
      </c>
      <c r="F168" s="160">
        <f>INDEX(Data[],MATCH($A168,Data[Dist],0),MATCH(F$6,Data[#Headers],0))</f>
        <v>1548639</v>
      </c>
      <c r="G168" s="22">
        <f>INDEX(Data[],MATCH($A168,Data[Dist],0),MATCH(G$6,Data[#Headers],0))</f>
        <v>4671594</v>
      </c>
      <c r="H168" s="22">
        <f>INDEX(Data[],MATCH($A168,Data[Dist],0),MATCH(H$6,Data[#Headers],0))-G168</f>
        <v>10900387</v>
      </c>
      <c r="I168" s="25"/>
      <c r="J168" s="22">
        <f>INDEX(Notes!$I$2:$N$11,MATCH(Notes!$B$2,Notes!$I$2:$I$11,0),4)*$C168</f>
        <v>4671594</v>
      </c>
      <c r="K168" s="22">
        <f>INDEX(Notes!$I$2:$N$11,MATCH(Notes!$B$2,Notes!$I$2:$I$11,0),5)*$D168</f>
        <v>0</v>
      </c>
      <c r="L168" s="22">
        <f>INDEX(Notes!$I$2:$N$11,MATCH(Notes!$B$2,Notes!$I$2:$I$11,0),6)*$E168</f>
        <v>0</v>
      </c>
      <c r="M168" s="22">
        <f>IF(Notes!$B$2="June",'Payment Total'!$F168,0)</f>
        <v>0</v>
      </c>
      <c r="N168" s="22">
        <f t="shared" si="8"/>
        <v>0</v>
      </c>
      <c r="P168" s="26" t="s">
        <v>1004</v>
      </c>
      <c r="Q168" s="26">
        <v>1557198</v>
      </c>
      <c r="R168" s="21" t="str">
        <f t="shared" si="9"/>
        <v>3600</v>
      </c>
      <c r="S168" s="44" t="str">
        <f t="shared" si="10"/>
        <v>3600</v>
      </c>
      <c r="T168" s="45">
        <f t="shared" si="11"/>
        <v>0</v>
      </c>
      <c r="V168" s="45"/>
    </row>
    <row r="169" spans="1:22" s="26" customFormat="1" ht="12.75" x14ac:dyDescent="0.2">
      <c r="A169" s="20" t="str">
        <f>Data!B164</f>
        <v>3609</v>
      </c>
      <c r="B169" s="21" t="str">
        <f>INDEX(Data[],MATCH($A169,Data[Dist],0),MATCH(B$6,Data[#Headers],0))</f>
        <v>Lenox</v>
      </c>
      <c r="C169" s="22">
        <f>INDEX(Data[],MATCH($A169,Data[Dist],0),MATCH(C$6,Data[#Headers],0))</f>
        <v>329887</v>
      </c>
      <c r="D169" s="160">
        <f>INDEX(Data[],MATCH($A169,Data[Dist],0),MATCH(D$6,Data[#Headers],0))</f>
        <v>328163</v>
      </c>
      <c r="E169" s="160">
        <f>INDEX(Data[],MATCH($A169,Data[Dist],0),MATCH(E$6,Data[#Headers],0))</f>
        <v>328163</v>
      </c>
      <c r="F169" s="160">
        <f>INDEX(Data[],MATCH($A169,Data[Dist],0),MATCH(F$6,Data[#Headers],0))</f>
        <v>328161</v>
      </c>
      <c r="G169" s="22">
        <f>INDEX(Data[],MATCH($A169,Data[Dist],0),MATCH(G$6,Data[#Headers],0))</f>
        <v>989661</v>
      </c>
      <c r="H169" s="22">
        <f>INDEX(Data[],MATCH($A169,Data[Dist],0),MATCH(H$6,Data[#Headers],0))-G169</f>
        <v>2309209</v>
      </c>
      <c r="I169" s="25"/>
      <c r="J169" s="22">
        <f>INDEX(Notes!$I$2:$N$11,MATCH(Notes!$B$2,Notes!$I$2:$I$11,0),4)*$C169</f>
        <v>989661</v>
      </c>
      <c r="K169" s="22">
        <f>INDEX(Notes!$I$2:$N$11,MATCH(Notes!$B$2,Notes!$I$2:$I$11,0),5)*$D169</f>
        <v>0</v>
      </c>
      <c r="L169" s="22">
        <f>INDEX(Notes!$I$2:$N$11,MATCH(Notes!$B$2,Notes!$I$2:$I$11,0),6)*$E169</f>
        <v>0</v>
      </c>
      <c r="M169" s="22">
        <f>IF(Notes!$B$2="June",'Payment Total'!$F169,0)</f>
        <v>0</v>
      </c>
      <c r="N169" s="22">
        <f t="shared" si="8"/>
        <v>0</v>
      </c>
      <c r="P169" s="26" t="s">
        <v>1005</v>
      </c>
      <c r="Q169" s="26">
        <v>329887</v>
      </c>
      <c r="R169" s="21" t="str">
        <f t="shared" si="9"/>
        <v>3609</v>
      </c>
      <c r="S169" s="44" t="str">
        <f t="shared" si="10"/>
        <v>3609</v>
      </c>
      <c r="T169" s="45">
        <f t="shared" si="11"/>
        <v>0</v>
      </c>
      <c r="V169" s="45"/>
    </row>
    <row r="170" spans="1:22" s="26" customFormat="1" ht="12.75" x14ac:dyDescent="0.2">
      <c r="A170" s="20" t="str">
        <f>Data!B165</f>
        <v>3645</v>
      </c>
      <c r="B170" s="21" t="str">
        <f>INDEX(Data[],MATCH($A170,Data[Dist],0),MATCH(B$6,Data[#Headers],0))</f>
        <v>Lewis Central</v>
      </c>
      <c r="C170" s="22">
        <f>INDEX(Data[],MATCH($A170,Data[Dist],0),MATCH(C$6,Data[#Headers],0))</f>
        <v>1570695</v>
      </c>
      <c r="D170" s="160">
        <f>INDEX(Data[],MATCH($A170,Data[Dist],0),MATCH(D$6,Data[#Headers],0))</f>
        <v>1560528</v>
      </c>
      <c r="E170" s="160">
        <f>INDEX(Data[],MATCH($A170,Data[Dist],0),MATCH(E$6,Data[#Headers],0))</f>
        <v>1560528</v>
      </c>
      <c r="F170" s="160">
        <f>INDEX(Data[],MATCH($A170,Data[Dist],0),MATCH(F$6,Data[#Headers],0))</f>
        <v>1560529</v>
      </c>
      <c r="G170" s="22">
        <f>INDEX(Data[],MATCH($A170,Data[Dist],0),MATCH(G$6,Data[#Headers],0))</f>
        <v>4712085</v>
      </c>
      <c r="H170" s="22">
        <f>INDEX(Data[],MATCH($A170,Data[Dist],0),MATCH(H$6,Data[#Headers],0))-G170</f>
        <v>10994863</v>
      </c>
      <c r="I170" s="25"/>
      <c r="J170" s="22">
        <f>INDEX(Notes!$I$2:$N$11,MATCH(Notes!$B$2,Notes!$I$2:$I$11,0),4)*$C170</f>
        <v>4712085</v>
      </c>
      <c r="K170" s="22">
        <f>INDEX(Notes!$I$2:$N$11,MATCH(Notes!$B$2,Notes!$I$2:$I$11,0),5)*$D170</f>
        <v>0</v>
      </c>
      <c r="L170" s="22">
        <f>INDEX(Notes!$I$2:$N$11,MATCH(Notes!$B$2,Notes!$I$2:$I$11,0),6)*$E170</f>
        <v>0</v>
      </c>
      <c r="M170" s="22">
        <f>IF(Notes!$B$2="June",'Payment Total'!$F170,0)</f>
        <v>0</v>
      </c>
      <c r="N170" s="22">
        <f t="shared" si="8"/>
        <v>0</v>
      </c>
      <c r="P170" s="26" t="s">
        <v>1006</v>
      </c>
      <c r="Q170" s="26">
        <v>1570695</v>
      </c>
      <c r="R170" s="21" t="str">
        <f t="shared" si="9"/>
        <v>3645</v>
      </c>
      <c r="S170" s="44" t="str">
        <f t="shared" si="10"/>
        <v>3645</v>
      </c>
      <c r="T170" s="45">
        <f t="shared" si="11"/>
        <v>0</v>
      </c>
      <c r="V170" s="45"/>
    </row>
    <row r="171" spans="1:22" s="26" customFormat="1" ht="12.75" x14ac:dyDescent="0.2">
      <c r="A171" s="20" t="str">
        <f>Data!B166</f>
        <v>3691</v>
      </c>
      <c r="B171" s="21" t="str">
        <f>INDEX(Data[],MATCH($A171,Data[Dist],0),MATCH(B$6,Data[#Headers],0))</f>
        <v>North Cedar</v>
      </c>
      <c r="C171" s="22">
        <f>INDEX(Data[],MATCH($A171,Data[Dist],0),MATCH(C$6,Data[#Headers],0))</f>
        <v>477923</v>
      </c>
      <c r="D171" s="160">
        <f>INDEX(Data[],MATCH($A171,Data[Dist],0),MATCH(D$6,Data[#Headers],0))</f>
        <v>475145</v>
      </c>
      <c r="E171" s="160">
        <f>INDEX(Data[],MATCH($A171,Data[Dist],0),MATCH(E$6,Data[#Headers],0))</f>
        <v>475145</v>
      </c>
      <c r="F171" s="160">
        <f>INDEX(Data[],MATCH($A171,Data[Dist],0),MATCH(F$6,Data[#Headers],0))</f>
        <v>475145</v>
      </c>
      <c r="G171" s="22">
        <f>INDEX(Data[],MATCH($A171,Data[Dist],0),MATCH(G$6,Data[#Headers],0))</f>
        <v>1433769</v>
      </c>
      <c r="H171" s="22">
        <f>INDEX(Data[],MATCH($A171,Data[Dist],0),MATCH(H$6,Data[#Headers],0))-G171</f>
        <v>3345465</v>
      </c>
      <c r="I171" s="25"/>
      <c r="J171" s="22">
        <f>INDEX(Notes!$I$2:$N$11,MATCH(Notes!$B$2,Notes!$I$2:$I$11,0),4)*$C171</f>
        <v>1433769</v>
      </c>
      <c r="K171" s="22">
        <f>INDEX(Notes!$I$2:$N$11,MATCH(Notes!$B$2,Notes!$I$2:$I$11,0),5)*$D171</f>
        <v>0</v>
      </c>
      <c r="L171" s="22">
        <f>INDEX(Notes!$I$2:$N$11,MATCH(Notes!$B$2,Notes!$I$2:$I$11,0),6)*$E171</f>
        <v>0</v>
      </c>
      <c r="M171" s="22">
        <f>IF(Notes!$B$2="June",'Payment Total'!$F171,0)</f>
        <v>0</v>
      </c>
      <c r="N171" s="22">
        <f t="shared" si="8"/>
        <v>0</v>
      </c>
      <c r="P171" s="26" t="s">
        <v>1007</v>
      </c>
      <c r="Q171" s="26">
        <v>477923</v>
      </c>
      <c r="R171" s="21" t="str">
        <f t="shared" si="9"/>
        <v>3691</v>
      </c>
      <c r="S171" s="44" t="str">
        <f t="shared" si="10"/>
        <v>3691</v>
      </c>
      <c r="T171" s="45">
        <f t="shared" si="11"/>
        <v>0</v>
      </c>
      <c r="V171" s="45"/>
    </row>
    <row r="172" spans="1:22" s="26" customFormat="1" ht="12.75" x14ac:dyDescent="0.2">
      <c r="A172" s="20" t="str">
        <f>Data!B167</f>
        <v>3715</v>
      </c>
      <c r="B172" s="21" t="str">
        <f>INDEX(Data[],MATCH($A172,Data[Dist],0),MATCH(B$6,Data[#Headers],0))</f>
        <v>Linn-Mar</v>
      </c>
      <c r="C172" s="22">
        <f>INDEX(Data[],MATCH($A172,Data[Dist],0),MATCH(C$6,Data[#Headers],0))</f>
        <v>5501613</v>
      </c>
      <c r="D172" s="160">
        <f>INDEX(Data[],MATCH($A172,Data[Dist],0),MATCH(D$6,Data[#Headers],0))</f>
        <v>5472190</v>
      </c>
      <c r="E172" s="160">
        <f>INDEX(Data[],MATCH($A172,Data[Dist],0),MATCH(E$6,Data[#Headers],0))</f>
        <v>5472190</v>
      </c>
      <c r="F172" s="160">
        <f>INDEX(Data[],MATCH($A172,Data[Dist],0),MATCH(F$6,Data[#Headers],0))</f>
        <v>5472191</v>
      </c>
      <c r="G172" s="22">
        <f>INDEX(Data[],MATCH($A172,Data[Dist],0),MATCH(G$6,Data[#Headers],0))</f>
        <v>16504839</v>
      </c>
      <c r="H172" s="22">
        <f>INDEX(Data[],MATCH($A172,Data[Dist],0),MATCH(H$6,Data[#Headers],0))-G172</f>
        <v>38511290</v>
      </c>
      <c r="I172" s="25"/>
      <c r="J172" s="22">
        <f>INDEX(Notes!$I$2:$N$11,MATCH(Notes!$B$2,Notes!$I$2:$I$11,0),4)*$C172</f>
        <v>16504839</v>
      </c>
      <c r="K172" s="22">
        <f>INDEX(Notes!$I$2:$N$11,MATCH(Notes!$B$2,Notes!$I$2:$I$11,0),5)*$D172</f>
        <v>0</v>
      </c>
      <c r="L172" s="22">
        <f>INDEX(Notes!$I$2:$N$11,MATCH(Notes!$B$2,Notes!$I$2:$I$11,0),6)*$E172</f>
        <v>0</v>
      </c>
      <c r="M172" s="22">
        <f>IF(Notes!$B$2="June",'Payment Total'!$F172,0)</f>
        <v>0</v>
      </c>
      <c r="N172" s="22">
        <f t="shared" si="8"/>
        <v>0</v>
      </c>
      <c r="P172" s="26" t="s">
        <v>1008</v>
      </c>
      <c r="Q172" s="26">
        <v>5501613</v>
      </c>
      <c r="R172" s="21" t="str">
        <f t="shared" si="9"/>
        <v>3715</v>
      </c>
      <c r="S172" s="44" t="str">
        <f t="shared" si="10"/>
        <v>3715</v>
      </c>
      <c r="T172" s="45">
        <f t="shared" si="11"/>
        <v>0</v>
      </c>
      <c r="V172" s="45"/>
    </row>
    <row r="173" spans="1:22" s="26" customFormat="1" ht="12.75" x14ac:dyDescent="0.2">
      <c r="A173" s="20" t="str">
        <f>Data!B168</f>
        <v>3744</v>
      </c>
      <c r="B173" s="21" t="str">
        <f>INDEX(Data[],MATCH($A173,Data[Dist],0),MATCH(B$6,Data[#Headers],0))</f>
        <v>Lisbon</v>
      </c>
      <c r="C173" s="22">
        <f>INDEX(Data[],MATCH($A173,Data[Dist],0),MATCH(C$6,Data[#Headers],0))</f>
        <v>508547</v>
      </c>
      <c r="D173" s="160">
        <f>INDEX(Data[],MATCH($A173,Data[Dist],0),MATCH(D$6,Data[#Headers],0))</f>
        <v>505978</v>
      </c>
      <c r="E173" s="160">
        <f>INDEX(Data[],MATCH($A173,Data[Dist],0),MATCH(E$6,Data[#Headers],0))</f>
        <v>505978</v>
      </c>
      <c r="F173" s="160">
        <f>INDEX(Data[],MATCH($A173,Data[Dist],0),MATCH(F$6,Data[#Headers],0))</f>
        <v>505978</v>
      </c>
      <c r="G173" s="22">
        <f>INDEX(Data[],MATCH($A173,Data[Dist],0),MATCH(G$6,Data[#Headers],0))</f>
        <v>1525641</v>
      </c>
      <c r="H173" s="22">
        <f>INDEX(Data[],MATCH($A173,Data[Dist],0),MATCH(H$6,Data[#Headers],0))-G173</f>
        <v>3559830</v>
      </c>
      <c r="I173" s="25"/>
      <c r="J173" s="22">
        <f>INDEX(Notes!$I$2:$N$11,MATCH(Notes!$B$2,Notes!$I$2:$I$11,0),4)*$C173</f>
        <v>1525641</v>
      </c>
      <c r="K173" s="22">
        <f>INDEX(Notes!$I$2:$N$11,MATCH(Notes!$B$2,Notes!$I$2:$I$11,0),5)*$D173</f>
        <v>0</v>
      </c>
      <c r="L173" s="22">
        <f>INDEX(Notes!$I$2:$N$11,MATCH(Notes!$B$2,Notes!$I$2:$I$11,0),6)*$E173</f>
        <v>0</v>
      </c>
      <c r="M173" s="22">
        <f>IF(Notes!$B$2="June",'Payment Total'!$F173,0)</f>
        <v>0</v>
      </c>
      <c r="N173" s="22">
        <f t="shared" si="8"/>
        <v>0</v>
      </c>
      <c r="P173" s="26" t="s">
        <v>1009</v>
      </c>
      <c r="Q173" s="26">
        <v>508547</v>
      </c>
      <c r="R173" s="21" t="str">
        <f t="shared" si="9"/>
        <v>3744</v>
      </c>
      <c r="S173" s="44" t="str">
        <f t="shared" si="10"/>
        <v>3744</v>
      </c>
      <c r="T173" s="45">
        <f t="shared" si="11"/>
        <v>0</v>
      </c>
      <c r="V173" s="45"/>
    </row>
    <row r="174" spans="1:22" s="26" customFormat="1" ht="12.75" x14ac:dyDescent="0.2">
      <c r="A174" s="20" t="str">
        <f>Data!B169</f>
        <v>3798</v>
      </c>
      <c r="B174" s="21" t="str">
        <f>INDEX(Data[],MATCH($A174,Data[Dist],0),MATCH(B$6,Data[#Headers],0))</f>
        <v>Logan-Magnolia</v>
      </c>
      <c r="C174" s="22">
        <f>INDEX(Data[],MATCH($A174,Data[Dist],0),MATCH(C$6,Data[#Headers],0))</f>
        <v>420073</v>
      </c>
      <c r="D174" s="160">
        <f>INDEX(Data[],MATCH($A174,Data[Dist],0),MATCH(D$6,Data[#Headers],0))</f>
        <v>417765</v>
      </c>
      <c r="E174" s="160">
        <f>INDEX(Data[],MATCH($A174,Data[Dist],0),MATCH(E$6,Data[#Headers],0))</f>
        <v>417765</v>
      </c>
      <c r="F174" s="160">
        <f>INDEX(Data[],MATCH($A174,Data[Dist],0),MATCH(F$6,Data[#Headers],0))</f>
        <v>417766</v>
      </c>
      <c r="G174" s="22">
        <f>INDEX(Data[],MATCH($A174,Data[Dist],0),MATCH(G$6,Data[#Headers],0))</f>
        <v>1260219</v>
      </c>
      <c r="H174" s="22">
        <f>INDEX(Data[],MATCH($A174,Data[Dist],0),MATCH(H$6,Data[#Headers],0))-G174</f>
        <v>2940513</v>
      </c>
      <c r="I174" s="25"/>
      <c r="J174" s="22">
        <f>INDEX(Notes!$I$2:$N$11,MATCH(Notes!$B$2,Notes!$I$2:$I$11,0),4)*$C174</f>
        <v>1260219</v>
      </c>
      <c r="K174" s="22">
        <f>INDEX(Notes!$I$2:$N$11,MATCH(Notes!$B$2,Notes!$I$2:$I$11,0),5)*$D174</f>
        <v>0</v>
      </c>
      <c r="L174" s="22">
        <f>INDEX(Notes!$I$2:$N$11,MATCH(Notes!$B$2,Notes!$I$2:$I$11,0),6)*$E174</f>
        <v>0</v>
      </c>
      <c r="M174" s="22">
        <f>IF(Notes!$B$2="June",'Payment Total'!$F174,0)</f>
        <v>0</v>
      </c>
      <c r="N174" s="22">
        <f t="shared" si="8"/>
        <v>0</v>
      </c>
      <c r="P174" s="26" t="s">
        <v>1010</v>
      </c>
      <c r="Q174" s="26">
        <v>420073</v>
      </c>
      <c r="R174" s="21" t="str">
        <f t="shared" si="9"/>
        <v>3798</v>
      </c>
      <c r="S174" s="44" t="str">
        <f t="shared" si="10"/>
        <v>3798</v>
      </c>
      <c r="T174" s="45">
        <f t="shared" si="11"/>
        <v>0</v>
      </c>
      <c r="V174" s="45"/>
    </row>
    <row r="175" spans="1:22" s="26" customFormat="1" ht="12.75" x14ac:dyDescent="0.2">
      <c r="A175" s="20" t="str">
        <f>Data!B170</f>
        <v>3816</v>
      </c>
      <c r="B175" s="21" t="str">
        <f>INDEX(Data[],MATCH($A175,Data[Dist],0),MATCH(B$6,Data[#Headers],0))</f>
        <v>Lone Tree</v>
      </c>
      <c r="C175" s="22">
        <f>INDEX(Data[],MATCH($A175,Data[Dist],0),MATCH(C$6,Data[#Headers],0))</f>
        <v>186420</v>
      </c>
      <c r="D175" s="160">
        <f>INDEX(Data[],MATCH($A175,Data[Dist],0),MATCH(D$6,Data[#Headers],0))</f>
        <v>185207</v>
      </c>
      <c r="E175" s="160">
        <f>INDEX(Data[],MATCH($A175,Data[Dist],0),MATCH(E$6,Data[#Headers],0))</f>
        <v>185208</v>
      </c>
      <c r="F175" s="160">
        <f>INDEX(Data[],MATCH($A175,Data[Dist],0),MATCH(F$6,Data[#Headers],0))</f>
        <v>185206</v>
      </c>
      <c r="G175" s="22">
        <f>INDEX(Data[],MATCH($A175,Data[Dist],0),MATCH(G$6,Data[#Headers],0))</f>
        <v>559260</v>
      </c>
      <c r="H175" s="22">
        <f>INDEX(Data[],MATCH($A175,Data[Dist],0),MATCH(H$6,Data[#Headers],0))-G175</f>
        <v>1304941</v>
      </c>
      <c r="I175" s="25"/>
      <c r="J175" s="22">
        <f>INDEX(Notes!$I$2:$N$11,MATCH(Notes!$B$2,Notes!$I$2:$I$11,0),4)*$C175</f>
        <v>559260</v>
      </c>
      <c r="K175" s="22">
        <f>INDEX(Notes!$I$2:$N$11,MATCH(Notes!$B$2,Notes!$I$2:$I$11,0),5)*$D175</f>
        <v>0</v>
      </c>
      <c r="L175" s="22">
        <f>INDEX(Notes!$I$2:$N$11,MATCH(Notes!$B$2,Notes!$I$2:$I$11,0),6)*$E175</f>
        <v>0</v>
      </c>
      <c r="M175" s="22">
        <f>IF(Notes!$B$2="June",'Payment Total'!$F175,0)</f>
        <v>0</v>
      </c>
      <c r="N175" s="22">
        <f t="shared" si="8"/>
        <v>0</v>
      </c>
      <c r="P175" s="26" t="s">
        <v>1011</v>
      </c>
      <c r="Q175" s="26">
        <v>186420</v>
      </c>
      <c r="R175" s="21" t="str">
        <f t="shared" si="9"/>
        <v>3816</v>
      </c>
      <c r="S175" s="44" t="str">
        <f t="shared" si="10"/>
        <v>3816</v>
      </c>
      <c r="T175" s="45">
        <f t="shared" si="11"/>
        <v>0</v>
      </c>
      <c r="V175" s="45"/>
    </row>
    <row r="176" spans="1:22" s="26" customFormat="1" ht="12.75" x14ac:dyDescent="0.2">
      <c r="A176" s="20" t="str">
        <f>Data!B171</f>
        <v>3841</v>
      </c>
      <c r="B176" s="21" t="str">
        <f>INDEX(Data[],MATCH($A176,Data[Dist],0),MATCH(B$6,Data[#Headers],0))</f>
        <v>Louisa-Muscatine</v>
      </c>
      <c r="C176" s="22">
        <f>INDEX(Data[],MATCH($A176,Data[Dist],0),MATCH(C$6,Data[#Headers],0))</f>
        <v>458039</v>
      </c>
      <c r="D176" s="160">
        <f>INDEX(Data[],MATCH($A176,Data[Dist],0),MATCH(D$6,Data[#Headers],0))</f>
        <v>455409</v>
      </c>
      <c r="E176" s="160">
        <f>INDEX(Data[],MATCH($A176,Data[Dist],0),MATCH(E$6,Data[#Headers],0))</f>
        <v>455409</v>
      </c>
      <c r="F176" s="160">
        <f>INDEX(Data[],MATCH($A176,Data[Dist],0),MATCH(F$6,Data[#Headers],0))</f>
        <v>455408</v>
      </c>
      <c r="G176" s="22">
        <f>INDEX(Data[],MATCH($A176,Data[Dist],0),MATCH(G$6,Data[#Headers],0))</f>
        <v>1374117</v>
      </c>
      <c r="H176" s="22">
        <f>INDEX(Data[],MATCH($A176,Data[Dist],0),MATCH(H$6,Data[#Headers],0))-G176</f>
        <v>3206277</v>
      </c>
      <c r="I176" s="25"/>
      <c r="J176" s="22">
        <f>INDEX(Notes!$I$2:$N$11,MATCH(Notes!$B$2,Notes!$I$2:$I$11,0),4)*$C176</f>
        <v>1374117</v>
      </c>
      <c r="K176" s="22">
        <f>INDEX(Notes!$I$2:$N$11,MATCH(Notes!$B$2,Notes!$I$2:$I$11,0),5)*$D176</f>
        <v>0</v>
      </c>
      <c r="L176" s="22">
        <f>INDEX(Notes!$I$2:$N$11,MATCH(Notes!$B$2,Notes!$I$2:$I$11,0),6)*$E176</f>
        <v>0</v>
      </c>
      <c r="M176" s="22">
        <f>IF(Notes!$B$2="June",'Payment Total'!$F176,0)</f>
        <v>0</v>
      </c>
      <c r="N176" s="22">
        <f t="shared" si="8"/>
        <v>0</v>
      </c>
      <c r="P176" s="26" t="s">
        <v>1012</v>
      </c>
      <c r="Q176" s="26">
        <v>458039</v>
      </c>
      <c r="R176" s="21" t="str">
        <f t="shared" si="9"/>
        <v>3841</v>
      </c>
      <c r="S176" s="44" t="str">
        <f t="shared" si="10"/>
        <v>3841</v>
      </c>
      <c r="T176" s="45">
        <f t="shared" si="11"/>
        <v>0</v>
      </c>
      <c r="V176" s="45"/>
    </row>
    <row r="177" spans="1:22" s="26" customFormat="1" ht="12.75" x14ac:dyDescent="0.2">
      <c r="A177" s="20" t="str">
        <f>Data!B172</f>
        <v>3906</v>
      </c>
      <c r="B177" s="21" t="str">
        <f>INDEX(Data[],MATCH($A177,Data[Dist],0),MATCH(B$6,Data[#Headers],0))</f>
        <v>Lynnville-Sully</v>
      </c>
      <c r="C177" s="22">
        <f>INDEX(Data[],MATCH($A177,Data[Dist],0),MATCH(C$6,Data[#Headers],0))</f>
        <v>279824</v>
      </c>
      <c r="D177" s="160">
        <f>INDEX(Data[],MATCH($A177,Data[Dist],0),MATCH(D$6,Data[#Headers],0))</f>
        <v>278101</v>
      </c>
      <c r="E177" s="160">
        <f>INDEX(Data[],MATCH($A177,Data[Dist],0),MATCH(E$6,Data[#Headers],0))</f>
        <v>278101</v>
      </c>
      <c r="F177" s="160">
        <f>INDEX(Data[],MATCH($A177,Data[Dist],0),MATCH(F$6,Data[#Headers],0))</f>
        <v>278101</v>
      </c>
      <c r="G177" s="22">
        <f>INDEX(Data[],MATCH($A177,Data[Dist],0),MATCH(G$6,Data[#Headers],0))</f>
        <v>839472</v>
      </c>
      <c r="H177" s="22">
        <f>INDEX(Data[],MATCH($A177,Data[Dist],0),MATCH(H$6,Data[#Headers],0))-G177</f>
        <v>1958767</v>
      </c>
      <c r="I177" s="25"/>
      <c r="J177" s="22">
        <f>INDEX(Notes!$I$2:$N$11,MATCH(Notes!$B$2,Notes!$I$2:$I$11,0),4)*$C177</f>
        <v>839472</v>
      </c>
      <c r="K177" s="22">
        <f>INDEX(Notes!$I$2:$N$11,MATCH(Notes!$B$2,Notes!$I$2:$I$11,0),5)*$D177</f>
        <v>0</v>
      </c>
      <c r="L177" s="22">
        <f>INDEX(Notes!$I$2:$N$11,MATCH(Notes!$B$2,Notes!$I$2:$I$11,0),6)*$E177</f>
        <v>0</v>
      </c>
      <c r="M177" s="22">
        <f>IF(Notes!$B$2="June",'Payment Total'!$F177,0)</f>
        <v>0</v>
      </c>
      <c r="N177" s="22">
        <f t="shared" si="8"/>
        <v>0</v>
      </c>
      <c r="P177" s="26" t="s">
        <v>1013</v>
      </c>
      <c r="Q177" s="26">
        <v>279824</v>
      </c>
      <c r="R177" s="21" t="str">
        <f t="shared" si="9"/>
        <v>3906</v>
      </c>
      <c r="S177" s="44" t="str">
        <f t="shared" si="10"/>
        <v>3906</v>
      </c>
      <c r="T177" s="45">
        <f t="shared" si="11"/>
        <v>0</v>
      </c>
      <c r="V177" s="45"/>
    </row>
    <row r="178" spans="1:22" s="26" customFormat="1" ht="12.75" x14ac:dyDescent="0.2">
      <c r="A178" s="20" t="str">
        <f>Data!B173</f>
        <v>3942</v>
      </c>
      <c r="B178" s="21" t="str">
        <f>INDEX(Data[],MATCH($A178,Data[Dist],0),MATCH(B$6,Data[#Headers],0))</f>
        <v>Madrid</v>
      </c>
      <c r="C178" s="22">
        <f>INDEX(Data[],MATCH($A178,Data[Dist],0),MATCH(C$6,Data[#Headers],0))</f>
        <v>527392</v>
      </c>
      <c r="D178" s="160">
        <f>INDEX(Data[],MATCH($A178,Data[Dist],0),MATCH(D$6,Data[#Headers],0))</f>
        <v>524827</v>
      </c>
      <c r="E178" s="160">
        <f>INDEX(Data[],MATCH($A178,Data[Dist],0),MATCH(E$6,Data[#Headers],0))</f>
        <v>524827</v>
      </c>
      <c r="F178" s="160">
        <f>INDEX(Data[],MATCH($A178,Data[Dist],0),MATCH(F$6,Data[#Headers],0))</f>
        <v>524828</v>
      </c>
      <c r="G178" s="22">
        <f>INDEX(Data[],MATCH($A178,Data[Dist],0),MATCH(G$6,Data[#Headers],0))</f>
        <v>1582176</v>
      </c>
      <c r="H178" s="22">
        <f>INDEX(Data[],MATCH($A178,Data[Dist],0),MATCH(H$6,Data[#Headers],0))-G178</f>
        <v>3691745</v>
      </c>
      <c r="I178" s="25"/>
      <c r="J178" s="22">
        <f>INDEX(Notes!$I$2:$N$11,MATCH(Notes!$B$2,Notes!$I$2:$I$11,0),4)*$C178</f>
        <v>1582176</v>
      </c>
      <c r="K178" s="22">
        <f>INDEX(Notes!$I$2:$N$11,MATCH(Notes!$B$2,Notes!$I$2:$I$11,0),5)*$D178</f>
        <v>0</v>
      </c>
      <c r="L178" s="22">
        <f>INDEX(Notes!$I$2:$N$11,MATCH(Notes!$B$2,Notes!$I$2:$I$11,0),6)*$E178</f>
        <v>0</v>
      </c>
      <c r="M178" s="22">
        <f>IF(Notes!$B$2="June",'Payment Total'!$F178,0)</f>
        <v>0</v>
      </c>
      <c r="N178" s="22">
        <f t="shared" si="8"/>
        <v>0</v>
      </c>
      <c r="P178" s="26" t="s">
        <v>1014</v>
      </c>
      <c r="Q178" s="26">
        <v>527392</v>
      </c>
      <c r="R178" s="21" t="str">
        <f t="shared" si="9"/>
        <v>3942</v>
      </c>
      <c r="S178" s="44" t="str">
        <f t="shared" si="10"/>
        <v>3942</v>
      </c>
      <c r="T178" s="45">
        <f t="shared" si="11"/>
        <v>0</v>
      </c>
      <c r="V178" s="45"/>
    </row>
    <row r="179" spans="1:22" s="26" customFormat="1" ht="12.75" x14ac:dyDescent="0.2">
      <c r="A179" s="20" t="str">
        <f>Data!B174</f>
        <v>3978</v>
      </c>
      <c r="B179" s="21" t="str">
        <f>INDEX(Data[],MATCH($A179,Data[Dist],0),MATCH(B$6,Data[#Headers],0))</f>
        <v>East Mills</v>
      </c>
      <c r="C179" s="22">
        <f>INDEX(Data[],MATCH($A179,Data[Dist],0),MATCH(C$6,Data[#Headers],0))</f>
        <v>325890</v>
      </c>
      <c r="D179" s="160">
        <f>INDEX(Data[],MATCH($A179,Data[Dist],0),MATCH(D$6,Data[#Headers],0))</f>
        <v>323867</v>
      </c>
      <c r="E179" s="160">
        <f>INDEX(Data[],MATCH($A179,Data[Dist],0),MATCH(E$6,Data[#Headers],0))</f>
        <v>323867</v>
      </c>
      <c r="F179" s="160">
        <f>INDEX(Data[],MATCH($A179,Data[Dist],0),MATCH(F$6,Data[#Headers],0))</f>
        <v>323867</v>
      </c>
      <c r="G179" s="22">
        <f>INDEX(Data[],MATCH($A179,Data[Dist],0),MATCH(G$6,Data[#Headers],0))</f>
        <v>977670</v>
      </c>
      <c r="H179" s="22">
        <f>INDEX(Data[],MATCH($A179,Data[Dist],0),MATCH(H$6,Data[#Headers],0))-G179</f>
        <v>2281232</v>
      </c>
      <c r="I179" s="25"/>
      <c r="J179" s="22">
        <f>INDEX(Notes!$I$2:$N$11,MATCH(Notes!$B$2,Notes!$I$2:$I$11,0),4)*$C179</f>
        <v>977670</v>
      </c>
      <c r="K179" s="22">
        <f>INDEX(Notes!$I$2:$N$11,MATCH(Notes!$B$2,Notes!$I$2:$I$11,0),5)*$D179</f>
        <v>0</v>
      </c>
      <c r="L179" s="22">
        <f>INDEX(Notes!$I$2:$N$11,MATCH(Notes!$B$2,Notes!$I$2:$I$11,0),6)*$E179</f>
        <v>0</v>
      </c>
      <c r="M179" s="22">
        <f>IF(Notes!$B$2="June",'Payment Total'!$F179,0)</f>
        <v>0</v>
      </c>
      <c r="N179" s="22">
        <f t="shared" si="8"/>
        <v>0</v>
      </c>
      <c r="P179" s="26" t="s">
        <v>1015</v>
      </c>
      <c r="Q179" s="26">
        <v>325890</v>
      </c>
      <c r="R179" s="21" t="str">
        <f t="shared" si="9"/>
        <v>3978</v>
      </c>
      <c r="S179" s="44" t="str">
        <f t="shared" si="10"/>
        <v>3978</v>
      </c>
      <c r="T179" s="45">
        <f t="shared" si="11"/>
        <v>0</v>
      </c>
      <c r="V179" s="45"/>
    </row>
    <row r="180" spans="1:22" s="26" customFormat="1" ht="12.75" x14ac:dyDescent="0.2">
      <c r="A180" s="20" t="str">
        <f>Data!B175</f>
        <v>4023</v>
      </c>
      <c r="B180" s="21" t="str">
        <f>INDEX(Data[],MATCH($A180,Data[Dist],0),MATCH(B$6,Data[#Headers],0))</f>
        <v>Manson-Northwest Webster</v>
      </c>
      <c r="C180" s="22">
        <f>INDEX(Data[],MATCH($A180,Data[Dist],0),MATCH(C$6,Data[#Headers],0))</f>
        <v>347663</v>
      </c>
      <c r="D180" s="160">
        <f>INDEX(Data[],MATCH($A180,Data[Dist],0),MATCH(D$6,Data[#Headers],0))</f>
        <v>345153</v>
      </c>
      <c r="E180" s="160">
        <f>INDEX(Data[],MATCH($A180,Data[Dist],0),MATCH(E$6,Data[#Headers],0))</f>
        <v>345153</v>
      </c>
      <c r="F180" s="160">
        <f>INDEX(Data[],MATCH($A180,Data[Dist],0),MATCH(F$6,Data[#Headers],0))</f>
        <v>345154</v>
      </c>
      <c r="G180" s="22">
        <f>INDEX(Data[],MATCH($A180,Data[Dist],0),MATCH(G$6,Data[#Headers],0))</f>
        <v>1042989</v>
      </c>
      <c r="H180" s="22">
        <f>INDEX(Data[],MATCH($A180,Data[Dist],0),MATCH(H$6,Data[#Headers],0))-G180</f>
        <v>2433641</v>
      </c>
      <c r="I180" s="25"/>
      <c r="J180" s="22">
        <f>INDEX(Notes!$I$2:$N$11,MATCH(Notes!$B$2,Notes!$I$2:$I$11,0),4)*$C180</f>
        <v>1042989</v>
      </c>
      <c r="K180" s="22">
        <f>INDEX(Notes!$I$2:$N$11,MATCH(Notes!$B$2,Notes!$I$2:$I$11,0),5)*$D180</f>
        <v>0</v>
      </c>
      <c r="L180" s="22">
        <f>INDEX(Notes!$I$2:$N$11,MATCH(Notes!$B$2,Notes!$I$2:$I$11,0),6)*$E180</f>
        <v>0</v>
      </c>
      <c r="M180" s="22">
        <f>IF(Notes!$B$2="June",'Payment Total'!$F180,0)</f>
        <v>0</v>
      </c>
      <c r="N180" s="22">
        <f t="shared" si="8"/>
        <v>0</v>
      </c>
      <c r="P180" s="26" t="s">
        <v>1016</v>
      </c>
      <c r="Q180" s="26">
        <v>347663</v>
      </c>
      <c r="R180" s="21" t="str">
        <f t="shared" si="9"/>
        <v>4023</v>
      </c>
      <c r="S180" s="44" t="str">
        <f t="shared" si="10"/>
        <v>4023</v>
      </c>
      <c r="T180" s="45">
        <f t="shared" si="11"/>
        <v>0</v>
      </c>
      <c r="V180" s="45"/>
    </row>
    <row r="181" spans="1:22" s="26" customFormat="1" ht="12.75" x14ac:dyDescent="0.2">
      <c r="A181" s="20" t="str">
        <f>Data!B176</f>
        <v>4033</v>
      </c>
      <c r="B181" s="21" t="str">
        <f>INDEX(Data[],MATCH($A181,Data[Dist],0),MATCH(B$6,Data[#Headers],0))</f>
        <v>Maple Valley-Anthon Oto</v>
      </c>
      <c r="C181" s="22">
        <f>INDEX(Data[],MATCH($A181,Data[Dist],0),MATCH(C$6,Data[#Headers],0))</f>
        <v>319962</v>
      </c>
      <c r="D181" s="160">
        <f>INDEX(Data[],MATCH($A181,Data[Dist],0),MATCH(D$6,Data[#Headers],0))</f>
        <v>317688</v>
      </c>
      <c r="E181" s="160">
        <f>INDEX(Data[],MATCH($A181,Data[Dist],0),MATCH(E$6,Data[#Headers],0))</f>
        <v>317688</v>
      </c>
      <c r="F181" s="160">
        <f>INDEX(Data[],MATCH($A181,Data[Dist],0),MATCH(F$6,Data[#Headers],0))</f>
        <v>317687</v>
      </c>
      <c r="G181" s="22">
        <f>INDEX(Data[],MATCH($A181,Data[Dist],0),MATCH(G$6,Data[#Headers],0))</f>
        <v>959886</v>
      </c>
      <c r="H181" s="22">
        <f>INDEX(Data[],MATCH($A181,Data[Dist],0),MATCH(H$6,Data[#Headers],0))-G181</f>
        <v>2239729</v>
      </c>
      <c r="I181" s="25"/>
      <c r="J181" s="22">
        <f>INDEX(Notes!$I$2:$N$11,MATCH(Notes!$B$2,Notes!$I$2:$I$11,0),4)*$C181</f>
        <v>959886</v>
      </c>
      <c r="K181" s="22">
        <f>INDEX(Notes!$I$2:$N$11,MATCH(Notes!$B$2,Notes!$I$2:$I$11,0),5)*$D181</f>
        <v>0</v>
      </c>
      <c r="L181" s="22">
        <f>INDEX(Notes!$I$2:$N$11,MATCH(Notes!$B$2,Notes!$I$2:$I$11,0),6)*$E181</f>
        <v>0</v>
      </c>
      <c r="M181" s="22">
        <f>IF(Notes!$B$2="June",'Payment Total'!$F181,0)</f>
        <v>0</v>
      </c>
      <c r="N181" s="22">
        <f t="shared" si="8"/>
        <v>0</v>
      </c>
      <c r="P181" s="26" t="s">
        <v>1017</v>
      </c>
      <c r="Q181" s="26">
        <v>319962</v>
      </c>
      <c r="R181" s="21" t="str">
        <f t="shared" si="9"/>
        <v>4033</v>
      </c>
      <c r="S181" s="44" t="str">
        <f t="shared" si="10"/>
        <v>4033</v>
      </c>
      <c r="T181" s="45">
        <f t="shared" si="11"/>
        <v>0</v>
      </c>
      <c r="V181" s="45"/>
    </row>
    <row r="182" spans="1:22" s="26" customFormat="1" ht="12.75" x14ac:dyDescent="0.2">
      <c r="A182" s="20" t="str">
        <f>Data!B177</f>
        <v>4041</v>
      </c>
      <c r="B182" s="21" t="str">
        <f>INDEX(Data[],MATCH($A182,Data[Dist],0),MATCH(B$6,Data[#Headers],0))</f>
        <v>Maquoketa</v>
      </c>
      <c r="C182" s="22">
        <f>INDEX(Data[],MATCH($A182,Data[Dist],0),MATCH(C$6,Data[#Headers],0))</f>
        <v>979300</v>
      </c>
      <c r="D182" s="160">
        <f>INDEX(Data[],MATCH($A182,Data[Dist],0),MATCH(D$6,Data[#Headers],0))</f>
        <v>974706</v>
      </c>
      <c r="E182" s="160">
        <f>INDEX(Data[],MATCH($A182,Data[Dist],0),MATCH(E$6,Data[#Headers],0))</f>
        <v>974705</v>
      </c>
      <c r="F182" s="160">
        <f>INDEX(Data[],MATCH($A182,Data[Dist],0),MATCH(F$6,Data[#Headers],0))</f>
        <v>974706</v>
      </c>
      <c r="G182" s="22">
        <f>INDEX(Data[],MATCH($A182,Data[Dist],0),MATCH(G$6,Data[#Headers],0))</f>
        <v>2937900</v>
      </c>
      <c r="H182" s="22">
        <f>INDEX(Data[],MATCH($A182,Data[Dist],0),MATCH(H$6,Data[#Headers],0))-G182</f>
        <v>6855097</v>
      </c>
      <c r="I182" s="25"/>
      <c r="J182" s="22">
        <f>INDEX(Notes!$I$2:$N$11,MATCH(Notes!$B$2,Notes!$I$2:$I$11,0),4)*$C182</f>
        <v>2937900</v>
      </c>
      <c r="K182" s="22">
        <f>INDEX(Notes!$I$2:$N$11,MATCH(Notes!$B$2,Notes!$I$2:$I$11,0),5)*$D182</f>
        <v>0</v>
      </c>
      <c r="L182" s="22">
        <f>INDEX(Notes!$I$2:$N$11,MATCH(Notes!$B$2,Notes!$I$2:$I$11,0),6)*$E182</f>
        <v>0</v>
      </c>
      <c r="M182" s="22">
        <f>IF(Notes!$B$2="June",'Payment Total'!$F182,0)</f>
        <v>0</v>
      </c>
      <c r="N182" s="22">
        <f t="shared" si="8"/>
        <v>0</v>
      </c>
      <c r="P182" s="26" t="s">
        <v>1018</v>
      </c>
      <c r="Q182" s="26">
        <v>979300</v>
      </c>
      <c r="R182" s="21" t="str">
        <f t="shared" si="9"/>
        <v>4041</v>
      </c>
      <c r="S182" s="44" t="str">
        <f t="shared" si="10"/>
        <v>4041</v>
      </c>
      <c r="T182" s="45">
        <f t="shared" si="11"/>
        <v>0</v>
      </c>
      <c r="V182" s="45"/>
    </row>
    <row r="183" spans="1:22" s="26" customFormat="1" ht="12.75" x14ac:dyDescent="0.2">
      <c r="A183" s="20" t="str">
        <f>Data!B178</f>
        <v>4043</v>
      </c>
      <c r="B183" s="21" t="str">
        <f>INDEX(Data[],MATCH($A183,Data[Dist],0),MATCH(B$6,Data[#Headers],0))</f>
        <v>Maquoketa Valley</v>
      </c>
      <c r="C183" s="22">
        <f>INDEX(Data[],MATCH($A183,Data[Dist],0),MATCH(C$6,Data[#Headers],0))</f>
        <v>381797</v>
      </c>
      <c r="D183" s="160">
        <f>INDEX(Data[],MATCH($A183,Data[Dist],0),MATCH(D$6,Data[#Headers],0))</f>
        <v>379259</v>
      </c>
      <c r="E183" s="160">
        <f>INDEX(Data[],MATCH($A183,Data[Dist],0),MATCH(E$6,Data[#Headers],0))</f>
        <v>379259</v>
      </c>
      <c r="F183" s="160">
        <f>INDEX(Data[],MATCH($A183,Data[Dist],0),MATCH(F$6,Data[#Headers],0))</f>
        <v>379258</v>
      </c>
      <c r="G183" s="22">
        <f>INDEX(Data[],MATCH($A183,Data[Dist],0),MATCH(G$6,Data[#Headers],0))</f>
        <v>1145391</v>
      </c>
      <c r="H183" s="22">
        <f>INDEX(Data[],MATCH($A183,Data[Dist],0),MATCH(H$6,Data[#Headers],0))-G183</f>
        <v>2672581</v>
      </c>
      <c r="I183" s="25"/>
      <c r="J183" s="22">
        <f>INDEX(Notes!$I$2:$N$11,MATCH(Notes!$B$2,Notes!$I$2:$I$11,0),4)*$C183</f>
        <v>1145391</v>
      </c>
      <c r="K183" s="22">
        <f>INDEX(Notes!$I$2:$N$11,MATCH(Notes!$B$2,Notes!$I$2:$I$11,0),5)*$D183</f>
        <v>0</v>
      </c>
      <c r="L183" s="22">
        <f>INDEX(Notes!$I$2:$N$11,MATCH(Notes!$B$2,Notes!$I$2:$I$11,0),6)*$E183</f>
        <v>0</v>
      </c>
      <c r="M183" s="22">
        <f>IF(Notes!$B$2="June",'Payment Total'!$F183,0)</f>
        <v>0</v>
      </c>
      <c r="N183" s="22">
        <f t="shared" si="8"/>
        <v>0</v>
      </c>
      <c r="P183" s="26" t="s">
        <v>1019</v>
      </c>
      <c r="Q183" s="26">
        <v>381797</v>
      </c>
      <c r="R183" s="21" t="str">
        <f t="shared" si="9"/>
        <v>4043</v>
      </c>
      <c r="S183" s="44" t="str">
        <f t="shared" si="10"/>
        <v>4043</v>
      </c>
      <c r="T183" s="45">
        <f t="shared" si="11"/>
        <v>0</v>
      </c>
      <c r="V183" s="45"/>
    </row>
    <row r="184" spans="1:22" s="26" customFormat="1" ht="12.75" x14ac:dyDescent="0.2">
      <c r="A184" s="20" t="str">
        <f>Data!B179</f>
        <v>4068</v>
      </c>
      <c r="B184" s="21" t="str">
        <f>INDEX(Data[],MATCH($A184,Data[Dist],0),MATCH(B$6,Data[#Headers],0))</f>
        <v>Marcus-Meriden Cleghorn</v>
      </c>
      <c r="C184" s="22">
        <f>INDEX(Data[],MATCH($A184,Data[Dist],0),MATCH(C$6,Data[#Headers],0))</f>
        <v>213436</v>
      </c>
      <c r="D184" s="160">
        <f>INDEX(Data[],MATCH($A184,Data[Dist],0),MATCH(D$6,Data[#Headers],0))</f>
        <v>211656</v>
      </c>
      <c r="E184" s="160">
        <f>INDEX(Data[],MATCH($A184,Data[Dist],0),MATCH(E$6,Data[#Headers],0))</f>
        <v>211655</v>
      </c>
      <c r="F184" s="160">
        <f>INDEX(Data[],MATCH($A184,Data[Dist],0),MATCH(F$6,Data[#Headers],0))</f>
        <v>211656</v>
      </c>
      <c r="G184" s="22">
        <f>INDEX(Data[],MATCH($A184,Data[Dist],0),MATCH(G$6,Data[#Headers],0))</f>
        <v>640308</v>
      </c>
      <c r="H184" s="22">
        <f>INDEX(Data[],MATCH($A184,Data[Dist],0),MATCH(H$6,Data[#Headers],0))-G184</f>
        <v>1494055</v>
      </c>
      <c r="I184" s="25"/>
      <c r="J184" s="22">
        <f>INDEX(Notes!$I$2:$N$11,MATCH(Notes!$B$2,Notes!$I$2:$I$11,0),4)*$C184</f>
        <v>640308</v>
      </c>
      <c r="K184" s="22">
        <f>INDEX(Notes!$I$2:$N$11,MATCH(Notes!$B$2,Notes!$I$2:$I$11,0),5)*$D184</f>
        <v>0</v>
      </c>
      <c r="L184" s="22">
        <f>INDEX(Notes!$I$2:$N$11,MATCH(Notes!$B$2,Notes!$I$2:$I$11,0),6)*$E184</f>
        <v>0</v>
      </c>
      <c r="M184" s="22">
        <f>IF(Notes!$B$2="June",'Payment Total'!$F184,0)</f>
        <v>0</v>
      </c>
      <c r="N184" s="22">
        <f t="shared" si="8"/>
        <v>0</v>
      </c>
      <c r="P184" s="26" t="s">
        <v>1020</v>
      </c>
      <c r="Q184" s="26">
        <v>213436</v>
      </c>
      <c r="R184" s="21" t="str">
        <f t="shared" si="9"/>
        <v>4068</v>
      </c>
      <c r="S184" s="44" t="str">
        <f t="shared" si="10"/>
        <v>4068</v>
      </c>
      <c r="T184" s="45">
        <f t="shared" si="11"/>
        <v>0</v>
      </c>
      <c r="V184" s="45"/>
    </row>
    <row r="185" spans="1:22" s="26" customFormat="1" ht="12.75" x14ac:dyDescent="0.2">
      <c r="A185" s="20" t="str">
        <f>Data!B180</f>
        <v>4086</v>
      </c>
      <c r="B185" s="21" t="str">
        <f>INDEX(Data[],MATCH($A185,Data[Dist],0),MATCH(B$6,Data[#Headers],0))</f>
        <v>Marion</v>
      </c>
      <c r="C185" s="22">
        <f>INDEX(Data[],MATCH($A185,Data[Dist],0),MATCH(C$6,Data[#Headers],0))</f>
        <v>1467717</v>
      </c>
      <c r="D185" s="160">
        <f>INDEX(Data[],MATCH($A185,Data[Dist],0),MATCH(D$6,Data[#Headers],0))</f>
        <v>1460835</v>
      </c>
      <c r="E185" s="160">
        <f>INDEX(Data[],MATCH($A185,Data[Dist],0),MATCH(E$6,Data[#Headers],0))</f>
        <v>1460835</v>
      </c>
      <c r="F185" s="160">
        <f>INDEX(Data[],MATCH($A185,Data[Dist],0),MATCH(F$6,Data[#Headers],0))</f>
        <v>1460835</v>
      </c>
      <c r="G185" s="22">
        <f>INDEX(Data[],MATCH($A185,Data[Dist],0),MATCH(G$6,Data[#Headers],0))</f>
        <v>4403151</v>
      </c>
      <c r="H185" s="22">
        <f>INDEX(Data[],MATCH($A185,Data[Dist],0),MATCH(H$6,Data[#Headers],0))-G185</f>
        <v>10274018</v>
      </c>
      <c r="I185" s="25"/>
      <c r="J185" s="22">
        <f>INDEX(Notes!$I$2:$N$11,MATCH(Notes!$B$2,Notes!$I$2:$I$11,0),4)*$C185</f>
        <v>4403151</v>
      </c>
      <c r="K185" s="22">
        <f>INDEX(Notes!$I$2:$N$11,MATCH(Notes!$B$2,Notes!$I$2:$I$11,0),5)*$D185</f>
        <v>0</v>
      </c>
      <c r="L185" s="22">
        <f>INDEX(Notes!$I$2:$N$11,MATCH(Notes!$B$2,Notes!$I$2:$I$11,0),6)*$E185</f>
        <v>0</v>
      </c>
      <c r="M185" s="22">
        <f>IF(Notes!$B$2="June",'Payment Total'!$F185,0)</f>
        <v>0</v>
      </c>
      <c r="N185" s="22">
        <f t="shared" si="8"/>
        <v>0</v>
      </c>
      <c r="P185" s="26" t="s">
        <v>1021</v>
      </c>
      <c r="Q185" s="26">
        <v>1467717</v>
      </c>
      <c r="R185" s="21" t="str">
        <f t="shared" si="9"/>
        <v>4086</v>
      </c>
      <c r="S185" s="44" t="str">
        <f t="shared" si="10"/>
        <v>4086</v>
      </c>
      <c r="T185" s="45">
        <f t="shared" si="11"/>
        <v>0</v>
      </c>
      <c r="V185" s="45"/>
    </row>
    <row r="186" spans="1:22" s="26" customFormat="1" ht="12.75" x14ac:dyDescent="0.2">
      <c r="A186" s="20" t="str">
        <f>Data!B181</f>
        <v>4104</v>
      </c>
      <c r="B186" s="21" t="str">
        <f>INDEX(Data[],MATCH($A186,Data[Dist],0),MATCH(B$6,Data[#Headers],0))</f>
        <v>Marshalltown</v>
      </c>
      <c r="C186" s="22">
        <f>INDEX(Data[],MATCH($A186,Data[Dist],0),MATCH(C$6,Data[#Headers],0))</f>
        <v>4667536</v>
      </c>
      <c r="D186" s="160">
        <f>INDEX(Data[],MATCH($A186,Data[Dist],0),MATCH(D$6,Data[#Headers],0))</f>
        <v>4646958</v>
      </c>
      <c r="E186" s="160">
        <f>INDEX(Data[],MATCH($A186,Data[Dist],0),MATCH(E$6,Data[#Headers],0))</f>
        <v>4646959</v>
      </c>
      <c r="F186" s="160">
        <f>INDEX(Data[],MATCH($A186,Data[Dist],0),MATCH(F$6,Data[#Headers],0))</f>
        <v>4646957</v>
      </c>
      <c r="G186" s="22">
        <f>INDEX(Data[],MATCH($A186,Data[Dist],0),MATCH(G$6,Data[#Headers],0))</f>
        <v>14002608</v>
      </c>
      <c r="H186" s="22">
        <f>INDEX(Data[],MATCH($A186,Data[Dist],0),MATCH(H$6,Data[#Headers],0))-G186</f>
        <v>32672748</v>
      </c>
      <c r="I186" s="25"/>
      <c r="J186" s="22">
        <f>INDEX(Notes!$I$2:$N$11,MATCH(Notes!$B$2,Notes!$I$2:$I$11,0),4)*$C186</f>
        <v>14002608</v>
      </c>
      <c r="K186" s="22">
        <f>INDEX(Notes!$I$2:$N$11,MATCH(Notes!$B$2,Notes!$I$2:$I$11,0),5)*$D186</f>
        <v>0</v>
      </c>
      <c r="L186" s="22">
        <f>INDEX(Notes!$I$2:$N$11,MATCH(Notes!$B$2,Notes!$I$2:$I$11,0),6)*$E186</f>
        <v>0</v>
      </c>
      <c r="M186" s="22">
        <f>IF(Notes!$B$2="June",'Payment Total'!$F186,0)</f>
        <v>0</v>
      </c>
      <c r="N186" s="22">
        <f t="shared" si="8"/>
        <v>0</v>
      </c>
      <c r="P186" s="26" t="s">
        <v>1022</v>
      </c>
      <c r="Q186" s="26">
        <v>4667536</v>
      </c>
      <c r="R186" s="21" t="str">
        <f t="shared" si="9"/>
        <v>4104</v>
      </c>
      <c r="S186" s="44" t="str">
        <f t="shared" si="10"/>
        <v>4104</v>
      </c>
      <c r="T186" s="45">
        <f t="shared" si="11"/>
        <v>0</v>
      </c>
      <c r="V186" s="45"/>
    </row>
    <row r="187" spans="1:22" s="26" customFormat="1" ht="12.75" x14ac:dyDescent="0.2">
      <c r="A187" s="20" t="str">
        <f>Data!B182</f>
        <v>4122</v>
      </c>
      <c r="B187" s="21" t="str">
        <f>INDEX(Data[],MATCH($A187,Data[Dist],0),MATCH(B$6,Data[#Headers],0))</f>
        <v>Martensdale-St Marys</v>
      </c>
      <c r="C187" s="22">
        <f>INDEX(Data[],MATCH($A187,Data[Dist],0),MATCH(C$6,Data[#Headers],0))</f>
        <v>334456</v>
      </c>
      <c r="D187" s="160">
        <f>INDEX(Data[],MATCH($A187,Data[Dist],0),MATCH(D$6,Data[#Headers],0))</f>
        <v>332498</v>
      </c>
      <c r="E187" s="160">
        <f>INDEX(Data[],MATCH($A187,Data[Dist],0),MATCH(E$6,Data[#Headers],0))</f>
        <v>332497</v>
      </c>
      <c r="F187" s="160">
        <f>INDEX(Data[],MATCH($A187,Data[Dist],0),MATCH(F$6,Data[#Headers],0))</f>
        <v>332498</v>
      </c>
      <c r="G187" s="22">
        <f>INDEX(Data[],MATCH($A187,Data[Dist],0),MATCH(G$6,Data[#Headers],0))</f>
        <v>1003368</v>
      </c>
      <c r="H187" s="22">
        <f>INDEX(Data[],MATCH($A187,Data[Dist],0),MATCH(H$6,Data[#Headers],0))-G187</f>
        <v>2341188</v>
      </c>
      <c r="I187" s="25"/>
      <c r="J187" s="22">
        <f>INDEX(Notes!$I$2:$N$11,MATCH(Notes!$B$2,Notes!$I$2:$I$11,0),4)*$C187</f>
        <v>1003368</v>
      </c>
      <c r="K187" s="22">
        <f>INDEX(Notes!$I$2:$N$11,MATCH(Notes!$B$2,Notes!$I$2:$I$11,0),5)*$D187</f>
        <v>0</v>
      </c>
      <c r="L187" s="22">
        <f>INDEX(Notes!$I$2:$N$11,MATCH(Notes!$B$2,Notes!$I$2:$I$11,0),6)*$E187</f>
        <v>0</v>
      </c>
      <c r="M187" s="22">
        <f>IF(Notes!$B$2="June",'Payment Total'!$F187,0)</f>
        <v>0</v>
      </c>
      <c r="N187" s="22">
        <f t="shared" si="8"/>
        <v>0</v>
      </c>
      <c r="P187" s="26" t="s">
        <v>1023</v>
      </c>
      <c r="Q187" s="26">
        <v>334456</v>
      </c>
      <c r="R187" s="21" t="str">
        <f t="shared" si="9"/>
        <v>4122</v>
      </c>
      <c r="S187" s="44" t="str">
        <f t="shared" si="10"/>
        <v>4122</v>
      </c>
      <c r="T187" s="45">
        <f t="shared" si="11"/>
        <v>0</v>
      </c>
      <c r="V187" s="45"/>
    </row>
    <row r="188" spans="1:22" s="26" customFormat="1" ht="12.75" x14ac:dyDescent="0.2">
      <c r="A188" s="20" t="str">
        <f>Data!B183</f>
        <v>4131</v>
      </c>
      <c r="B188" s="21" t="str">
        <f>INDEX(Data[],MATCH($A188,Data[Dist],0),MATCH(B$6,Data[#Headers],0))</f>
        <v>Mason City</v>
      </c>
      <c r="C188" s="22">
        <f>INDEX(Data[],MATCH($A188,Data[Dist],0),MATCH(C$6,Data[#Headers],0))</f>
        <v>2452443</v>
      </c>
      <c r="D188" s="160">
        <f>INDEX(Data[],MATCH($A188,Data[Dist],0),MATCH(D$6,Data[#Headers],0))</f>
        <v>2439409</v>
      </c>
      <c r="E188" s="160">
        <f>INDEX(Data[],MATCH($A188,Data[Dist],0),MATCH(E$6,Data[#Headers],0))</f>
        <v>2439408</v>
      </c>
      <c r="F188" s="160">
        <f>INDEX(Data[],MATCH($A188,Data[Dist],0),MATCH(F$6,Data[#Headers],0))</f>
        <v>2439409</v>
      </c>
      <c r="G188" s="22">
        <f>INDEX(Data[],MATCH($A188,Data[Dist],0),MATCH(G$6,Data[#Headers],0))</f>
        <v>7357329</v>
      </c>
      <c r="H188" s="22">
        <f>INDEX(Data[],MATCH($A188,Data[Dist],0),MATCH(H$6,Data[#Headers],0))-G188</f>
        <v>17167098</v>
      </c>
      <c r="I188" s="25"/>
      <c r="J188" s="22">
        <f>INDEX(Notes!$I$2:$N$11,MATCH(Notes!$B$2,Notes!$I$2:$I$11,0),4)*$C188</f>
        <v>7357329</v>
      </c>
      <c r="K188" s="22">
        <f>INDEX(Notes!$I$2:$N$11,MATCH(Notes!$B$2,Notes!$I$2:$I$11,0),5)*$D188</f>
        <v>0</v>
      </c>
      <c r="L188" s="22">
        <f>INDEX(Notes!$I$2:$N$11,MATCH(Notes!$B$2,Notes!$I$2:$I$11,0),6)*$E188</f>
        <v>0</v>
      </c>
      <c r="M188" s="22">
        <f>IF(Notes!$B$2="June",'Payment Total'!$F188,0)</f>
        <v>0</v>
      </c>
      <c r="N188" s="22">
        <f t="shared" si="8"/>
        <v>0</v>
      </c>
      <c r="P188" s="26" t="s">
        <v>1024</v>
      </c>
      <c r="Q188" s="26">
        <v>2452443</v>
      </c>
      <c r="R188" s="21" t="str">
        <f t="shared" si="9"/>
        <v>4131</v>
      </c>
      <c r="S188" s="44" t="str">
        <f t="shared" si="10"/>
        <v>4131</v>
      </c>
      <c r="T188" s="45">
        <f t="shared" si="11"/>
        <v>0</v>
      </c>
      <c r="V188" s="45"/>
    </row>
    <row r="189" spans="1:22" s="26" customFormat="1" ht="12.75" x14ac:dyDescent="0.2">
      <c r="A189" s="20" t="str">
        <f>Data!B184</f>
        <v>4149</v>
      </c>
      <c r="B189" s="21" t="str">
        <f>INDEX(Data[],MATCH($A189,Data[Dist],0),MATCH(B$6,Data[#Headers],0))</f>
        <v>Moc-Floyd Valley</v>
      </c>
      <c r="C189" s="22">
        <f>INDEX(Data[],MATCH($A189,Data[Dist],0),MATCH(C$6,Data[#Headers],0))</f>
        <v>982165</v>
      </c>
      <c r="D189" s="160">
        <f>INDEX(Data[],MATCH($A189,Data[Dist],0),MATCH(D$6,Data[#Headers],0))</f>
        <v>976362</v>
      </c>
      <c r="E189" s="160">
        <f>INDEX(Data[],MATCH($A189,Data[Dist],0),MATCH(E$6,Data[#Headers],0))</f>
        <v>976361</v>
      </c>
      <c r="F189" s="160">
        <f>INDEX(Data[],MATCH($A189,Data[Dist],0),MATCH(F$6,Data[#Headers],0))</f>
        <v>976362</v>
      </c>
      <c r="G189" s="22">
        <f>INDEX(Data[],MATCH($A189,Data[Dist],0),MATCH(G$6,Data[#Headers],0))</f>
        <v>2946495</v>
      </c>
      <c r="H189" s="22">
        <f>INDEX(Data[],MATCH($A189,Data[Dist],0),MATCH(H$6,Data[#Headers],0))-G189</f>
        <v>6875159</v>
      </c>
      <c r="I189" s="25"/>
      <c r="J189" s="22">
        <f>INDEX(Notes!$I$2:$N$11,MATCH(Notes!$B$2,Notes!$I$2:$I$11,0),4)*$C189</f>
        <v>2946495</v>
      </c>
      <c r="K189" s="22">
        <f>INDEX(Notes!$I$2:$N$11,MATCH(Notes!$B$2,Notes!$I$2:$I$11,0),5)*$D189</f>
        <v>0</v>
      </c>
      <c r="L189" s="22">
        <f>INDEX(Notes!$I$2:$N$11,MATCH(Notes!$B$2,Notes!$I$2:$I$11,0),6)*$E189</f>
        <v>0</v>
      </c>
      <c r="M189" s="22">
        <f>IF(Notes!$B$2="June",'Payment Total'!$F189,0)</f>
        <v>0</v>
      </c>
      <c r="N189" s="22">
        <f t="shared" si="8"/>
        <v>0</v>
      </c>
      <c r="P189" s="26" t="s">
        <v>1025</v>
      </c>
      <c r="Q189" s="26">
        <v>982165</v>
      </c>
      <c r="R189" s="21" t="str">
        <f t="shared" si="9"/>
        <v>4149</v>
      </c>
      <c r="S189" s="44" t="str">
        <f t="shared" si="10"/>
        <v>4149</v>
      </c>
      <c r="T189" s="45">
        <f t="shared" si="11"/>
        <v>0</v>
      </c>
      <c r="V189" s="45"/>
    </row>
    <row r="190" spans="1:22" s="26" customFormat="1" ht="12.75" x14ac:dyDescent="0.2">
      <c r="A190" s="20" t="str">
        <f>Data!B185</f>
        <v>4203</v>
      </c>
      <c r="B190" s="21" t="str">
        <f>INDEX(Data[],MATCH($A190,Data[Dist],0),MATCH(B$6,Data[#Headers],0))</f>
        <v>Mediapolis</v>
      </c>
      <c r="C190" s="22">
        <f>INDEX(Data[],MATCH($A190,Data[Dist],0),MATCH(C$6,Data[#Headers],0))</f>
        <v>559029</v>
      </c>
      <c r="D190" s="160">
        <f>INDEX(Data[],MATCH($A190,Data[Dist],0),MATCH(D$6,Data[#Headers],0))</f>
        <v>555679</v>
      </c>
      <c r="E190" s="160">
        <f>INDEX(Data[],MATCH($A190,Data[Dist],0),MATCH(E$6,Data[#Headers],0))</f>
        <v>555679</v>
      </c>
      <c r="F190" s="160">
        <f>INDEX(Data[],MATCH($A190,Data[Dist],0),MATCH(F$6,Data[#Headers],0))</f>
        <v>555677</v>
      </c>
      <c r="G190" s="22">
        <f>INDEX(Data[],MATCH($A190,Data[Dist],0),MATCH(G$6,Data[#Headers],0))</f>
        <v>1677087</v>
      </c>
      <c r="H190" s="22">
        <f>INDEX(Data[],MATCH($A190,Data[Dist],0),MATCH(H$6,Data[#Headers],0))-G190</f>
        <v>3913207</v>
      </c>
      <c r="I190" s="25"/>
      <c r="J190" s="22">
        <f>INDEX(Notes!$I$2:$N$11,MATCH(Notes!$B$2,Notes!$I$2:$I$11,0),4)*$C190</f>
        <v>1677087</v>
      </c>
      <c r="K190" s="22">
        <f>INDEX(Notes!$I$2:$N$11,MATCH(Notes!$B$2,Notes!$I$2:$I$11,0),5)*$D190</f>
        <v>0</v>
      </c>
      <c r="L190" s="22">
        <f>INDEX(Notes!$I$2:$N$11,MATCH(Notes!$B$2,Notes!$I$2:$I$11,0),6)*$E190</f>
        <v>0</v>
      </c>
      <c r="M190" s="22">
        <f>IF(Notes!$B$2="June",'Payment Total'!$F190,0)</f>
        <v>0</v>
      </c>
      <c r="N190" s="22">
        <f t="shared" si="8"/>
        <v>0</v>
      </c>
      <c r="P190" s="26" t="s">
        <v>1026</v>
      </c>
      <c r="Q190" s="26">
        <v>559029</v>
      </c>
      <c r="R190" s="21" t="str">
        <f t="shared" si="9"/>
        <v>4203</v>
      </c>
      <c r="S190" s="44" t="str">
        <f t="shared" si="10"/>
        <v>4203</v>
      </c>
      <c r="T190" s="45">
        <f t="shared" si="11"/>
        <v>0</v>
      </c>
      <c r="V190" s="45"/>
    </row>
    <row r="191" spans="1:22" s="26" customFormat="1" ht="12.75" x14ac:dyDescent="0.2">
      <c r="A191" s="20" t="str">
        <f>Data!B186</f>
        <v>4212</v>
      </c>
      <c r="B191" s="21" t="str">
        <f>INDEX(Data[],MATCH($A191,Data[Dist],0),MATCH(B$6,Data[#Headers],0))</f>
        <v>Melcher-Dallas</v>
      </c>
      <c r="C191" s="22">
        <f>INDEX(Data[],MATCH($A191,Data[Dist],0),MATCH(C$6,Data[#Headers],0))</f>
        <v>249971</v>
      </c>
      <c r="D191" s="160">
        <f>INDEX(Data[],MATCH($A191,Data[Dist],0),MATCH(D$6,Data[#Headers],0))</f>
        <v>248792</v>
      </c>
      <c r="E191" s="160">
        <f>INDEX(Data[],MATCH($A191,Data[Dist],0),MATCH(E$6,Data[#Headers],0))</f>
        <v>248793</v>
      </c>
      <c r="F191" s="160">
        <f>INDEX(Data[],MATCH($A191,Data[Dist],0),MATCH(F$6,Data[#Headers],0))</f>
        <v>248791</v>
      </c>
      <c r="G191" s="22">
        <f>INDEX(Data[],MATCH($A191,Data[Dist],0),MATCH(G$6,Data[#Headers],0))</f>
        <v>749913</v>
      </c>
      <c r="H191" s="22">
        <f>INDEX(Data[],MATCH($A191,Data[Dist],0),MATCH(H$6,Data[#Headers],0))-G191</f>
        <v>1749793</v>
      </c>
      <c r="I191" s="25"/>
      <c r="J191" s="22">
        <f>INDEX(Notes!$I$2:$N$11,MATCH(Notes!$B$2,Notes!$I$2:$I$11,0),4)*$C191</f>
        <v>749913</v>
      </c>
      <c r="K191" s="22">
        <f>INDEX(Notes!$I$2:$N$11,MATCH(Notes!$B$2,Notes!$I$2:$I$11,0),5)*$D191</f>
        <v>0</v>
      </c>
      <c r="L191" s="22">
        <f>INDEX(Notes!$I$2:$N$11,MATCH(Notes!$B$2,Notes!$I$2:$I$11,0),6)*$E191</f>
        <v>0</v>
      </c>
      <c r="M191" s="22">
        <f>IF(Notes!$B$2="June",'Payment Total'!$F191,0)</f>
        <v>0</v>
      </c>
      <c r="N191" s="22">
        <f t="shared" si="8"/>
        <v>0</v>
      </c>
      <c r="P191" s="26" t="s">
        <v>1027</v>
      </c>
      <c r="Q191" s="26">
        <v>249971</v>
      </c>
      <c r="R191" s="21" t="str">
        <f t="shared" si="9"/>
        <v>4212</v>
      </c>
      <c r="S191" s="44" t="str">
        <f t="shared" si="10"/>
        <v>4212</v>
      </c>
      <c r="T191" s="45">
        <f t="shared" si="11"/>
        <v>0</v>
      </c>
      <c r="V191" s="45"/>
    </row>
    <row r="192" spans="1:22" s="26" customFormat="1" ht="12.75" x14ac:dyDescent="0.2">
      <c r="A192" s="20" t="str">
        <f>Data!B187</f>
        <v>4269</v>
      </c>
      <c r="B192" s="21" t="str">
        <f>INDEX(Data[],MATCH($A192,Data[Dist],0),MATCH(B$6,Data[#Headers],0))</f>
        <v>Midland</v>
      </c>
      <c r="C192" s="22">
        <f>INDEX(Data[],MATCH($A192,Data[Dist],0),MATCH(C$6,Data[#Headers],0))</f>
        <v>316089</v>
      </c>
      <c r="D192" s="160">
        <f>INDEX(Data[],MATCH($A192,Data[Dist],0),MATCH(D$6,Data[#Headers],0))</f>
        <v>314168</v>
      </c>
      <c r="E192" s="160">
        <f>INDEX(Data[],MATCH($A192,Data[Dist],0),MATCH(E$6,Data[#Headers],0))</f>
        <v>314169</v>
      </c>
      <c r="F192" s="160">
        <f>INDEX(Data[],MATCH($A192,Data[Dist],0),MATCH(F$6,Data[#Headers],0))</f>
        <v>314167</v>
      </c>
      <c r="G192" s="22">
        <f>INDEX(Data[],MATCH($A192,Data[Dist],0),MATCH(G$6,Data[#Headers],0))</f>
        <v>948267</v>
      </c>
      <c r="H192" s="22">
        <f>INDEX(Data[],MATCH($A192,Data[Dist],0),MATCH(H$6,Data[#Headers],0))-G192</f>
        <v>2212625</v>
      </c>
      <c r="I192" s="25"/>
      <c r="J192" s="22">
        <f>INDEX(Notes!$I$2:$N$11,MATCH(Notes!$B$2,Notes!$I$2:$I$11,0),4)*$C192</f>
        <v>948267</v>
      </c>
      <c r="K192" s="22">
        <f>INDEX(Notes!$I$2:$N$11,MATCH(Notes!$B$2,Notes!$I$2:$I$11,0),5)*$D192</f>
        <v>0</v>
      </c>
      <c r="L192" s="22">
        <f>INDEX(Notes!$I$2:$N$11,MATCH(Notes!$B$2,Notes!$I$2:$I$11,0),6)*$E192</f>
        <v>0</v>
      </c>
      <c r="M192" s="22">
        <f>IF(Notes!$B$2="June",'Payment Total'!$F192,0)</f>
        <v>0</v>
      </c>
      <c r="N192" s="22">
        <f t="shared" si="8"/>
        <v>0</v>
      </c>
      <c r="P192" s="26" t="s">
        <v>1028</v>
      </c>
      <c r="Q192" s="26">
        <v>316089</v>
      </c>
      <c r="R192" s="21" t="str">
        <f t="shared" si="9"/>
        <v>4269</v>
      </c>
      <c r="S192" s="44" t="str">
        <f t="shared" si="10"/>
        <v>4269</v>
      </c>
      <c r="T192" s="45">
        <f t="shared" si="11"/>
        <v>0</v>
      </c>
      <c r="V192" s="45"/>
    </row>
    <row r="193" spans="1:22" s="26" customFormat="1" ht="12.75" x14ac:dyDescent="0.2">
      <c r="A193" s="20" t="str">
        <f>Data!B188</f>
        <v>4271</v>
      </c>
      <c r="B193" s="21" t="str">
        <f>INDEX(Data[],MATCH($A193,Data[Dist],0),MATCH(B$6,Data[#Headers],0))</f>
        <v>Mid-Prairie</v>
      </c>
      <c r="C193" s="22">
        <f>INDEX(Data[],MATCH($A193,Data[Dist],0),MATCH(C$6,Data[#Headers],0))</f>
        <v>828129</v>
      </c>
      <c r="D193" s="160">
        <f>INDEX(Data[],MATCH($A193,Data[Dist],0),MATCH(D$6,Data[#Headers],0))</f>
        <v>823428</v>
      </c>
      <c r="E193" s="160">
        <f>INDEX(Data[],MATCH($A193,Data[Dist],0),MATCH(E$6,Data[#Headers],0))</f>
        <v>823428</v>
      </c>
      <c r="F193" s="160">
        <f>INDEX(Data[],MATCH($A193,Data[Dist],0),MATCH(F$6,Data[#Headers],0))</f>
        <v>823427</v>
      </c>
      <c r="G193" s="22">
        <f>INDEX(Data[],MATCH($A193,Data[Dist],0),MATCH(G$6,Data[#Headers],0))</f>
        <v>2484387</v>
      </c>
      <c r="H193" s="22">
        <f>INDEX(Data[],MATCH($A193,Data[Dist],0),MATCH(H$6,Data[#Headers],0))-G193</f>
        <v>5796901</v>
      </c>
      <c r="I193" s="25"/>
      <c r="J193" s="22">
        <f>INDEX(Notes!$I$2:$N$11,MATCH(Notes!$B$2,Notes!$I$2:$I$11,0),4)*$C193</f>
        <v>2484387</v>
      </c>
      <c r="K193" s="22">
        <f>INDEX(Notes!$I$2:$N$11,MATCH(Notes!$B$2,Notes!$I$2:$I$11,0),5)*$D193</f>
        <v>0</v>
      </c>
      <c r="L193" s="22">
        <f>INDEX(Notes!$I$2:$N$11,MATCH(Notes!$B$2,Notes!$I$2:$I$11,0),6)*$E193</f>
        <v>0</v>
      </c>
      <c r="M193" s="22">
        <f>IF(Notes!$B$2="June",'Payment Total'!$F193,0)</f>
        <v>0</v>
      </c>
      <c r="N193" s="22">
        <f t="shared" si="8"/>
        <v>0</v>
      </c>
      <c r="P193" s="26" t="s">
        <v>1029</v>
      </c>
      <c r="Q193" s="26">
        <v>828129</v>
      </c>
      <c r="R193" s="21" t="str">
        <f t="shared" si="9"/>
        <v>4271</v>
      </c>
      <c r="S193" s="44" t="str">
        <f t="shared" si="10"/>
        <v>4271</v>
      </c>
      <c r="T193" s="45">
        <f t="shared" si="11"/>
        <v>0</v>
      </c>
      <c r="V193" s="45"/>
    </row>
    <row r="194" spans="1:22" s="26" customFormat="1" ht="12.75" x14ac:dyDescent="0.2">
      <c r="A194" s="20" t="str">
        <f>Data!B189</f>
        <v>4356</v>
      </c>
      <c r="B194" s="21" t="str">
        <f>INDEX(Data[],MATCH($A194,Data[Dist],0),MATCH(B$6,Data[#Headers],0))</f>
        <v>Missouri Valley</v>
      </c>
      <c r="C194" s="22">
        <f>INDEX(Data[],MATCH($A194,Data[Dist],0),MATCH(C$6,Data[#Headers],0))</f>
        <v>522100</v>
      </c>
      <c r="D194" s="160">
        <f>INDEX(Data[],MATCH($A194,Data[Dist],0),MATCH(D$6,Data[#Headers],0))</f>
        <v>519180</v>
      </c>
      <c r="E194" s="160">
        <f>INDEX(Data[],MATCH($A194,Data[Dist],0),MATCH(E$6,Data[#Headers],0))</f>
        <v>519181</v>
      </c>
      <c r="F194" s="160">
        <f>INDEX(Data[],MATCH($A194,Data[Dist],0),MATCH(F$6,Data[#Headers],0))</f>
        <v>519179</v>
      </c>
      <c r="G194" s="22">
        <f>INDEX(Data[],MATCH($A194,Data[Dist],0),MATCH(G$6,Data[#Headers],0))</f>
        <v>1566300</v>
      </c>
      <c r="H194" s="22">
        <f>INDEX(Data[],MATCH($A194,Data[Dist],0),MATCH(H$6,Data[#Headers],0))-G194</f>
        <v>3654699</v>
      </c>
      <c r="I194" s="25"/>
      <c r="J194" s="22">
        <f>INDEX(Notes!$I$2:$N$11,MATCH(Notes!$B$2,Notes!$I$2:$I$11,0),4)*$C194</f>
        <v>1566300</v>
      </c>
      <c r="K194" s="22">
        <f>INDEX(Notes!$I$2:$N$11,MATCH(Notes!$B$2,Notes!$I$2:$I$11,0),5)*$D194</f>
        <v>0</v>
      </c>
      <c r="L194" s="22">
        <f>INDEX(Notes!$I$2:$N$11,MATCH(Notes!$B$2,Notes!$I$2:$I$11,0),6)*$E194</f>
        <v>0</v>
      </c>
      <c r="M194" s="22">
        <f>IF(Notes!$B$2="June",'Payment Total'!$F194,0)</f>
        <v>0</v>
      </c>
      <c r="N194" s="22">
        <f t="shared" si="8"/>
        <v>0</v>
      </c>
      <c r="P194" s="26" t="s">
        <v>1030</v>
      </c>
      <c r="Q194" s="26">
        <v>522100</v>
      </c>
      <c r="R194" s="21" t="str">
        <f t="shared" si="9"/>
        <v>4356</v>
      </c>
      <c r="S194" s="44" t="str">
        <f t="shared" si="10"/>
        <v>4356</v>
      </c>
      <c r="T194" s="45">
        <f t="shared" si="11"/>
        <v>0</v>
      </c>
      <c r="V194" s="45"/>
    </row>
    <row r="195" spans="1:22" s="26" customFormat="1" ht="12.75" x14ac:dyDescent="0.2">
      <c r="A195" s="20" t="str">
        <f>Data!B190</f>
        <v>4419</v>
      </c>
      <c r="B195" s="21" t="str">
        <f>INDEX(Data[],MATCH($A195,Data[Dist],0),MATCH(B$6,Data[#Headers],0))</f>
        <v>MFL Mar Mac</v>
      </c>
      <c r="C195" s="22">
        <f>INDEX(Data[],MATCH($A195,Data[Dist],0),MATCH(C$6,Data[#Headers],0))</f>
        <v>588486</v>
      </c>
      <c r="D195" s="160">
        <f>INDEX(Data[],MATCH($A195,Data[Dist],0),MATCH(D$6,Data[#Headers],0))</f>
        <v>585399</v>
      </c>
      <c r="E195" s="160">
        <f>INDEX(Data[],MATCH($A195,Data[Dist],0),MATCH(E$6,Data[#Headers],0))</f>
        <v>585399</v>
      </c>
      <c r="F195" s="160">
        <f>INDEX(Data[],MATCH($A195,Data[Dist],0),MATCH(F$6,Data[#Headers],0))</f>
        <v>585400</v>
      </c>
      <c r="G195" s="22">
        <f>INDEX(Data[],MATCH($A195,Data[Dist],0),MATCH(G$6,Data[#Headers],0))</f>
        <v>1765458</v>
      </c>
      <c r="H195" s="22">
        <f>INDEX(Data[],MATCH($A195,Data[Dist],0),MATCH(H$6,Data[#Headers],0))-G195</f>
        <v>4119406</v>
      </c>
      <c r="I195" s="25"/>
      <c r="J195" s="22">
        <f>INDEX(Notes!$I$2:$N$11,MATCH(Notes!$B$2,Notes!$I$2:$I$11,0),4)*$C195</f>
        <v>1765458</v>
      </c>
      <c r="K195" s="22">
        <f>INDEX(Notes!$I$2:$N$11,MATCH(Notes!$B$2,Notes!$I$2:$I$11,0),5)*$D195</f>
        <v>0</v>
      </c>
      <c r="L195" s="22">
        <f>INDEX(Notes!$I$2:$N$11,MATCH(Notes!$B$2,Notes!$I$2:$I$11,0),6)*$E195</f>
        <v>0</v>
      </c>
      <c r="M195" s="22">
        <f>IF(Notes!$B$2="June",'Payment Total'!$F195,0)</f>
        <v>0</v>
      </c>
      <c r="N195" s="22">
        <f t="shared" si="8"/>
        <v>0</v>
      </c>
      <c r="P195" s="26" t="s">
        <v>1031</v>
      </c>
      <c r="Q195" s="26">
        <v>588486</v>
      </c>
      <c r="R195" s="21" t="str">
        <f t="shared" si="9"/>
        <v>4419</v>
      </c>
      <c r="S195" s="44" t="str">
        <f t="shared" si="10"/>
        <v>4419</v>
      </c>
      <c r="T195" s="45">
        <f t="shared" si="11"/>
        <v>0</v>
      </c>
      <c r="V195" s="45"/>
    </row>
    <row r="196" spans="1:22" s="26" customFormat="1" ht="12.75" x14ac:dyDescent="0.2">
      <c r="A196" s="20" t="str">
        <f>Data!B191</f>
        <v>4437</v>
      </c>
      <c r="B196" s="21" t="str">
        <f>INDEX(Data[],MATCH($A196,Data[Dist],0),MATCH(B$6,Data[#Headers],0))</f>
        <v>Montezuma</v>
      </c>
      <c r="C196" s="22">
        <f>INDEX(Data[],MATCH($A196,Data[Dist],0),MATCH(C$6,Data[#Headers],0))</f>
        <v>199039</v>
      </c>
      <c r="D196" s="160">
        <f>INDEX(Data[],MATCH($A196,Data[Dist],0),MATCH(D$6,Data[#Headers],0))</f>
        <v>197243</v>
      </c>
      <c r="E196" s="160">
        <f>INDEX(Data[],MATCH($A196,Data[Dist],0),MATCH(E$6,Data[#Headers],0))</f>
        <v>197243</v>
      </c>
      <c r="F196" s="160">
        <f>INDEX(Data[],MATCH($A196,Data[Dist],0),MATCH(F$6,Data[#Headers],0))</f>
        <v>197242</v>
      </c>
      <c r="G196" s="22">
        <f>INDEX(Data[],MATCH($A196,Data[Dist],0),MATCH(G$6,Data[#Headers],0))</f>
        <v>597117</v>
      </c>
      <c r="H196" s="22">
        <f>INDEX(Data[],MATCH($A196,Data[Dist],0),MATCH(H$6,Data[#Headers],0))-G196</f>
        <v>1393271</v>
      </c>
      <c r="I196" s="25"/>
      <c r="J196" s="22">
        <f>INDEX(Notes!$I$2:$N$11,MATCH(Notes!$B$2,Notes!$I$2:$I$11,0),4)*$C196</f>
        <v>597117</v>
      </c>
      <c r="K196" s="22">
        <f>INDEX(Notes!$I$2:$N$11,MATCH(Notes!$B$2,Notes!$I$2:$I$11,0),5)*$D196</f>
        <v>0</v>
      </c>
      <c r="L196" s="22">
        <f>INDEX(Notes!$I$2:$N$11,MATCH(Notes!$B$2,Notes!$I$2:$I$11,0),6)*$E196</f>
        <v>0</v>
      </c>
      <c r="M196" s="22">
        <f>IF(Notes!$B$2="June",'Payment Total'!$F196,0)</f>
        <v>0</v>
      </c>
      <c r="N196" s="22">
        <f t="shared" si="8"/>
        <v>0</v>
      </c>
      <c r="P196" s="26" t="s">
        <v>1032</v>
      </c>
      <c r="Q196" s="26">
        <v>199039</v>
      </c>
      <c r="R196" s="21" t="str">
        <f t="shared" si="9"/>
        <v>4437</v>
      </c>
      <c r="S196" s="44" t="str">
        <f t="shared" si="10"/>
        <v>4437</v>
      </c>
      <c r="T196" s="45">
        <f t="shared" si="11"/>
        <v>0</v>
      </c>
      <c r="V196" s="45"/>
    </row>
    <row r="197" spans="1:22" s="26" customFormat="1" ht="12.75" x14ac:dyDescent="0.2">
      <c r="A197" s="20" t="str">
        <f>Data!B192</f>
        <v>4446</v>
      </c>
      <c r="B197" s="21" t="str">
        <f>INDEX(Data[],MATCH($A197,Data[Dist],0),MATCH(B$6,Data[#Headers],0))</f>
        <v>Monticello</v>
      </c>
      <c r="C197" s="22">
        <f>INDEX(Data[],MATCH($A197,Data[Dist],0),MATCH(C$6,Data[#Headers],0))</f>
        <v>670710</v>
      </c>
      <c r="D197" s="160">
        <f>INDEX(Data[],MATCH($A197,Data[Dist],0),MATCH(D$6,Data[#Headers],0))</f>
        <v>666999</v>
      </c>
      <c r="E197" s="160">
        <f>INDEX(Data[],MATCH($A197,Data[Dist],0),MATCH(E$6,Data[#Headers],0))</f>
        <v>666999</v>
      </c>
      <c r="F197" s="160">
        <f>INDEX(Data[],MATCH($A197,Data[Dist],0),MATCH(F$6,Data[#Headers],0))</f>
        <v>666997</v>
      </c>
      <c r="G197" s="22">
        <f>INDEX(Data[],MATCH($A197,Data[Dist],0),MATCH(G$6,Data[#Headers],0))</f>
        <v>2012130</v>
      </c>
      <c r="H197" s="22">
        <f>INDEX(Data[],MATCH($A197,Data[Dist],0),MATCH(H$6,Data[#Headers],0))-G197</f>
        <v>4694965</v>
      </c>
      <c r="I197" s="25"/>
      <c r="J197" s="22">
        <f>INDEX(Notes!$I$2:$N$11,MATCH(Notes!$B$2,Notes!$I$2:$I$11,0),4)*$C197</f>
        <v>2012130</v>
      </c>
      <c r="K197" s="22">
        <f>INDEX(Notes!$I$2:$N$11,MATCH(Notes!$B$2,Notes!$I$2:$I$11,0),5)*$D197</f>
        <v>0</v>
      </c>
      <c r="L197" s="22">
        <f>INDEX(Notes!$I$2:$N$11,MATCH(Notes!$B$2,Notes!$I$2:$I$11,0),6)*$E197</f>
        <v>0</v>
      </c>
      <c r="M197" s="22">
        <f>IF(Notes!$B$2="June",'Payment Total'!$F197,0)</f>
        <v>0</v>
      </c>
      <c r="N197" s="22">
        <f t="shared" si="8"/>
        <v>0</v>
      </c>
      <c r="P197" s="26" t="s">
        <v>1033</v>
      </c>
      <c r="Q197" s="26">
        <v>670710</v>
      </c>
      <c r="R197" s="21" t="str">
        <f t="shared" si="9"/>
        <v>4446</v>
      </c>
      <c r="S197" s="44" t="str">
        <f t="shared" si="10"/>
        <v>4446</v>
      </c>
      <c r="T197" s="45">
        <f t="shared" si="11"/>
        <v>0</v>
      </c>
      <c r="V197" s="45"/>
    </row>
    <row r="198" spans="1:22" s="26" customFormat="1" ht="12.75" x14ac:dyDescent="0.2">
      <c r="A198" s="20" t="str">
        <f>Data!B193</f>
        <v>4491</v>
      </c>
      <c r="B198" s="21" t="str">
        <f>INDEX(Data[],MATCH($A198,Data[Dist],0),MATCH(B$6,Data[#Headers],0))</f>
        <v>Moravia</v>
      </c>
      <c r="C198" s="22">
        <f>INDEX(Data[],MATCH($A198,Data[Dist],0),MATCH(C$6,Data[#Headers],0))</f>
        <v>246430</v>
      </c>
      <c r="D198" s="160">
        <f>INDEX(Data[],MATCH($A198,Data[Dist],0),MATCH(D$6,Data[#Headers],0))</f>
        <v>245107</v>
      </c>
      <c r="E198" s="160">
        <f>INDEX(Data[],MATCH($A198,Data[Dist],0),MATCH(E$6,Data[#Headers],0))</f>
        <v>245107</v>
      </c>
      <c r="F198" s="160">
        <f>INDEX(Data[],MATCH($A198,Data[Dist],0),MATCH(F$6,Data[#Headers],0))</f>
        <v>245105</v>
      </c>
      <c r="G198" s="22">
        <f>INDEX(Data[],MATCH($A198,Data[Dist],0),MATCH(G$6,Data[#Headers],0))</f>
        <v>739290</v>
      </c>
      <c r="H198" s="22">
        <f>INDEX(Data[],MATCH($A198,Data[Dist],0),MATCH(H$6,Data[#Headers],0))-G198</f>
        <v>1725006</v>
      </c>
      <c r="I198" s="25"/>
      <c r="J198" s="22">
        <f>INDEX(Notes!$I$2:$N$11,MATCH(Notes!$B$2,Notes!$I$2:$I$11,0),4)*$C198</f>
        <v>739290</v>
      </c>
      <c r="K198" s="22">
        <f>INDEX(Notes!$I$2:$N$11,MATCH(Notes!$B$2,Notes!$I$2:$I$11,0),5)*$D198</f>
        <v>0</v>
      </c>
      <c r="L198" s="22">
        <f>INDEX(Notes!$I$2:$N$11,MATCH(Notes!$B$2,Notes!$I$2:$I$11,0),6)*$E198</f>
        <v>0</v>
      </c>
      <c r="M198" s="22">
        <f>IF(Notes!$B$2="June",'Payment Total'!$F198,0)</f>
        <v>0</v>
      </c>
      <c r="N198" s="22">
        <f t="shared" si="8"/>
        <v>0</v>
      </c>
      <c r="P198" s="26" t="s">
        <v>1034</v>
      </c>
      <c r="Q198" s="26">
        <v>246430</v>
      </c>
      <c r="R198" s="21" t="str">
        <f t="shared" si="9"/>
        <v>4491</v>
      </c>
      <c r="S198" s="44" t="str">
        <f t="shared" si="10"/>
        <v>4491</v>
      </c>
      <c r="T198" s="45">
        <f t="shared" si="11"/>
        <v>0</v>
      </c>
      <c r="V198" s="45"/>
    </row>
    <row r="199" spans="1:22" s="26" customFormat="1" ht="12.75" x14ac:dyDescent="0.2">
      <c r="A199" s="20" t="str">
        <f>Data!B194</f>
        <v>4505</v>
      </c>
      <c r="B199" s="21" t="str">
        <f>INDEX(Data[],MATCH($A199,Data[Dist],0),MATCH(B$6,Data[#Headers],0))</f>
        <v>Mormon Trail</v>
      </c>
      <c r="C199" s="22">
        <f>INDEX(Data[],MATCH($A199,Data[Dist],0),MATCH(C$6,Data[#Headers],0))</f>
        <v>159243</v>
      </c>
      <c r="D199" s="160">
        <f>INDEX(Data[],MATCH($A199,Data[Dist],0),MATCH(D$6,Data[#Headers],0))</f>
        <v>158433</v>
      </c>
      <c r="E199" s="160">
        <f>INDEX(Data[],MATCH($A199,Data[Dist],0),MATCH(E$6,Data[#Headers],0))</f>
        <v>158432</v>
      </c>
      <c r="F199" s="160">
        <f>INDEX(Data[],MATCH($A199,Data[Dist],0),MATCH(F$6,Data[#Headers],0))</f>
        <v>158433</v>
      </c>
      <c r="G199" s="22">
        <f>INDEX(Data[],MATCH($A199,Data[Dist],0),MATCH(G$6,Data[#Headers],0))</f>
        <v>477729</v>
      </c>
      <c r="H199" s="22">
        <f>INDEX(Data[],MATCH($A199,Data[Dist],0),MATCH(H$6,Data[#Headers],0))-G199</f>
        <v>1114698</v>
      </c>
      <c r="I199" s="25"/>
      <c r="J199" s="22">
        <f>INDEX(Notes!$I$2:$N$11,MATCH(Notes!$B$2,Notes!$I$2:$I$11,0),4)*$C199</f>
        <v>477729</v>
      </c>
      <c r="K199" s="22">
        <f>INDEX(Notes!$I$2:$N$11,MATCH(Notes!$B$2,Notes!$I$2:$I$11,0),5)*$D199</f>
        <v>0</v>
      </c>
      <c r="L199" s="22">
        <f>INDEX(Notes!$I$2:$N$11,MATCH(Notes!$B$2,Notes!$I$2:$I$11,0),6)*$E199</f>
        <v>0</v>
      </c>
      <c r="M199" s="22">
        <f>IF(Notes!$B$2="June",'Payment Total'!$F199,0)</f>
        <v>0</v>
      </c>
      <c r="N199" s="22">
        <f t="shared" si="8"/>
        <v>0</v>
      </c>
      <c r="P199" s="26" t="s">
        <v>1035</v>
      </c>
      <c r="Q199" s="26">
        <v>159243</v>
      </c>
      <c r="R199" s="21" t="str">
        <f t="shared" si="9"/>
        <v>4505</v>
      </c>
      <c r="S199" s="44" t="str">
        <f t="shared" si="10"/>
        <v>4505</v>
      </c>
      <c r="T199" s="45">
        <f t="shared" si="11"/>
        <v>0</v>
      </c>
      <c r="V199" s="45"/>
    </row>
    <row r="200" spans="1:22" s="26" customFormat="1" ht="12.75" x14ac:dyDescent="0.2">
      <c r="A200" s="20" t="str">
        <f>Data!B195</f>
        <v>4509</v>
      </c>
      <c r="B200" s="21" t="str">
        <f>INDEX(Data[],MATCH($A200,Data[Dist],0),MATCH(B$6,Data[#Headers],0))</f>
        <v>Morning Sun</v>
      </c>
      <c r="C200" s="22">
        <f>INDEX(Data[],MATCH($A200,Data[Dist],0),MATCH(C$6,Data[#Headers],0))</f>
        <v>145375</v>
      </c>
      <c r="D200" s="160">
        <f>INDEX(Data[],MATCH($A200,Data[Dist],0),MATCH(D$6,Data[#Headers],0))</f>
        <v>144632</v>
      </c>
      <c r="E200" s="160">
        <f>INDEX(Data[],MATCH($A200,Data[Dist],0),MATCH(E$6,Data[#Headers],0))</f>
        <v>144632</v>
      </c>
      <c r="F200" s="160">
        <f>INDEX(Data[],MATCH($A200,Data[Dist],0),MATCH(F$6,Data[#Headers],0))</f>
        <v>144630</v>
      </c>
      <c r="G200" s="22">
        <f>INDEX(Data[],MATCH($A200,Data[Dist],0),MATCH(G$6,Data[#Headers],0))</f>
        <v>436125</v>
      </c>
      <c r="H200" s="22">
        <f>INDEX(Data[],MATCH($A200,Data[Dist],0),MATCH(H$6,Data[#Headers],0))-G200</f>
        <v>1017621</v>
      </c>
      <c r="I200" s="25"/>
      <c r="J200" s="22">
        <f>INDEX(Notes!$I$2:$N$11,MATCH(Notes!$B$2,Notes!$I$2:$I$11,0),4)*$C200</f>
        <v>436125</v>
      </c>
      <c r="K200" s="22">
        <f>INDEX(Notes!$I$2:$N$11,MATCH(Notes!$B$2,Notes!$I$2:$I$11,0),5)*$D200</f>
        <v>0</v>
      </c>
      <c r="L200" s="22">
        <f>INDEX(Notes!$I$2:$N$11,MATCH(Notes!$B$2,Notes!$I$2:$I$11,0),6)*$E200</f>
        <v>0</v>
      </c>
      <c r="M200" s="22">
        <f>IF(Notes!$B$2="June",'Payment Total'!$F200,0)</f>
        <v>0</v>
      </c>
      <c r="N200" s="22">
        <f t="shared" ref="N200:N263" si="12">SUM(J200:M200)-G200</f>
        <v>0</v>
      </c>
      <c r="P200" s="26" t="s">
        <v>1036</v>
      </c>
      <c r="Q200" s="26">
        <v>145375</v>
      </c>
      <c r="R200" s="21" t="str">
        <f t="shared" ref="R200:R263" si="13">TEXT(P200/10000,"0000")</f>
        <v>4509</v>
      </c>
      <c r="S200" s="44" t="str">
        <f t="shared" ref="S200:S263" si="14">IF(R200="1968","3582",IF(R200="5160","5319",IF(R200="5510","4824",IF(R200="6536","1935",IF(R200="6035","6048",IF(R200="5325","5323",IF(R200="6099","5157",R200)))))))</f>
        <v>4509</v>
      </c>
      <c r="T200" s="45">
        <f t="shared" ref="T200:T263" si="15">INDEX($A$7:$H$331,MATCH($S200,$A$7:$A$331,0),3)-Q200</f>
        <v>0</v>
      </c>
      <c r="V200" s="45"/>
    </row>
    <row r="201" spans="1:22" s="26" customFormat="1" ht="12.75" x14ac:dyDescent="0.2">
      <c r="A201" s="20" t="str">
        <f>Data!B196</f>
        <v>4518</v>
      </c>
      <c r="B201" s="21" t="str">
        <f>INDEX(Data[],MATCH($A201,Data[Dist],0),MATCH(B$6,Data[#Headers],0))</f>
        <v>Moulton-Udell</v>
      </c>
      <c r="C201" s="22">
        <f>INDEX(Data[],MATCH($A201,Data[Dist],0),MATCH(C$6,Data[#Headers],0))</f>
        <v>126244</v>
      </c>
      <c r="D201" s="160">
        <f>INDEX(Data[],MATCH($A201,Data[Dist],0),MATCH(D$6,Data[#Headers],0))</f>
        <v>125536</v>
      </c>
      <c r="E201" s="160">
        <f>INDEX(Data[],MATCH($A201,Data[Dist],0),MATCH(E$6,Data[#Headers],0))</f>
        <v>125535</v>
      </c>
      <c r="F201" s="160">
        <f>INDEX(Data[],MATCH($A201,Data[Dist],0),MATCH(F$6,Data[#Headers],0))</f>
        <v>125536</v>
      </c>
      <c r="G201" s="22">
        <f>INDEX(Data[],MATCH($A201,Data[Dist],0),MATCH(G$6,Data[#Headers],0))</f>
        <v>378732</v>
      </c>
      <c r="H201" s="22">
        <f>INDEX(Data[],MATCH($A201,Data[Dist],0),MATCH(H$6,Data[#Headers],0))-G201</f>
        <v>883704</v>
      </c>
      <c r="I201" s="25"/>
      <c r="J201" s="22">
        <f>INDEX(Notes!$I$2:$N$11,MATCH(Notes!$B$2,Notes!$I$2:$I$11,0),4)*$C201</f>
        <v>378732</v>
      </c>
      <c r="K201" s="22">
        <f>INDEX(Notes!$I$2:$N$11,MATCH(Notes!$B$2,Notes!$I$2:$I$11,0),5)*$D201</f>
        <v>0</v>
      </c>
      <c r="L201" s="22">
        <f>INDEX(Notes!$I$2:$N$11,MATCH(Notes!$B$2,Notes!$I$2:$I$11,0),6)*$E201</f>
        <v>0</v>
      </c>
      <c r="M201" s="22">
        <f>IF(Notes!$B$2="June",'Payment Total'!$F201,0)</f>
        <v>0</v>
      </c>
      <c r="N201" s="22">
        <f t="shared" si="12"/>
        <v>0</v>
      </c>
      <c r="P201" s="26" t="s">
        <v>1037</v>
      </c>
      <c r="Q201" s="26">
        <v>126244</v>
      </c>
      <c r="R201" s="21" t="str">
        <f t="shared" si="13"/>
        <v>4518</v>
      </c>
      <c r="S201" s="44" t="str">
        <f t="shared" si="14"/>
        <v>4518</v>
      </c>
      <c r="T201" s="45">
        <f t="shared" si="15"/>
        <v>0</v>
      </c>
      <c r="V201" s="45"/>
    </row>
    <row r="202" spans="1:22" s="26" customFormat="1" ht="12.75" x14ac:dyDescent="0.2">
      <c r="A202" s="20" t="str">
        <f>Data!B197</f>
        <v>4527</v>
      </c>
      <c r="B202" s="21" t="str">
        <f>INDEX(Data[],MATCH($A202,Data[Dist],0),MATCH(B$6,Data[#Headers],0))</f>
        <v>Mount Ayr</v>
      </c>
      <c r="C202" s="22">
        <f>INDEX(Data[],MATCH($A202,Data[Dist],0),MATCH(C$6,Data[#Headers],0))</f>
        <v>382215</v>
      </c>
      <c r="D202" s="160">
        <f>INDEX(Data[],MATCH($A202,Data[Dist],0),MATCH(D$6,Data[#Headers],0))</f>
        <v>379924</v>
      </c>
      <c r="E202" s="160">
        <f>INDEX(Data[],MATCH($A202,Data[Dist],0),MATCH(E$6,Data[#Headers],0))</f>
        <v>379924</v>
      </c>
      <c r="F202" s="160">
        <f>INDEX(Data[],MATCH($A202,Data[Dist],0),MATCH(F$6,Data[#Headers],0))</f>
        <v>379924</v>
      </c>
      <c r="G202" s="22">
        <f>INDEX(Data[],MATCH($A202,Data[Dist],0),MATCH(G$6,Data[#Headers],0))</f>
        <v>1146645</v>
      </c>
      <c r="H202" s="22">
        <f>INDEX(Data[],MATCH($A202,Data[Dist],0),MATCH(H$6,Data[#Headers],0))-G202</f>
        <v>2675502</v>
      </c>
      <c r="I202" s="25"/>
      <c r="J202" s="22">
        <f>INDEX(Notes!$I$2:$N$11,MATCH(Notes!$B$2,Notes!$I$2:$I$11,0),4)*$C202</f>
        <v>1146645</v>
      </c>
      <c r="K202" s="22">
        <f>INDEX(Notes!$I$2:$N$11,MATCH(Notes!$B$2,Notes!$I$2:$I$11,0),5)*$D202</f>
        <v>0</v>
      </c>
      <c r="L202" s="22">
        <f>INDEX(Notes!$I$2:$N$11,MATCH(Notes!$B$2,Notes!$I$2:$I$11,0),6)*$E202</f>
        <v>0</v>
      </c>
      <c r="M202" s="22">
        <f>IF(Notes!$B$2="June",'Payment Total'!$F202,0)</f>
        <v>0</v>
      </c>
      <c r="N202" s="22">
        <f t="shared" si="12"/>
        <v>0</v>
      </c>
      <c r="P202" s="26" t="s">
        <v>1038</v>
      </c>
      <c r="Q202" s="26">
        <v>382215</v>
      </c>
      <c r="R202" s="21" t="str">
        <f t="shared" si="13"/>
        <v>4527</v>
      </c>
      <c r="S202" s="44" t="str">
        <f t="shared" si="14"/>
        <v>4527</v>
      </c>
      <c r="T202" s="45">
        <f t="shared" si="15"/>
        <v>0</v>
      </c>
      <c r="V202" s="45"/>
    </row>
    <row r="203" spans="1:22" s="26" customFormat="1" ht="12.75" x14ac:dyDescent="0.2">
      <c r="A203" s="20" t="str">
        <f>Data!B198</f>
        <v>4536</v>
      </c>
      <c r="B203" s="21" t="str">
        <f>INDEX(Data[],MATCH($A203,Data[Dist],0),MATCH(B$6,Data[#Headers],0))</f>
        <v>Mount Pleasant</v>
      </c>
      <c r="C203" s="22">
        <f>INDEX(Data[],MATCH($A203,Data[Dist],0),MATCH(C$6,Data[#Headers],0))</f>
        <v>1325378</v>
      </c>
      <c r="D203" s="160">
        <f>INDEX(Data[],MATCH($A203,Data[Dist],0),MATCH(D$6,Data[#Headers],0))</f>
        <v>1318517</v>
      </c>
      <c r="E203" s="160">
        <f>INDEX(Data[],MATCH($A203,Data[Dist],0),MATCH(E$6,Data[#Headers],0))</f>
        <v>1318518</v>
      </c>
      <c r="F203" s="160">
        <f>INDEX(Data[],MATCH($A203,Data[Dist],0),MATCH(F$6,Data[#Headers],0))</f>
        <v>1318516</v>
      </c>
      <c r="G203" s="22">
        <f>INDEX(Data[],MATCH($A203,Data[Dist],0),MATCH(G$6,Data[#Headers],0))</f>
        <v>3976134</v>
      </c>
      <c r="H203" s="22">
        <f>INDEX(Data[],MATCH($A203,Data[Dist],0),MATCH(H$6,Data[#Headers],0))-G203</f>
        <v>9277642</v>
      </c>
      <c r="I203" s="25"/>
      <c r="J203" s="22">
        <f>INDEX(Notes!$I$2:$N$11,MATCH(Notes!$B$2,Notes!$I$2:$I$11,0),4)*$C203</f>
        <v>3976134</v>
      </c>
      <c r="K203" s="22">
        <f>INDEX(Notes!$I$2:$N$11,MATCH(Notes!$B$2,Notes!$I$2:$I$11,0),5)*$D203</f>
        <v>0</v>
      </c>
      <c r="L203" s="22">
        <f>INDEX(Notes!$I$2:$N$11,MATCH(Notes!$B$2,Notes!$I$2:$I$11,0),6)*$E203</f>
        <v>0</v>
      </c>
      <c r="M203" s="22">
        <f>IF(Notes!$B$2="June",'Payment Total'!$F203,0)</f>
        <v>0</v>
      </c>
      <c r="N203" s="22">
        <f t="shared" si="12"/>
        <v>0</v>
      </c>
      <c r="P203" s="26" t="s">
        <v>1039</v>
      </c>
      <c r="Q203" s="26">
        <v>1325378</v>
      </c>
      <c r="R203" s="21" t="str">
        <f t="shared" si="13"/>
        <v>4536</v>
      </c>
      <c r="S203" s="44" t="str">
        <f t="shared" si="14"/>
        <v>4536</v>
      </c>
      <c r="T203" s="45">
        <f t="shared" si="15"/>
        <v>0</v>
      </c>
      <c r="V203" s="45"/>
    </row>
    <row r="204" spans="1:22" s="26" customFormat="1" ht="12.75" x14ac:dyDescent="0.2">
      <c r="A204" s="20" t="str">
        <f>Data!B199</f>
        <v>4554</v>
      </c>
      <c r="B204" s="21" t="str">
        <f>INDEX(Data[],MATCH($A204,Data[Dist],0),MATCH(B$6,Data[#Headers],0))</f>
        <v>Mount Vernon</v>
      </c>
      <c r="C204" s="22">
        <f>INDEX(Data[],MATCH($A204,Data[Dist],0),MATCH(C$6,Data[#Headers],0))</f>
        <v>793725</v>
      </c>
      <c r="D204" s="160">
        <f>INDEX(Data[],MATCH($A204,Data[Dist],0),MATCH(D$6,Data[#Headers],0))</f>
        <v>789471</v>
      </c>
      <c r="E204" s="160">
        <f>INDEX(Data[],MATCH($A204,Data[Dist],0),MATCH(E$6,Data[#Headers],0))</f>
        <v>789470</v>
      </c>
      <c r="F204" s="160">
        <f>INDEX(Data[],MATCH($A204,Data[Dist],0),MATCH(F$6,Data[#Headers],0))</f>
        <v>789471</v>
      </c>
      <c r="G204" s="22">
        <f>INDEX(Data[],MATCH($A204,Data[Dist],0),MATCH(G$6,Data[#Headers],0))</f>
        <v>2381175</v>
      </c>
      <c r="H204" s="22">
        <f>INDEX(Data[],MATCH($A204,Data[Dist],0),MATCH(H$6,Data[#Headers],0))-G204</f>
        <v>5556072</v>
      </c>
      <c r="I204" s="25"/>
      <c r="J204" s="22">
        <f>INDEX(Notes!$I$2:$N$11,MATCH(Notes!$B$2,Notes!$I$2:$I$11,0),4)*$C204</f>
        <v>2381175</v>
      </c>
      <c r="K204" s="22">
        <f>INDEX(Notes!$I$2:$N$11,MATCH(Notes!$B$2,Notes!$I$2:$I$11,0),5)*$D204</f>
        <v>0</v>
      </c>
      <c r="L204" s="22">
        <f>INDEX(Notes!$I$2:$N$11,MATCH(Notes!$B$2,Notes!$I$2:$I$11,0),6)*$E204</f>
        <v>0</v>
      </c>
      <c r="M204" s="22">
        <f>IF(Notes!$B$2="June",'Payment Total'!$F204,0)</f>
        <v>0</v>
      </c>
      <c r="N204" s="22">
        <f t="shared" si="12"/>
        <v>0</v>
      </c>
      <c r="P204" s="26" t="s">
        <v>1040</v>
      </c>
      <c r="Q204" s="26">
        <v>793725</v>
      </c>
      <c r="R204" s="21" t="str">
        <f t="shared" si="13"/>
        <v>4554</v>
      </c>
      <c r="S204" s="44" t="str">
        <f t="shared" si="14"/>
        <v>4554</v>
      </c>
      <c r="T204" s="45">
        <f t="shared" si="15"/>
        <v>0</v>
      </c>
      <c r="V204" s="45"/>
    </row>
    <row r="205" spans="1:22" s="26" customFormat="1" ht="12.75" x14ac:dyDescent="0.2">
      <c r="A205" s="20" t="str">
        <f>Data!B200</f>
        <v>4572</v>
      </c>
      <c r="B205" s="21" t="str">
        <f>INDEX(Data[],MATCH($A205,Data[Dist],0),MATCH(B$6,Data[#Headers],0))</f>
        <v>Murray</v>
      </c>
      <c r="C205" s="22">
        <f>INDEX(Data[],MATCH($A205,Data[Dist],0),MATCH(C$6,Data[#Headers],0))</f>
        <v>175461</v>
      </c>
      <c r="D205" s="160">
        <f>INDEX(Data[],MATCH($A205,Data[Dist],0),MATCH(D$6,Data[#Headers],0))</f>
        <v>174612</v>
      </c>
      <c r="E205" s="160">
        <f>INDEX(Data[],MATCH($A205,Data[Dist],0),MATCH(E$6,Data[#Headers],0))</f>
        <v>174612</v>
      </c>
      <c r="F205" s="160">
        <f>INDEX(Data[],MATCH($A205,Data[Dist],0),MATCH(F$6,Data[#Headers],0))</f>
        <v>174611</v>
      </c>
      <c r="G205" s="22">
        <f>INDEX(Data[],MATCH($A205,Data[Dist],0),MATCH(G$6,Data[#Headers],0))</f>
        <v>526383</v>
      </c>
      <c r="H205" s="22">
        <f>INDEX(Data[],MATCH($A205,Data[Dist],0),MATCH(H$6,Data[#Headers],0))-G205</f>
        <v>1228227</v>
      </c>
      <c r="I205" s="25"/>
      <c r="J205" s="22">
        <f>INDEX(Notes!$I$2:$N$11,MATCH(Notes!$B$2,Notes!$I$2:$I$11,0),4)*$C205</f>
        <v>526383</v>
      </c>
      <c r="K205" s="22">
        <f>INDEX(Notes!$I$2:$N$11,MATCH(Notes!$B$2,Notes!$I$2:$I$11,0),5)*$D205</f>
        <v>0</v>
      </c>
      <c r="L205" s="22">
        <f>INDEX(Notes!$I$2:$N$11,MATCH(Notes!$B$2,Notes!$I$2:$I$11,0),6)*$E205</f>
        <v>0</v>
      </c>
      <c r="M205" s="22">
        <f>IF(Notes!$B$2="June",'Payment Total'!$F205,0)</f>
        <v>0</v>
      </c>
      <c r="N205" s="22">
        <f t="shared" si="12"/>
        <v>0</v>
      </c>
      <c r="P205" s="26" t="s">
        <v>1041</v>
      </c>
      <c r="Q205" s="26">
        <v>175461</v>
      </c>
      <c r="R205" s="21" t="str">
        <f t="shared" si="13"/>
        <v>4572</v>
      </c>
      <c r="S205" s="44" t="str">
        <f t="shared" si="14"/>
        <v>4572</v>
      </c>
      <c r="T205" s="45">
        <f t="shared" si="15"/>
        <v>0</v>
      </c>
      <c r="V205" s="45"/>
    </row>
    <row r="206" spans="1:22" s="26" customFormat="1" ht="12.75" x14ac:dyDescent="0.2">
      <c r="A206" s="20" t="str">
        <f>Data!B201</f>
        <v>4581</v>
      </c>
      <c r="B206" s="21" t="str">
        <f>INDEX(Data[],MATCH($A206,Data[Dist],0),MATCH(B$6,Data[#Headers],0))</f>
        <v>Muscatine</v>
      </c>
      <c r="C206" s="22">
        <f>INDEX(Data[],MATCH($A206,Data[Dist],0),MATCH(C$6,Data[#Headers],0))</f>
        <v>3450789</v>
      </c>
      <c r="D206" s="160">
        <f>INDEX(Data[],MATCH($A206,Data[Dist],0),MATCH(D$6,Data[#Headers],0))</f>
        <v>3433276</v>
      </c>
      <c r="E206" s="160">
        <f>INDEX(Data[],MATCH($A206,Data[Dist],0),MATCH(E$6,Data[#Headers],0))</f>
        <v>3433275</v>
      </c>
      <c r="F206" s="160">
        <f>INDEX(Data[],MATCH($A206,Data[Dist],0),MATCH(F$6,Data[#Headers],0))</f>
        <v>3433276</v>
      </c>
      <c r="G206" s="22">
        <f>INDEX(Data[],MATCH($A206,Data[Dist],0),MATCH(G$6,Data[#Headers],0))</f>
        <v>10352367</v>
      </c>
      <c r="H206" s="22">
        <f>INDEX(Data[],MATCH($A206,Data[Dist],0),MATCH(H$6,Data[#Headers],0))-G206</f>
        <v>24155525</v>
      </c>
      <c r="I206" s="25"/>
      <c r="J206" s="22">
        <f>INDEX(Notes!$I$2:$N$11,MATCH(Notes!$B$2,Notes!$I$2:$I$11,0),4)*$C206</f>
        <v>10352367</v>
      </c>
      <c r="K206" s="22">
        <f>INDEX(Notes!$I$2:$N$11,MATCH(Notes!$B$2,Notes!$I$2:$I$11,0),5)*$D206</f>
        <v>0</v>
      </c>
      <c r="L206" s="22">
        <f>INDEX(Notes!$I$2:$N$11,MATCH(Notes!$B$2,Notes!$I$2:$I$11,0),6)*$E206</f>
        <v>0</v>
      </c>
      <c r="M206" s="22">
        <f>IF(Notes!$B$2="June",'Payment Total'!$F206,0)</f>
        <v>0</v>
      </c>
      <c r="N206" s="22">
        <f t="shared" si="12"/>
        <v>0</v>
      </c>
      <c r="P206" s="26" t="s">
        <v>1042</v>
      </c>
      <c r="Q206" s="26">
        <v>3450789</v>
      </c>
      <c r="R206" s="21" t="str">
        <f t="shared" si="13"/>
        <v>4581</v>
      </c>
      <c r="S206" s="44" t="str">
        <f t="shared" si="14"/>
        <v>4581</v>
      </c>
      <c r="T206" s="45">
        <f t="shared" si="15"/>
        <v>0</v>
      </c>
      <c r="V206" s="45"/>
    </row>
    <row r="207" spans="1:22" s="26" customFormat="1" ht="12.75" x14ac:dyDescent="0.2">
      <c r="A207" s="20" t="str">
        <f>Data!B202</f>
        <v>4599</v>
      </c>
      <c r="B207" s="21" t="str">
        <f>INDEX(Data[],MATCH($A207,Data[Dist],0),MATCH(B$6,Data[#Headers],0))</f>
        <v>Nashua-Plainfield</v>
      </c>
      <c r="C207" s="22">
        <f>INDEX(Data[],MATCH($A207,Data[Dist],0),MATCH(C$6,Data[#Headers],0))</f>
        <v>391938</v>
      </c>
      <c r="D207" s="160">
        <f>INDEX(Data[],MATCH($A207,Data[Dist],0),MATCH(D$6,Data[#Headers],0))</f>
        <v>389669</v>
      </c>
      <c r="E207" s="160">
        <f>INDEX(Data[],MATCH($A207,Data[Dist],0),MATCH(E$6,Data[#Headers],0))</f>
        <v>389668</v>
      </c>
      <c r="F207" s="160">
        <f>INDEX(Data[],MATCH($A207,Data[Dist],0),MATCH(F$6,Data[#Headers],0))</f>
        <v>389669</v>
      </c>
      <c r="G207" s="22">
        <f>INDEX(Data[],MATCH($A207,Data[Dist],0),MATCH(G$6,Data[#Headers],0))</f>
        <v>1175814</v>
      </c>
      <c r="H207" s="22">
        <f>INDEX(Data[],MATCH($A207,Data[Dist],0),MATCH(H$6,Data[#Headers],0))-G207</f>
        <v>2743561</v>
      </c>
      <c r="I207" s="25"/>
      <c r="J207" s="22">
        <f>INDEX(Notes!$I$2:$N$11,MATCH(Notes!$B$2,Notes!$I$2:$I$11,0),4)*$C207</f>
        <v>1175814</v>
      </c>
      <c r="K207" s="22">
        <f>INDEX(Notes!$I$2:$N$11,MATCH(Notes!$B$2,Notes!$I$2:$I$11,0),5)*$D207</f>
        <v>0</v>
      </c>
      <c r="L207" s="22">
        <f>INDEX(Notes!$I$2:$N$11,MATCH(Notes!$B$2,Notes!$I$2:$I$11,0),6)*$E207</f>
        <v>0</v>
      </c>
      <c r="M207" s="22">
        <f>IF(Notes!$B$2="June",'Payment Total'!$F207,0)</f>
        <v>0</v>
      </c>
      <c r="N207" s="22">
        <f t="shared" si="12"/>
        <v>0</v>
      </c>
      <c r="P207" s="26" t="s">
        <v>1043</v>
      </c>
      <c r="Q207" s="26">
        <v>391938</v>
      </c>
      <c r="R207" s="21" t="str">
        <f t="shared" si="13"/>
        <v>4599</v>
      </c>
      <c r="S207" s="44" t="str">
        <f t="shared" si="14"/>
        <v>4599</v>
      </c>
      <c r="T207" s="45">
        <f t="shared" si="15"/>
        <v>0</v>
      </c>
      <c r="V207" s="45"/>
    </row>
    <row r="208" spans="1:22" s="26" customFormat="1" ht="12.75" x14ac:dyDescent="0.2">
      <c r="A208" s="20" t="str">
        <f>Data!B203</f>
        <v>4617</v>
      </c>
      <c r="B208" s="21" t="str">
        <f>INDEX(Data[],MATCH($A208,Data[Dist],0),MATCH(B$6,Data[#Headers],0))</f>
        <v>Nevada</v>
      </c>
      <c r="C208" s="22">
        <f>INDEX(Data[],MATCH($A208,Data[Dist],0),MATCH(C$6,Data[#Headers],0))</f>
        <v>979590</v>
      </c>
      <c r="D208" s="160">
        <f>INDEX(Data[],MATCH($A208,Data[Dist],0),MATCH(D$6,Data[#Headers],0))</f>
        <v>974232</v>
      </c>
      <c r="E208" s="160">
        <f>INDEX(Data[],MATCH($A208,Data[Dist],0),MATCH(E$6,Data[#Headers],0))</f>
        <v>974232</v>
      </c>
      <c r="F208" s="160">
        <f>INDEX(Data[],MATCH($A208,Data[Dist],0),MATCH(F$6,Data[#Headers],0))</f>
        <v>974233</v>
      </c>
      <c r="G208" s="22">
        <f>INDEX(Data[],MATCH($A208,Data[Dist],0),MATCH(G$6,Data[#Headers],0))</f>
        <v>2938770</v>
      </c>
      <c r="H208" s="22">
        <f>INDEX(Data[],MATCH($A208,Data[Dist],0),MATCH(H$6,Data[#Headers],0))-G208</f>
        <v>6857127</v>
      </c>
      <c r="I208" s="25"/>
      <c r="J208" s="22">
        <f>INDEX(Notes!$I$2:$N$11,MATCH(Notes!$B$2,Notes!$I$2:$I$11,0),4)*$C208</f>
        <v>2938770</v>
      </c>
      <c r="K208" s="22">
        <f>INDEX(Notes!$I$2:$N$11,MATCH(Notes!$B$2,Notes!$I$2:$I$11,0),5)*$D208</f>
        <v>0</v>
      </c>
      <c r="L208" s="22">
        <f>INDEX(Notes!$I$2:$N$11,MATCH(Notes!$B$2,Notes!$I$2:$I$11,0),6)*$E208</f>
        <v>0</v>
      </c>
      <c r="M208" s="22">
        <f>IF(Notes!$B$2="June",'Payment Total'!$F208,0)</f>
        <v>0</v>
      </c>
      <c r="N208" s="22">
        <f t="shared" si="12"/>
        <v>0</v>
      </c>
      <c r="P208" s="26" t="s">
        <v>1044</v>
      </c>
      <c r="Q208" s="26">
        <v>979590</v>
      </c>
      <c r="R208" s="21" t="str">
        <f t="shared" si="13"/>
        <v>4617</v>
      </c>
      <c r="S208" s="44" t="str">
        <f t="shared" si="14"/>
        <v>4617</v>
      </c>
      <c r="T208" s="45">
        <f t="shared" si="15"/>
        <v>0</v>
      </c>
      <c r="V208" s="45"/>
    </row>
    <row r="209" spans="1:22" s="26" customFormat="1" ht="12.75" x14ac:dyDescent="0.2">
      <c r="A209" s="20" t="str">
        <f>Data!B204</f>
        <v>4644</v>
      </c>
      <c r="B209" s="21" t="str">
        <f>INDEX(Data[],MATCH($A209,Data[Dist],0),MATCH(B$6,Data[#Headers],0))</f>
        <v>Newell-Fonda</v>
      </c>
      <c r="C209" s="22">
        <f>INDEX(Data[],MATCH($A209,Data[Dist],0),MATCH(C$6,Data[#Headers],0))</f>
        <v>294912</v>
      </c>
      <c r="D209" s="160">
        <f>INDEX(Data[],MATCH($A209,Data[Dist],0),MATCH(D$6,Data[#Headers],0))</f>
        <v>293013</v>
      </c>
      <c r="E209" s="160">
        <f>INDEX(Data[],MATCH($A209,Data[Dist],0),MATCH(E$6,Data[#Headers],0))</f>
        <v>293013</v>
      </c>
      <c r="F209" s="160">
        <f>INDEX(Data[],MATCH($A209,Data[Dist],0),MATCH(F$6,Data[#Headers],0))</f>
        <v>293013</v>
      </c>
      <c r="G209" s="22">
        <f>INDEX(Data[],MATCH($A209,Data[Dist],0),MATCH(G$6,Data[#Headers],0))</f>
        <v>884736</v>
      </c>
      <c r="H209" s="22">
        <f>INDEX(Data[],MATCH($A209,Data[Dist],0),MATCH(H$6,Data[#Headers],0))-G209</f>
        <v>2064381</v>
      </c>
      <c r="I209" s="25"/>
      <c r="J209" s="22">
        <f>INDEX(Notes!$I$2:$N$11,MATCH(Notes!$B$2,Notes!$I$2:$I$11,0),4)*$C209</f>
        <v>884736</v>
      </c>
      <c r="K209" s="22">
        <f>INDEX(Notes!$I$2:$N$11,MATCH(Notes!$B$2,Notes!$I$2:$I$11,0),5)*$D209</f>
        <v>0</v>
      </c>
      <c r="L209" s="22">
        <f>INDEX(Notes!$I$2:$N$11,MATCH(Notes!$B$2,Notes!$I$2:$I$11,0),6)*$E209</f>
        <v>0</v>
      </c>
      <c r="M209" s="22">
        <f>IF(Notes!$B$2="June",'Payment Total'!$F209,0)</f>
        <v>0</v>
      </c>
      <c r="N209" s="22">
        <f t="shared" si="12"/>
        <v>0</v>
      </c>
      <c r="P209" s="26" t="s">
        <v>1045</v>
      </c>
      <c r="Q209" s="26">
        <v>294912</v>
      </c>
      <c r="R209" s="21" t="str">
        <f t="shared" si="13"/>
        <v>4644</v>
      </c>
      <c r="S209" s="44" t="str">
        <f t="shared" si="14"/>
        <v>4644</v>
      </c>
      <c r="T209" s="45">
        <f t="shared" si="15"/>
        <v>0</v>
      </c>
      <c r="V209" s="45"/>
    </row>
    <row r="210" spans="1:22" s="26" customFormat="1" ht="12.75" x14ac:dyDescent="0.2">
      <c r="A210" s="20" t="str">
        <f>Data!B205</f>
        <v>4662</v>
      </c>
      <c r="B210" s="21" t="str">
        <f>INDEX(Data[],MATCH($A210,Data[Dist],0),MATCH(B$6,Data[#Headers],0))</f>
        <v>New Hampton</v>
      </c>
      <c r="C210" s="22">
        <f>INDEX(Data[],MATCH($A210,Data[Dist],0),MATCH(C$6,Data[#Headers],0))</f>
        <v>553216</v>
      </c>
      <c r="D210" s="160">
        <f>INDEX(Data[],MATCH($A210,Data[Dist],0),MATCH(D$6,Data[#Headers],0))</f>
        <v>549655</v>
      </c>
      <c r="E210" s="160">
        <f>INDEX(Data[],MATCH($A210,Data[Dist],0),MATCH(E$6,Data[#Headers],0))</f>
        <v>549656</v>
      </c>
      <c r="F210" s="160">
        <f>INDEX(Data[],MATCH($A210,Data[Dist],0),MATCH(F$6,Data[#Headers],0))</f>
        <v>549654</v>
      </c>
      <c r="G210" s="22">
        <f>INDEX(Data[],MATCH($A210,Data[Dist],0),MATCH(G$6,Data[#Headers],0))</f>
        <v>1659648</v>
      </c>
      <c r="H210" s="22">
        <f>INDEX(Data[],MATCH($A210,Data[Dist],0),MATCH(H$6,Data[#Headers],0))-G210</f>
        <v>3872510</v>
      </c>
      <c r="I210" s="25"/>
      <c r="J210" s="22">
        <f>INDEX(Notes!$I$2:$N$11,MATCH(Notes!$B$2,Notes!$I$2:$I$11,0),4)*$C210</f>
        <v>1659648</v>
      </c>
      <c r="K210" s="22">
        <f>INDEX(Notes!$I$2:$N$11,MATCH(Notes!$B$2,Notes!$I$2:$I$11,0),5)*$D210</f>
        <v>0</v>
      </c>
      <c r="L210" s="22">
        <f>INDEX(Notes!$I$2:$N$11,MATCH(Notes!$B$2,Notes!$I$2:$I$11,0),6)*$E210</f>
        <v>0</v>
      </c>
      <c r="M210" s="22">
        <f>IF(Notes!$B$2="June",'Payment Total'!$F210,0)</f>
        <v>0</v>
      </c>
      <c r="N210" s="22">
        <f t="shared" si="12"/>
        <v>0</v>
      </c>
      <c r="P210" s="26" t="s">
        <v>1046</v>
      </c>
      <c r="Q210" s="26">
        <v>553216</v>
      </c>
      <c r="R210" s="21" t="str">
        <f t="shared" si="13"/>
        <v>4662</v>
      </c>
      <c r="S210" s="44" t="str">
        <f t="shared" si="14"/>
        <v>4662</v>
      </c>
      <c r="T210" s="45">
        <f t="shared" si="15"/>
        <v>0</v>
      </c>
      <c r="V210" s="45"/>
    </row>
    <row r="211" spans="1:22" s="26" customFormat="1" ht="12.75" x14ac:dyDescent="0.2">
      <c r="A211" s="20" t="str">
        <f>Data!B206</f>
        <v>4689</v>
      </c>
      <c r="B211" s="21" t="str">
        <f>INDEX(Data[],MATCH($A211,Data[Dist],0),MATCH(B$6,Data[#Headers],0))</f>
        <v>New London</v>
      </c>
      <c r="C211" s="22">
        <f>INDEX(Data[],MATCH($A211,Data[Dist],0),MATCH(C$6,Data[#Headers],0))</f>
        <v>431498</v>
      </c>
      <c r="D211" s="160">
        <f>INDEX(Data[],MATCH($A211,Data[Dist],0),MATCH(D$6,Data[#Headers],0))</f>
        <v>429423</v>
      </c>
      <c r="E211" s="160">
        <f>INDEX(Data[],MATCH($A211,Data[Dist],0),MATCH(E$6,Data[#Headers],0))</f>
        <v>429423</v>
      </c>
      <c r="F211" s="160">
        <f>INDEX(Data[],MATCH($A211,Data[Dist],0),MATCH(F$6,Data[#Headers],0))</f>
        <v>429421</v>
      </c>
      <c r="G211" s="22">
        <f>INDEX(Data[],MATCH($A211,Data[Dist],0),MATCH(G$6,Data[#Headers],0))</f>
        <v>1294494</v>
      </c>
      <c r="H211" s="22">
        <f>INDEX(Data[],MATCH($A211,Data[Dist],0),MATCH(H$6,Data[#Headers],0))-G211</f>
        <v>3020484</v>
      </c>
      <c r="I211" s="25"/>
      <c r="J211" s="22">
        <f>INDEX(Notes!$I$2:$N$11,MATCH(Notes!$B$2,Notes!$I$2:$I$11,0),4)*$C211</f>
        <v>1294494</v>
      </c>
      <c r="K211" s="22">
        <f>INDEX(Notes!$I$2:$N$11,MATCH(Notes!$B$2,Notes!$I$2:$I$11,0),5)*$D211</f>
        <v>0</v>
      </c>
      <c r="L211" s="22">
        <f>INDEX(Notes!$I$2:$N$11,MATCH(Notes!$B$2,Notes!$I$2:$I$11,0),6)*$E211</f>
        <v>0</v>
      </c>
      <c r="M211" s="22">
        <f>IF(Notes!$B$2="June",'Payment Total'!$F211,0)</f>
        <v>0</v>
      </c>
      <c r="N211" s="22">
        <f t="shared" si="12"/>
        <v>0</v>
      </c>
      <c r="P211" s="26" t="s">
        <v>1047</v>
      </c>
      <c r="Q211" s="26">
        <v>431498</v>
      </c>
      <c r="R211" s="21" t="str">
        <f t="shared" si="13"/>
        <v>4689</v>
      </c>
      <c r="S211" s="44" t="str">
        <f t="shared" si="14"/>
        <v>4689</v>
      </c>
      <c r="T211" s="45">
        <f t="shared" si="15"/>
        <v>0</v>
      </c>
      <c r="V211" s="45"/>
    </row>
    <row r="212" spans="1:22" s="26" customFormat="1" ht="12.75" x14ac:dyDescent="0.2">
      <c r="A212" s="20" t="str">
        <f>Data!B207</f>
        <v>4725</v>
      </c>
      <c r="B212" s="21" t="str">
        <f>INDEX(Data[],MATCH($A212,Data[Dist],0),MATCH(B$6,Data[#Headers],0))</f>
        <v>Newton</v>
      </c>
      <c r="C212" s="22">
        <f>INDEX(Data[],MATCH($A212,Data[Dist],0),MATCH(C$6,Data[#Headers],0))</f>
        <v>2329277</v>
      </c>
      <c r="D212" s="160">
        <f>INDEX(Data[],MATCH($A212,Data[Dist],0),MATCH(D$6,Data[#Headers],0))</f>
        <v>2317954</v>
      </c>
      <c r="E212" s="160">
        <f>INDEX(Data[],MATCH($A212,Data[Dist],0),MATCH(E$6,Data[#Headers],0))</f>
        <v>2317954</v>
      </c>
      <c r="F212" s="160">
        <f>INDEX(Data[],MATCH($A212,Data[Dist],0),MATCH(F$6,Data[#Headers],0))</f>
        <v>2317955</v>
      </c>
      <c r="G212" s="22">
        <f>INDEX(Data[],MATCH($A212,Data[Dist],0),MATCH(G$6,Data[#Headers],0))</f>
        <v>6987831</v>
      </c>
      <c r="H212" s="22">
        <f>INDEX(Data[],MATCH($A212,Data[Dist],0),MATCH(H$6,Data[#Headers],0))-G212</f>
        <v>16304938</v>
      </c>
      <c r="I212" s="25"/>
      <c r="J212" s="22">
        <f>INDEX(Notes!$I$2:$N$11,MATCH(Notes!$B$2,Notes!$I$2:$I$11,0),4)*$C212</f>
        <v>6987831</v>
      </c>
      <c r="K212" s="22">
        <f>INDEX(Notes!$I$2:$N$11,MATCH(Notes!$B$2,Notes!$I$2:$I$11,0),5)*$D212</f>
        <v>0</v>
      </c>
      <c r="L212" s="22">
        <f>INDEX(Notes!$I$2:$N$11,MATCH(Notes!$B$2,Notes!$I$2:$I$11,0),6)*$E212</f>
        <v>0</v>
      </c>
      <c r="M212" s="22">
        <f>IF(Notes!$B$2="June",'Payment Total'!$F212,0)</f>
        <v>0</v>
      </c>
      <c r="N212" s="22">
        <f t="shared" si="12"/>
        <v>0</v>
      </c>
      <c r="P212" s="26" t="s">
        <v>1048</v>
      </c>
      <c r="Q212" s="26">
        <v>2329277</v>
      </c>
      <c r="R212" s="21" t="str">
        <f t="shared" si="13"/>
        <v>4725</v>
      </c>
      <c r="S212" s="44" t="str">
        <f t="shared" si="14"/>
        <v>4725</v>
      </c>
      <c r="T212" s="45">
        <f t="shared" si="15"/>
        <v>0</v>
      </c>
      <c r="V212" s="45"/>
    </row>
    <row r="213" spans="1:22" s="26" customFormat="1" ht="12.75" x14ac:dyDescent="0.2">
      <c r="A213" s="20" t="str">
        <f>Data!B208</f>
        <v>4772</v>
      </c>
      <c r="B213" s="21" t="str">
        <f>INDEX(Data[],MATCH($A213,Data[Dist],0),MATCH(B$6,Data[#Headers],0))</f>
        <v>Central Springs</v>
      </c>
      <c r="C213" s="22">
        <f>INDEX(Data[],MATCH($A213,Data[Dist],0),MATCH(C$6,Data[#Headers],0))</f>
        <v>531921</v>
      </c>
      <c r="D213" s="160">
        <f>INDEX(Data[],MATCH($A213,Data[Dist],0),MATCH(D$6,Data[#Headers],0))</f>
        <v>528839</v>
      </c>
      <c r="E213" s="160">
        <f>INDEX(Data[],MATCH($A213,Data[Dist],0),MATCH(E$6,Data[#Headers],0))</f>
        <v>528838</v>
      </c>
      <c r="F213" s="160">
        <f>INDEX(Data[],MATCH($A213,Data[Dist],0),MATCH(F$6,Data[#Headers],0))</f>
        <v>528839</v>
      </c>
      <c r="G213" s="22">
        <f>INDEX(Data[],MATCH($A213,Data[Dist],0),MATCH(G$6,Data[#Headers],0))</f>
        <v>1595763</v>
      </c>
      <c r="H213" s="22">
        <f>INDEX(Data[],MATCH($A213,Data[Dist],0),MATCH(H$6,Data[#Headers],0))-G213</f>
        <v>3723450</v>
      </c>
      <c r="I213" s="25"/>
      <c r="J213" s="22">
        <f>INDEX(Notes!$I$2:$N$11,MATCH(Notes!$B$2,Notes!$I$2:$I$11,0),4)*$C213</f>
        <v>1595763</v>
      </c>
      <c r="K213" s="22">
        <f>INDEX(Notes!$I$2:$N$11,MATCH(Notes!$B$2,Notes!$I$2:$I$11,0),5)*$D213</f>
        <v>0</v>
      </c>
      <c r="L213" s="22">
        <f>INDEX(Notes!$I$2:$N$11,MATCH(Notes!$B$2,Notes!$I$2:$I$11,0),6)*$E213</f>
        <v>0</v>
      </c>
      <c r="M213" s="22">
        <f>IF(Notes!$B$2="June",'Payment Total'!$F213,0)</f>
        <v>0</v>
      </c>
      <c r="N213" s="22">
        <f t="shared" si="12"/>
        <v>0</v>
      </c>
      <c r="P213" s="26" t="s">
        <v>1049</v>
      </c>
      <c r="Q213" s="26">
        <v>531921</v>
      </c>
      <c r="R213" s="21" t="str">
        <f t="shared" si="13"/>
        <v>4772</v>
      </c>
      <c r="S213" s="44" t="str">
        <f t="shared" si="14"/>
        <v>4772</v>
      </c>
      <c r="T213" s="45">
        <f t="shared" si="15"/>
        <v>0</v>
      </c>
      <c r="V213" s="45"/>
    </row>
    <row r="214" spans="1:22" s="26" customFormat="1" ht="12.75" x14ac:dyDescent="0.2">
      <c r="A214" s="20" t="str">
        <f>Data!B209</f>
        <v>4773</v>
      </c>
      <c r="B214" s="21" t="str">
        <f>INDEX(Data[],MATCH($A214,Data[Dist],0),MATCH(B$6,Data[#Headers],0))</f>
        <v>Northeast</v>
      </c>
      <c r="C214" s="22">
        <f>INDEX(Data[],MATCH($A214,Data[Dist],0),MATCH(C$6,Data[#Headers],0))</f>
        <v>350364</v>
      </c>
      <c r="D214" s="160">
        <f>INDEX(Data[],MATCH($A214,Data[Dist],0),MATCH(D$6,Data[#Headers],0))</f>
        <v>348347</v>
      </c>
      <c r="E214" s="160">
        <f>INDEX(Data[],MATCH($A214,Data[Dist],0),MATCH(E$6,Data[#Headers],0))</f>
        <v>348347</v>
      </c>
      <c r="F214" s="160">
        <f>INDEX(Data[],MATCH($A214,Data[Dist],0),MATCH(F$6,Data[#Headers],0))</f>
        <v>348348</v>
      </c>
      <c r="G214" s="22">
        <f>INDEX(Data[],MATCH($A214,Data[Dist],0),MATCH(G$6,Data[#Headers],0))</f>
        <v>1051092</v>
      </c>
      <c r="H214" s="22">
        <f>INDEX(Data[],MATCH($A214,Data[Dist],0),MATCH(H$6,Data[#Headers],0))-G214</f>
        <v>2452552</v>
      </c>
      <c r="I214" s="25"/>
      <c r="J214" s="22">
        <f>INDEX(Notes!$I$2:$N$11,MATCH(Notes!$B$2,Notes!$I$2:$I$11,0),4)*$C214</f>
        <v>1051092</v>
      </c>
      <c r="K214" s="22">
        <f>INDEX(Notes!$I$2:$N$11,MATCH(Notes!$B$2,Notes!$I$2:$I$11,0),5)*$D214</f>
        <v>0</v>
      </c>
      <c r="L214" s="22">
        <f>INDEX(Notes!$I$2:$N$11,MATCH(Notes!$B$2,Notes!$I$2:$I$11,0),6)*$E214</f>
        <v>0</v>
      </c>
      <c r="M214" s="22">
        <f>IF(Notes!$B$2="June",'Payment Total'!$F214,0)</f>
        <v>0</v>
      </c>
      <c r="N214" s="22">
        <f t="shared" si="12"/>
        <v>0</v>
      </c>
      <c r="P214" s="26" t="s">
        <v>1050</v>
      </c>
      <c r="Q214" s="26">
        <v>350364</v>
      </c>
      <c r="R214" s="21" t="str">
        <f t="shared" si="13"/>
        <v>4773</v>
      </c>
      <c r="S214" s="44" t="str">
        <f t="shared" si="14"/>
        <v>4773</v>
      </c>
      <c r="T214" s="45">
        <f t="shared" si="15"/>
        <v>0</v>
      </c>
      <c r="V214" s="45"/>
    </row>
    <row r="215" spans="1:22" s="26" customFormat="1" ht="12.75" x14ac:dyDescent="0.2">
      <c r="A215" s="20" t="str">
        <f>Data!B210</f>
        <v>4774</v>
      </c>
      <c r="B215" s="21" t="str">
        <f>INDEX(Data[],MATCH($A215,Data[Dist],0),MATCH(B$6,Data[#Headers],0))</f>
        <v>North Fayette Valley</v>
      </c>
      <c r="C215" s="22">
        <f>INDEX(Data[],MATCH($A215,Data[Dist],0),MATCH(C$6,Data[#Headers],0))</f>
        <v>820168</v>
      </c>
      <c r="D215" s="160">
        <f>INDEX(Data[],MATCH($A215,Data[Dist],0),MATCH(D$6,Data[#Headers],0))</f>
        <v>815811</v>
      </c>
      <c r="E215" s="160">
        <f>INDEX(Data[],MATCH($A215,Data[Dist],0),MATCH(E$6,Data[#Headers],0))</f>
        <v>815812</v>
      </c>
      <c r="F215" s="160">
        <f>INDEX(Data[],MATCH($A215,Data[Dist],0),MATCH(F$6,Data[#Headers],0))</f>
        <v>815810</v>
      </c>
      <c r="G215" s="22">
        <f>INDEX(Data[],MATCH($A215,Data[Dist],0),MATCH(G$6,Data[#Headers],0))</f>
        <v>2460504</v>
      </c>
      <c r="H215" s="22">
        <f>INDEX(Data[],MATCH($A215,Data[Dist],0),MATCH(H$6,Data[#Headers],0))-G215</f>
        <v>5741176</v>
      </c>
      <c r="I215" s="25"/>
      <c r="J215" s="22">
        <f>INDEX(Notes!$I$2:$N$11,MATCH(Notes!$B$2,Notes!$I$2:$I$11,0),4)*$C215</f>
        <v>2460504</v>
      </c>
      <c r="K215" s="22">
        <f>INDEX(Notes!$I$2:$N$11,MATCH(Notes!$B$2,Notes!$I$2:$I$11,0),5)*$D215</f>
        <v>0</v>
      </c>
      <c r="L215" s="22">
        <f>INDEX(Notes!$I$2:$N$11,MATCH(Notes!$B$2,Notes!$I$2:$I$11,0),6)*$E215</f>
        <v>0</v>
      </c>
      <c r="M215" s="22">
        <f>IF(Notes!$B$2="June",'Payment Total'!$F215,0)</f>
        <v>0</v>
      </c>
      <c r="N215" s="22">
        <f t="shared" si="12"/>
        <v>0</v>
      </c>
      <c r="P215" s="26" t="s">
        <v>1051</v>
      </c>
      <c r="Q215" s="26">
        <v>820168</v>
      </c>
      <c r="R215" s="21" t="str">
        <f t="shared" si="13"/>
        <v>4774</v>
      </c>
      <c r="S215" s="44" t="str">
        <f t="shared" si="14"/>
        <v>4774</v>
      </c>
      <c r="T215" s="45">
        <f t="shared" si="15"/>
        <v>0</v>
      </c>
      <c r="V215" s="45"/>
    </row>
    <row r="216" spans="1:22" s="26" customFormat="1" ht="12.75" x14ac:dyDescent="0.2">
      <c r="A216" s="20" t="str">
        <f>Data!B211</f>
        <v>4776</v>
      </c>
      <c r="B216" s="21" t="str">
        <f>INDEX(Data[],MATCH($A216,Data[Dist],0),MATCH(B$6,Data[#Headers],0))</f>
        <v>North Mahaska</v>
      </c>
      <c r="C216" s="22">
        <f>INDEX(Data[],MATCH($A216,Data[Dist],0),MATCH(C$6,Data[#Headers],0))</f>
        <v>306772</v>
      </c>
      <c r="D216" s="160">
        <f>INDEX(Data[],MATCH($A216,Data[Dist],0),MATCH(D$6,Data[#Headers],0))</f>
        <v>304902</v>
      </c>
      <c r="E216" s="160">
        <f>INDEX(Data[],MATCH($A216,Data[Dist],0),MATCH(E$6,Data[#Headers],0))</f>
        <v>304902</v>
      </c>
      <c r="F216" s="160">
        <f>INDEX(Data[],MATCH($A216,Data[Dist],0),MATCH(F$6,Data[#Headers],0))</f>
        <v>304901</v>
      </c>
      <c r="G216" s="22">
        <f>INDEX(Data[],MATCH($A216,Data[Dist],0),MATCH(G$6,Data[#Headers],0))</f>
        <v>920316</v>
      </c>
      <c r="H216" s="22">
        <f>INDEX(Data[],MATCH($A216,Data[Dist],0),MATCH(H$6,Data[#Headers],0))-G216</f>
        <v>2147404</v>
      </c>
      <c r="I216" s="25"/>
      <c r="J216" s="22">
        <f>INDEX(Notes!$I$2:$N$11,MATCH(Notes!$B$2,Notes!$I$2:$I$11,0),4)*$C216</f>
        <v>920316</v>
      </c>
      <c r="K216" s="22">
        <f>INDEX(Notes!$I$2:$N$11,MATCH(Notes!$B$2,Notes!$I$2:$I$11,0),5)*$D216</f>
        <v>0</v>
      </c>
      <c r="L216" s="22">
        <f>INDEX(Notes!$I$2:$N$11,MATCH(Notes!$B$2,Notes!$I$2:$I$11,0),6)*$E216</f>
        <v>0</v>
      </c>
      <c r="M216" s="22">
        <f>IF(Notes!$B$2="June",'Payment Total'!$F216,0)</f>
        <v>0</v>
      </c>
      <c r="N216" s="22">
        <f t="shared" si="12"/>
        <v>0</v>
      </c>
      <c r="P216" s="26" t="s">
        <v>1052</v>
      </c>
      <c r="Q216" s="26">
        <v>306772</v>
      </c>
      <c r="R216" s="21" t="str">
        <f t="shared" si="13"/>
        <v>4776</v>
      </c>
      <c r="S216" s="44" t="str">
        <f t="shared" si="14"/>
        <v>4776</v>
      </c>
      <c r="T216" s="45">
        <f t="shared" si="15"/>
        <v>0</v>
      </c>
      <c r="V216" s="45"/>
    </row>
    <row r="217" spans="1:22" s="26" customFormat="1" ht="12.75" x14ac:dyDescent="0.2">
      <c r="A217" s="20" t="str">
        <f>Data!B212</f>
        <v>4777</v>
      </c>
      <c r="B217" s="21" t="str">
        <f>INDEX(Data[],MATCH($A217,Data[Dist],0),MATCH(B$6,Data[#Headers],0))</f>
        <v>North Linn</v>
      </c>
      <c r="C217" s="22">
        <f>INDEX(Data[],MATCH($A217,Data[Dist],0),MATCH(C$6,Data[#Headers],0))</f>
        <v>348702</v>
      </c>
      <c r="D217" s="160">
        <f>INDEX(Data[],MATCH($A217,Data[Dist],0),MATCH(D$6,Data[#Headers],0))</f>
        <v>346570</v>
      </c>
      <c r="E217" s="160">
        <f>INDEX(Data[],MATCH($A217,Data[Dist],0),MATCH(E$6,Data[#Headers],0))</f>
        <v>346570</v>
      </c>
      <c r="F217" s="160">
        <f>INDEX(Data[],MATCH($A217,Data[Dist],0),MATCH(F$6,Data[#Headers],0))</f>
        <v>346569</v>
      </c>
      <c r="G217" s="22">
        <f>INDEX(Data[],MATCH($A217,Data[Dist],0),MATCH(G$6,Data[#Headers],0))</f>
        <v>1046106</v>
      </c>
      <c r="H217" s="22">
        <f>INDEX(Data[],MATCH($A217,Data[Dist],0),MATCH(H$6,Data[#Headers],0))-G217</f>
        <v>2440913</v>
      </c>
      <c r="I217" s="25"/>
      <c r="J217" s="22">
        <f>INDEX(Notes!$I$2:$N$11,MATCH(Notes!$B$2,Notes!$I$2:$I$11,0),4)*$C217</f>
        <v>1046106</v>
      </c>
      <c r="K217" s="22">
        <f>INDEX(Notes!$I$2:$N$11,MATCH(Notes!$B$2,Notes!$I$2:$I$11,0),5)*$D217</f>
        <v>0</v>
      </c>
      <c r="L217" s="22">
        <f>INDEX(Notes!$I$2:$N$11,MATCH(Notes!$B$2,Notes!$I$2:$I$11,0),6)*$E217</f>
        <v>0</v>
      </c>
      <c r="M217" s="22">
        <f>IF(Notes!$B$2="June",'Payment Total'!$F217,0)</f>
        <v>0</v>
      </c>
      <c r="N217" s="22">
        <f t="shared" si="12"/>
        <v>0</v>
      </c>
      <c r="P217" s="26" t="s">
        <v>1053</v>
      </c>
      <c r="Q217" s="26">
        <v>348702</v>
      </c>
      <c r="R217" s="21" t="str">
        <f t="shared" si="13"/>
        <v>4777</v>
      </c>
      <c r="S217" s="44" t="str">
        <f t="shared" si="14"/>
        <v>4777</v>
      </c>
      <c r="T217" s="45">
        <f t="shared" si="15"/>
        <v>0</v>
      </c>
      <c r="V217" s="45"/>
    </row>
    <row r="218" spans="1:22" s="26" customFormat="1" ht="12.75" x14ac:dyDescent="0.2">
      <c r="A218" s="20" t="str">
        <f>Data!B213</f>
        <v>4778</v>
      </c>
      <c r="B218" s="21" t="str">
        <f>INDEX(Data[],MATCH($A218,Data[Dist],0),MATCH(B$6,Data[#Headers],0))</f>
        <v>North Kossuth</v>
      </c>
      <c r="C218" s="22">
        <f>INDEX(Data[],MATCH($A218,Data[Dist],0),MATCH(C$6,Data[#Headers],0))</f>
        <v>74498</v>
      </c>
      <c r="D218" s="160">
        <f>INDEX(Data[],MATCH($A218,Data[Dist],0),MATCH(D$6,Data[#Headers],0))</f>
        <v>73592</v>
      </c>
      <c r="E218" s="160">
        <f>INDEX(Data[],MATCH($A218,Data[Dist],0),MATCH(E$6,Data[#Headers],0))</f>
        <v>73593</v>
      </c>
      <c r="F218" s="160">
        <f>INDEX(Data[],MATCH($A218,Data[Dist],0),MATCH(F$6,Data[#Headers],0))</f>
        <v>73591</v>
      </c>
      <c r="G218" s="22">
        <f>INDEX(Data[],MATCH($A218,Data[Dist],0),MATCH(G$6,Data[#Headers],0))</f>
        <v>223494</v>
      </c>
      <c r="H218" s="22">
        <f>INDEX(Data[],MATCH($A218,Data[Dist],0),MATCH(H$6,Data[#Headers],0))-G218</f>
        <v>521482</v>
      </c>
      <c r="I218" s="25"/>
      <c r="J218" s="22">
        <f>INDEX(Notes!$I$2:$N$11,MATCH(Notes!$B$2,Notes!$I$2:$I$11,0),4)*$C218</f>
        <v>223494</v>
      </c>
      <c r="K218" s="22">
        <f>INDEX(Notes!$I$2:$N$11,MATCH(Notes!$B$2,Notes!$I$2:$I$11,0),5)*$D218</f>
        <v>0</v>
      </c>
      <c r="L218" s="22">
        <f>INDEX(Notes!$I$2:$N$11,MATCH(Notes!$B$2,Notes!$I$2:$I$11,0),6)*$E218</f>
        <v>0</v>
      </c>
      <c r="M218" s="22">
        <f>IF(Notes!$B$2="June",'Payment Total'!$F218,0)</f>
        <v>0</v>
      </c>
      <c r="N218" s="22">
        <f t="shared" si="12"/>
        <v>0</v>
      </c>
      <c r="P218" s="26" t="s">
        <v>1054</v>
      </c>
      <c r="Q218" s="26">
        <v>74498</v>
      </c>
      <c r="R218" s="21" t="str">
        <f t="shared" si="13"/>
        <v>4778</v>
      </c>
      <c r="S218" s="44" t="str">
        <f t="shared" si="14"/>
        <v>4778</v>
      </c>
      <c r="T218" s="45">
        <f t="shared" si="15"/>
        <v>0</v>
      </c>
      <c r="V218" s="45"/>
    </row>
    <row r="219" spans="1:22" s="26" customFormat="1" ht="12.75" x14ac:dyDescent="0.2">
      <c r="A219" s="20" t="str">
        <f>Data!B214</f>
        <v>4779</v>
      </c>
      <c r="B219" s="21" t="str">
        <f>INDEX(Data[],MATCH($A219,Data[Dist],0),MATCH(B$6,Data[#Headers],0))</f>
        <v>North Polk</v>
      </c>
      <c r="C219" s="22">
        <f>INDEX(Data[],MATCH($A219,Data[Dist],0),MATCH(C$6,Data[#Headers],0))</f>
        <v>1510853</v>
      </c>
      <c r="D219" s="160">
        <f>INDEX(Data[],MATCH($A219,Data[Dist],0),MATCH(D$6,Data[#Headers],0))</f>
        <v>1502841</v>
      </c>
      <c r="E219" s="160">
        <f>INDEX(Data[],MATCH($A219,Data[Dist],0),MATCH(E$6,Data[#Headers],0))</f>
        <v>1502840</v>
      </c>
      <c r="F219" s="160">
        <f>INDEX(Data[],MATCH($A219,Data[Dist],0),MATCH(F$6,Data[#Headers],0))</f>
        <v>1502841</v>
      </c>
      <c r="G219" s="22">
        <f>INDEX(Data[],MATCH($A219,Data[Dist],0),MATCH(G$6,Data[#Headers],0))</f>
        <v>4532559</v>
      </c>
      <c r="H219" s="22">
        <f>INDEX(Data[],MATCH($A219,Data[Dist],0),MATCH(H$6,Data[#Headers],0))-G219</f>
        <v>10575975</v>
      </c>
      <c r="I219" s="25"/>
      <c r="J219" s="22">
        <f>INDEX(Notes!$I$2:$N$11,MATCH(Notes!$B$2,Notes!$I$2:$I$11,0),4)*$C219</f>
        <v>4532559</v>
      </c>
      <c r="K219" s="22">
        <f>INDEX(Notes!$I$2:$N$11,MATCH(Notes!$B$2,Notes!$I$2:$I$11,0),5)*$D219</f>
        <v>0</v>
      </c>
      <c r="L219" s="22">
        <f>INDEX(Notes!$I$2:$N$11,MATCH(Notes!$B$2,Notes!$I$2:$I$11,0),6)*$E219</f>
        <v>0</v>
      </c>
      <c r="M219" s="22">
        <f>IF(Notes!$B$2="June",'Payment Total'!$F219,0)</f>
        <v>0</v>
      </c>
      <c r="N219" s="22">
        <f t="shared" si="12"/>
        <v>0</v>
      </c>
      <c r="P219" s="26" t="s">
        <v>1055</v>
      </c>
      <c r="Q219" s="26">
        <v>1510853</v>
      </c>
      <c r="R219" s="21" t="str">
        <f t="shared" si="13"/>
        <v>4779</v>
      </c>
      <c r="S219" s="44" t="str">
        <f t="shared" si="14"/>
        <v>4779</v>
      </c>
      <c r="T219" s="45">
        <f t="shared" si="15"/>
        <v>0</v>
      </c>
      <c r="V219" s="45"/>
    </row>
    <row r="220" spans="1:22" s="26" customFormat="1" ht="12.75" x14ac:dyDescent="0.2">
      <c r="A220" s="20" t="str">
        <f>Data!B215</f>
        <v>4784</v>
      </c>
      <c r="B220" s="21" t="str">
        <f>INDEX(Data[],MATCH($A220,Data[Dist],0),MATCH(B$6,Data[#Headers],0))</f>
        <v>North Scott</v>
      </c>
      <c r="C220" s="22">
        <f>INDEX(Data[],MATCH($A220,Data[Dist],0),MATCH(C$6,Data[#Headers],0))</f>
        <v>2053968</v>
      </c>
      <c r="D220" s="160">
        <f>INDEX(Data[],MATCH($A220,Data[Dist],0),MATCH(D$6,Data[#Headers],0))</f>
        <v>2042109</v>
      </c>
      <c r="E220" s="160">
        <f>INDEX(Data[],MATCH($A220,Data[Dist],0),MATCH(E$6,Data[#Headers],0))</f>
        <v>2042110</v>
      </c>
      <c r="F220" s="160">
        <f>INDEX(Data[],MATCH($A220,Data[Dist],0),MATCH(F$6,Data[#Headers],0))</f>
        <v>2042108</v>
      </c>
      <c r="G220" s="22">
        <f>INDEX(Data[],MATCH($A220,Data[Dist],0),MATCH(G$6,Data[#Headers],0))</f>
        <v>6161904</v>
      </c>
      <c r="H220" s="22">
        <f>INDEX(Data[],MATCH($A220,Data[Dist],0),MATCH(H$6,Data[#Headers],0))-G220</f>
        <v>14377776</v>
      </c>
      <c r="I220" s="25"/>
      <c r="J220" s="22">
        <f>INDEX(Notes!$I$2:$N$11,MATCH(Notes!$B$2,Notes!$I$2:$I$11,0),4)*$C220</f>
        <v>6161904</v>
      </c>
      <c r="K220" s="22">
        <f>INDEX(Notes!$I$2:$N$11,MATCH(Notes!$B$2,Notes!$I$2:$I$11,0),5)*$D220</f>
        <v>0</v>
      </c>
      <c r="L220" s="22">
        <f>INDEX(Notes!$I$2:$N$11,MATCH(Notes!$B$2,Notes!$I$2:$I$11,0),6)*$E220</f>
        <v>0</v>
      </c>
      <c r="M220" s="22">
        <f>IF(Notes!$B$2="June",'Payment Total'!$F220,0)</f>
        <v>0</v>
      </c>
      <c r="N220" s="22">
        <f t="shared" si="12"/>
        <v>0</v>
      </c>
      <c r="P220" s="26" t="s">
        <v>1056</v>
      </c>
      <c r="Q220" s="26">
        <v>2053968</v>
      </c>
      <c r="R220" s="21" t="str">
        <f t="shared" si="13"/>
        <v>4784</v>
      </c>
      <c r="S220" s="44" t="str">
        <f t="shared" si="14"/>
        <v>4784</v>
      </c>
      <c r="T220" s="45">
        <f t="shared" si="15"/>
        <v>0</v>
      </c>
      <c r="V220" s="45"/>
    </row>
    <row r="221" spans="1:22" s="26" customFormat="1" ht="12.75" x14ac:dyDescent="0.2">
      <c r="A221" s="20" t="str">
        <f>Data!B216</f>
        <v>4785</v>
      </c>
      <c r="B221" s="21" t="str">
        <f>INDEX(Data[],MATCH($A221,Data[Dist],0),MATCH(B$6,Data[#Headers],0))</f>
        <v>North Tama</v>
      </c>
      <c r="C221" s="22">
        <f>INDEX(Data[],MATCH($A221,Data[Dist],0),MATCH(C$6,Data[#Headers],0))</f>
        <v>271448</v>
      </c>
      <c r="D221" s="160">
        <f>INDEX(Data[],MATCH($A221,Data[Dist],0),MATCH(D$6,Data[#Headers],0))</f>
        <v>269713</v>
      </c>
      <c r="E221" s="160">
        <f>INDEX(Data[],MATCH($A221,Data[Dist],0),MATCH(E$6,Data[#Headers],0))</f>
        <v>269714</v>
      </c>
      <c r="F221" s="160">
        <f>INDEX(Data[],MATCH($A221,Data[Dist],0),MATCH(F$6,Data[#Headers],0))</f>
        <v>269712</v>
      </c>
      <c r="G221" s="22">
        <f>INDEX(Data[],MATCH($A221,Data[Dist],0),MATCH(G$6,Data[#Headers],0))</f>
        <v>814344</v>
      </c>
      <c r="H221" s="22">
        <f>INDEX(Data[],MATCH($A221,Data[Dist],0),MATCH(H$6,Data[#Headers],0))-G221</f>
        <v>1900133</v>
      </c>
      <c r="I221" s="25"/>
      <c r="J221" s="22">
        <f>INDEX(Notes!$I$2:$N$11,MATCH(Notes!$B$2,Notes!$I$2:$I$11,0),4)*$C221</f>
        <v>814344</v>
      </c>
      <c r="K221" s="22">
        <f>INDEX(Notes!$I$2:$N$11,MATCH(Notes!$B$2,Notes!$I$2:$I$11,0),5)*$D221</f>
        <v>0</v>
      </c>
      <c r="L221" s="22">
        <f>INDEX(Notes!$I$2:$N$11,MATCH(Notes!$B$2,Notes!$I$2:$I$11,0),6)*$E221</f>
        <v>0</v>
      </c>
      <c r="M221" s="22">
        <f>IF(Notes!$B$2="June",'Payment Total'!$F221,0)</f>
        <v>0</v>
      </c>
      <c r="N221" s="22">
        <f t="shared" si="12"/>
        <v>0</v>
      </c>
      <c r="P221" s="26" t="s">
        <v>1057</v>
      </c>
      <c r="Q221" s="26">
        <v>271448</v>
      </c>
      <c r="R221" s="21" t="str">
        <f t="shared" si="13"/>
        <v>4785</v>
      </c>
      <c r="S221" s="44" t="str">
        <f t="shared" si="14"/>
        <v>4785</v>
      </c>
      <c r="T221" s="45">
        <f t="shared" si="15"/>
        <v>0</v>
      </c>
      <c r="V221" s="45"/>
    </row>
    <row r="222" spans="1:22" s="26" customFormat="1" ht="12.75" x14ac:dyDescent="0.2">
      <c r="A222" s="20" t="str">
        <f>Data!B217</f>
        <v>4788</v>
      </c>
      <c r="B222" s="21" t="str">
        <f>INDEX(Data[],MATCH($A222,Data[Dist],0),MATCH(B$6,Data[#Headers],0))</f>
        <v>Northwood-Kensett</v>
      </c>
      <c r="C222" s="22">
        <f>INDEX(Data[],MATCH($A222,Data[Dist],0),MATCH(C$6,Data[#Headers],0))</f>
        <v>336998</v>
      </c>
      <c r="D222" s="160">
        <f>INDEX(Data[],MATCH($A222,Data[Dist],0),MATCH(D$6,Data[#Headers],0))</f>
        <v>335041</v>
      </c>
      <c r="E222" s="160">
        <f>INDEX(Data[],MATCH($A222,Data[Dist],0),MATCH(E$6,Data[#Headers],0))</f>
        <v>335041</v>
      </c>
      <c r="F222" s="160">
        <f>INDEX(Data[],MATCH($A222,Data[Dist],0),MATCH(F$6,Data[#Headers],0))</f>
        <v>335042</v>
      </c>
      <c r="G222" s="22">
        <f>INDEX(Data[],MATCH($A222,Data[Dist],0),MATCH(G$6,Data[#Headers],0))</f>
        <v>1010994</v>
      </c>
      <c r="H222" s="22">
        <f>INDEX(Data[],MATCH($A222,Data[Dist],0),MATCH(H$6,Data[#Headers],0))-G222</f>
        <v>2358983</v>
      </c>
      <c r="I222" s="25"/>
      <c r="J222" s="22">
        <f>INDEX(Notes!$I$2:$N$11,MATCH(Notes!$B$2,Notes!$I$2:$I$11,0),4)*$C222</f>
        <v>1010994</v>
      </c>
      <c r="K222" s="22">
        <f>INDEX(Notes!$I$2:$N$11,MATCH(Notes!$B$2,Notes!$I$2:$I$11,0),5)*$D222</f>
        <v>0</v>
      </c>
      <c r="L222" s="22">
        <f>INDEX(Notes!$I$2:$N$11,MATCH(Notes!$B$2,Notes!$I$2:$I$11,0),6)*$E222</f>
        <v>0</v>
      </c>
      <c r="M222" s="22">
        <f>IF(Notes!$B$2="June",'Payment Total'!$F222,0)</f>
        <v>0</v>
      </c>
      <c r="N222" s="22">
        <f t="shared" si="12"/>
        <v>0</v>
      </c>
      <c r="P222" s="26" t="s">
        <v>1058</v>
      </c>
      <c r="Q222" s="26">
        <v>336998</v>
      </c>
      <c r="R222" s="21" t="str">
        <f t="shared" si="13"/>
        <v>4788</v>
      </c>
      <c r="S222" s="44" t="str">
        <f t="shared" si="14"/>
        <v>4788</v>
      </c>
      <c r="T222" s="45">
        <f t="shared" si="15"/>
        <v>0</v>
      </c>
      <c r="V222" s="45"/>
    </row>
    <row r="223" spans="1:22" s="26" customFormat="1" ht="12.75" x14ac:dyDescent="0.2">
      <c r="A223" s="20" t="str">
        <f>Data!B218</f>
        <v>4797</v>
      </c>
      <c r="B223" s="21" t="str">
        <f>INDEX(Data[],MATCH($A223,Data[Dist],0),MATCH(B$6,Data[#Headers],0))</f>
        <v>Norwalk</v>
      </c>
      <c r="C223" s="22">
        <f>INDEX(Data[],MATCH($A223,Data[Dist],0),MATCH(C$6,Data[#Headers],0))</f>
        <v>2694330</v>
      </c>
      <c r="D223" s="160">
        <f>INDEX(Data[],MATCH($A223,Data[Dist],0),MATCH(D$6,Data[#Headers],0))</f>
        <v>2681216</v>
      </c>
      <c r="E223" s="160">
        <f>INDEX(Data[],MATCH($A223,Data[Dist],0),MATCH(E$6,Data[#Headers],0))</f>
        <v>2681217</v>
      </c>
      <c r="F223" s="160">
        <f>INDEX(Data[],MATCH($A223,Data[Dist],0),MATCH(F$6,Data[#Headers],0))</f>
        <v>2681215</v>
      </c>
      <c r="G223" s="22">
        <f>INDEX(Data[],MATCH($A223,Data[Dist],0),MATCH(G$6,Data[#Headers],0))</f>
        <v>8082990</v>
      </c>
      <c r="H223" s="22">
        <f>INDEX(Data[],MATCH($A223,Data[Dist],0),MATCH(H$6,Data[#Headers],0))-G223</f>
        <v>18860307</v>
      </c>
      <c r="I223" s="25"/>
      <c r="J223" s="22">
        <f>INDEX(Notes!$I$2:$N$11,MATCH(Notes!$B$2,Notes!$I$2:$I$11,0),4)*$C223</f>
        <v>8082990</v>
      </c>
      <c r="K223" s="22">
        <f>INDEX(Notes!$I$2:$N$11,MATCH(Notes!$B$2,Notes!$I$2:$I$11,0),5)*$D223</f>
        <v>0</v>
      </c>
      <c r="L223" s="22">
        <f>INDEX(Notes!$I$2:$N$11,MATCH(Notes!$B$2,Notes!$I$2:$I$11,0),6)*$E223</f>
        <v>0</v>
      </c>
      <c r="M223" s="22">
        <f>IF(Notes!$B$2="June",'Payment Total'!$F223,0)</f>
        <v>0</v>
      </c>
      <c r="N223" s="22">
        <f t="shared" si="12"/>
        <v>0</v>
      </c>
      <c r="P223" s="26" t="s">
        <v>1059</v>
      </c>
      <c r="Q223" s="26">
        <v>2694330</v>
      </c>
      <c r="R223" s="21" t="str">
        <f t="shared" si="13"/>
        <v>4797</v>
      </c>
      <c r="S223" s="44" t="str">
        <f t="shared" si="14"/>
        <v>4797</v>
      </c>
      <c r="T223" s="45">
        <f t="shared" si="15"/>
        <v>0</v>
      </c>
      <c r="V223" s="45"/>
    </row>
    <row r="224" spans="1:22" s="26" customFormat="1" ht="12.75" x14ac:dyDescent="0.2">
      <c r="A224" s="20" t="str">
        <f>Data!B219</f>
        <v>4824</v>
      </c>
      <c r="B224" s="21" t="str">
        <f>INDEX(Data[],MATCH($A224,Data[Dist],0),MATCH(B$6,Data[#Headers],0))</f>
        <v>Riverside</v>
      </c>
      <c r="C224" s="22">
        <f>INDEX(Data[],MATCH($A224,Data[Dist],0),MATCH(C$6,Data[#Headers],0))</f>
        <v>445489</v>
      </c>
      <c r="D224" s="160">
        <f>INDEX(Data[],MATCH($A224,Data[Dist],0),MATCH(D$6,Data[#Headers],0))</f>
        <v>442748</v>
      </c>
      <c r="E224" s="160">
        <f>INDEX(Data[],MATCH($A224,Data[Dist],0),MATCH(E$6,Data[#Headers],0))</f>
        <v>442748</v>
      </c>
      <c r="F224" s="160">
        <f>INDEX(Data[],MATCH($A224,Data[Dist],0),MATCH(F$6,Data[#Headers],0))</f>
        <v>442746</v>
      </c>
      <c r="G224" s="22">
        <f>INDEX(Data[],MATCH($A224,Data[Dist],0),MATCH(G$6,Data[#Headers],0))</f>
        <v>1336467</v>
      </c>
      <c r="H224" s="22">
        <f>INDEX(Data[],MATCH($A224,Data[Dist],0),MATCH(H$6,Data[#Headers],0))-G224</f>
        <v>3118426</v>
      </c>
      <c r="I224" s="25"/>
      <c r="J224" s="22">
        <f>INDEX(Notes!$I$2:$N$11,MATCH(Notes!$B$2,Notes!$I$2:$I$11,0),4)*$C224</f>
        <v>1336467</v>
      </c>
      <c r="K224" s="22">
        <f>INDEX(Notes!$I$2:$N$11,MATCH(Notes!$B$2,Notes!$I$2:$I$11,0),5)*$D224</f>
        <v>0</v>
      </c>
      <c r="L224" s="22">
        <f>INDEX(Notes!$I$2:$N$11,MATCH(Notes!$B$2,Notes!$I$2:$I$11,0),6)*$E224</f>
        <v>0</v>
      </c>
      <c r="M224" s="22">
        <f>IF(Notes!$B$2="June",'Payment Total'!$F224,0)</f>
        <v>0</v>
      </c>
      <c r="N224" s="22">
        <f t="shared" si="12"/>
        <v>0</v>
      </c>
      <c r="P224" s="26" t="s">
        <v>1060</v>
      </c>
      <c r="Q224" s="26">
        <v>445489</v>
      </c>
      <c r="R224" s="21" t="str">
        <f t="shared" si="13"/>
        <v>5510</v>
      </c>
      <c r="S224" s="44" t="str">
        <f t="shared" si="14"/>
        <v>4824</v>
      </c>
      <c r="T224" s="45">
        <f t="shared" si="15"/>
        <v>0</v>
      </c>
      <c r="V224" s="45"/>
    </row>
    <row r="225" spans="1:22" s="26" customFormat="1" ht="12.75" x14ac:dyDescent="0.2">
      <c r="A225" s="20" t="str">
        <f>Data!B220</f>
        <v>4860</v>
      </c>
      <c r="B225" s="21" t="str">
        <f>INDEX(Data[],MATCH($A225,Data[Dist],0),MATCH(B$6,Data[#Headers],0))</f>
        <v>Odebolt Arthur Battle Creek Ida Gr</v>
      </c>
      <c r="C225" s="22">
        <f>INDEX(Data[],MATCH($A225,Data[Dist],0),MATCH(C$6,Data[#Headers],0))</f>
        <v>545349</v>
      </c>
      <c r="D225" s="160">
        <f>INDEX(Data[],MATCH($A225,Data[Dist],0),MATCH(D$6,Data[#Headers],0))</f>
        <v>541807</v>
      </c>
      <c r="E225" s="160">
        <f>INDEX(Data[],MATCH($A225,Data[Dist],0),MATCH(E$6,Data[#Headers],0))</f>
        <v>541807</v>
      </c>
      <c r="F225" s="160">
        <f>INDEX(Data[],MATCH($A225,Data[Dist],0),MATCH(F$6,Data[#Headers],0))</f>
        <v>541805</v>
      </c>
      <c r="G225" s="22">
        <f>INDEX(Data[],MATCH($A225,Data[Dist],0),MATCH(G$6,Data[#Headers],0))</f>
        <v>1636047</v>
      </c>
      <c r="H225" s="22">
        <f>INDEX(Data[],MATCH($A225,Data[Dist],0),MATCH(H$6,Data[#Headers],0))-G225</f>
        <v>3817441</v>
      </c>
      <c r="I225" s="25"/>
      <c r="J225" s="22">
        <f>INDEX(Notes!$I$2:$N$11,MATCH(Notes!$B$2,Notes!$I$2:$I$11,0),4)*$C225</f>
        <v>1636047</v>
      </c>
      <c r="K225" s="22">
        <f>INDEX(Notes!$I$2:$N$11,MATCH(Notes!$B$2,Notes!$I$2:$I$11,0),5)*$D225</f>
        <v>0</v>
      </c>
      <c r="L225" s="22">
        <f>INDEX(Notes!$I$2:$N$11,MATCH(Notes!$B$2,Notes!$I$2:$I$11,0),6)*$E225</f>
        <v>0</v>
      </c>
      <c r="M225" s="22">
        <f>IF(Notes!$B$2="June",'Payment Total'!$F225,0)</f>
        <v>0</v>
      </c>
      <c r="N225" s="22">
        <f t="shared" si="12"/>
        <v>0</v>
      </c>
      <c r="P225" s="26" t="s">
        <v>1061</v>
      </c>
      <c r="Q225" s="26">
        <v>545349</v>
      </c>
      <c r="R225" s="21" t="str">
        <f t="shared" si="13"/>
        <v>4860</v>
      </c>
      <c r="S225" s="44" t="str">
        <f t="shared" si="14"/>
        <v>4860</v>
      </c>
      <c r="T225" s="45">
        <f t="shared" si="15"/>
        <v>0</v>
      </c>
      <c r="V225" s="45"/>
    </row>
    <row r="226" spans="1:22" s="26" customFormat="1" ht="12.75" x14ac:dyDescent="0.2">
      <c r="A226" s="20" t="str">
        <f>Data!B221</f>
        <v>4869</v>
      </c>
      <c r="B226" s="21" t="str">
        <f>INDEX(Data[],MATCH($A226,Data[Dist],0),MATCH(B$6,Data[#Headers],0))</f>
        <v>Oelwein</v>
      </c>
      <c r="C226" s="22">
        <f>INDEX(Data[],MATCH($A226,Data[Dist],0),MATCH(C$6,Data[#Headers],0))</f>
        <v>1102690</v>
      </c>
      <c r="D226" s="160">
        <f>INDEX(Data[],MATCH($A226,Data[Dist],0),MATCH(D$6,Data[#Headers],0))</f>
        <v>1097614</v>
      </c>
      <c r="E226" s="160">
        <f>INDEX(Data[],MATCH($A226,Data[Dist],0),MATCH(E$6,Data[#Headers],0))</f>
        <v>1097614</v>
      </c>
      <c r="F226" s="160">
        <f>INDEX(Data[],MATCH($A226,Data[Dist],0),MATCH(F$6,Data[#Headers],0))</f>
        <v>1097614</v>
      </c>
      <c r="G226" s="22">
        <f>INDEX(Data[],MATCH($A226,Data[Dist],0),MATCH(G$6,Data[#Headers],0))</f>
        <v>3308070</v>
      </c>
      <c r="H226" s="22">
        <f>INDEX(Data[],MATCH($A226,Data[Dist],0),MATCH(H$6,Data[#Headers],0))-G226</f>
        <v>7718832</v>
      </c>
      <c r="I226" s="25"/>
      <c r="J226" s="22">
        <f>INDEX(Notes!$I$2:$N$11,MATCH(Notes!$B$2,Notes!$I$2:$I$11,0),4)*$C226</f>
        <v>3308070</v>
      </c>
      <c r="K226" s="22">
        <f>INDEX(Notes!$I$2:$N$11,MATCH(Notes!$B$2,Notes!$I$2:$I$11,0),5)*$D226</f>
        <v>0</v>
      </c>
      <c r="L226" s="22">
        <f>INDEX(Notes!$I$2:$N$11,MATCH(Notes!$B$2,Notes!$I$2:$I$11,0),6)*$E226</f>
        <v>0</v>
      </c>
      <c r="M226" s="22">
        <f>IF(Notes!$B$2="June",'Payment Total'!$F226,0)</f>
        <v>0</v>
      </c>
      <c r="N226" s="22">
        <f t="shared" si="12"/>
        <v>0</v>
      </c>
      <c r="P226" s="26" t="s">
        <v>1062</v>
      </c>
      <c r="Q226" s="26">
        <v>1102690</v>
      </c>
      <c r="R226" s="21" t="str">
        <f t="shared" si="13"/>
        <v>4869</v>
      </c>
      <c r="S226" s="44" t="str">
        <f t="shared" si="14"/>
        <v>4869</v>
      </c>
      <c r="T226" s="45">
        <f t="shared" si="15"/>
        <v>0</v>
      </c>
      <c r="V226" s="45"/>
    </row>
    <row r="227" spans="1:22" s="26" customFormat="1" ht="12.75" x14ac:dyDescent="0.2">
      <c r="A227" s="20" t="str">
        <f>Data!B222</f>
        <v>4878</v>
      </c>
      <c r="B227" s="21" t="str">
        <f>INDEX(Data[],MATCH($A227,Data[Dist],0),MATCH(B$6,Data[#Headers],0))</f>
        <v>Ogden</v>
      </c>
      <c r="C227" s="22">
        <f>INDEX(Data[],MATCH($A227,Data[Dist],0),MATCH(C$6,Data[#Headers],0))</f>
        <v>333622</v>
      </c>
      <c r="D227" s="160">
        <f>INDEX(Data[],MATCH($A227,Data[Dist],0),MATCH(D$6,Data[#Headers],0))</f>
        <v>331364</v>
      </c>
      <c r="E227" s="160">
        <f>INDEX(Data[],MATCH($A227,Data[Dist],0),MATCH(E$6,Data[#Headers],0))</f>
        <v>331364</v>
      </c>
      <c r="F227" s="160">
        <f>INDEX(Data[],MATCH($A227,Data[Dist],0),MATCH(F$6,Data[#Headers],0))</f>
        <v>331363</v>
      </c>
      <c r="G227" s="22">
        <f>INDEX(Data[],MATCH($A227,Data[Dist],0),MATCH(G$6,Data[#Headers],0))</f>
        <v>1000866</v>
      </c>
      <c r="H227" s="22">
        <f>INDEX(Data[],MATCH($A227,Data[Dist],0),MATCH(H$6,Data[#Headers],0))-G227</f>
        <v>2335353</v>
      </c>
      <c r="I227" s="25"/>
      <c r="J227" s="22">
        <f>INDEX(Notes!$I$2:$N$11,MATCH(Notes!$B$2,Notes!$I$2:$I$11,0),4)*$C227</f>
        <v>1000866</v>
      </c>
      <c r="K227" s="22">
        <f>INDEX(Notes!$I$2:$N$11,MATCH(Notes!$B$2,Notes!$I$2:$I$11,0),5)*$D227</f>
        <v>0</v>
      </c>
      <c r="L227" s="22">
        <f>INDEX(Notes!$I$2:$N$11,MATCH(Notes!$B$2,Notes!$I$2:$I$11,0),6)*$E227</f>
        <v>0</v>
      </c>
      <c r="M227" s="22">
        <f>IF(Notes!$B$2="June",'Payment Total'!$F227,0)</f>
        <v>0</v>
      </c>
      <c r="N227" s="22">
        <f t="shared" si="12"/>
        <v>0</v>
      </c>
      <c r="P227" s="26" t="s">
        <v>1063</v>
      </c>
      <c r="Q227" s="26">
        <v>333622</v>
      </c>
      <c r="R227" s="21" t="str">
        <f t="shared" si="13"/>
        <v>4878</v>
      </c>
      <c r="S227" s="44" t="str">
        <f t="shared" si="14"/>
        <v>4878</v>
      </c>
      <c r="T227" s="45">
        <f t="shared" si="15"/>
        <v>0</v>
      </c>
      <c r="V227" s="45"/>
    </row>
    <row r="228" spans="1:22" s="26" customFormat="1" ht="12.75" x14ac:dyDescent="0.2">
      <c r="A228" s="20" t="str">
        <f>Data!B223</f>
        <v>4890</v>
      </c>
      <c r="B228" s="21" t="str">
        <f>INDEX(Data[],MATCH($A228,Data[Dist],0),MATCH(B$6,Data[#Headers],0))</f>
        <v>Okoboji</v>
      </c>
      <c r="C228" s="22">
        <f>INDEX(Data[],MATCH($A228,Data[Dist],0),MATCH(C$6,Data[#Headers],0))</f>
        <v>82193</v>
      </c>
      <c r="D228" s="160">
        <f>INDEX(Data[],MATCH($A228,Data[Dist],0),MATCH(D$6,Data[#Headers],0))</f>
        <v>78112</v>
      </c>
      <c r="E228" s="160">
        <f>INDEX(Data[],MATCH($A228,Data[Dist],0),MATCH(E$6,Data[#Headers],0))</f>
        <v>78113</v>
      </c>
      <c r="F228" s="160">
        <f>INDEX(Data[],MATCH($A228,Data[Dist],0),MATCH(F$6,Data[#Headers],0))</f>
        <v>78111</v>
      </c>
      <c r="G228" s="22">
        <f>INDEX(Data[],MATCH($A228,Data[Dist],0),MATCH(G$6,Data[#Headers],0))</f>
        <v>246579</v>
      </c>
      <c r="H228" s="22">
        <f>INDEX(Data[],MATCH($A228,Data[Dist],0),MATCH(H$6,Data[#Headers],0))-G228</f>
        <v>575348</v>
      </c>
      <c r="I228" s="25"/>
      <c r="J228" s="22">
        <f>INDEX(Notes!$I$2:$N$11,MATCH(Notes!$B$2,Notes!$I$2:$I$11,0),4)*$C228</f>
        <v>246579</v>
      </c>
      <c r="K228" s="22">
        <f>INDEX(Notes!$I$2:$N$11,MATCH(Notes!$B$2,Notes!$I$2:$I$11,0),5)*$D228</f>
        <v>0</v>
      </c>
      <c r="L228" s="22">
        <f>INDEX(Notes!$I$2:$N$11,MATCH(Notes!$B$2,Notes!$I$2:$I$11,0),6)*$E228</f>
        <v>0</v>
      </c>
      <c r="M228" s="22">
        <f>IF(Notes!$B$2="June",'Payment Total'!$F228,0)</f>
        <v>0</v>
      </c>
      <c r="N228" s="22">
        <f t="shared" si="12"/>
        <v>0</v>
      </c>
      <c r="P228" s="26" t="s">
        <v>1064</v>
      </c>
      <c r="Q228" s="26">
        <v>82193</v>
      </c>
      <c r="R228" s="21" t="str">
        <f t="shared" si="13"/>
        <v>4890</v>
      </c>
      <c r="S228" s="44" t="str">
        <f t="shared" si="14"/>
        <v>4890</v>
      </c>
      <c r="T228" s="45">
        <f t="shared" si="15"/>
        <v>0</v>
      </c>
      <c r="V228" s="45"/>
    </row>
    <row r="229" spans="1:22" s="26" customFormat="1" ht="12.75" x14ac:dyDescent="0.2">
      <c r="A229" s="20" t="str">
        <f>Data!B224</f>
        <v>4905</v>
      </c>
      <c r="B229" s="21" t="str">
        <f>INDEX(Data[],MATCH($A229,Data[Dist],0),MATCH(B$6,Data[#Headers],0))</f>
        <v>Olin</v>
      </c>
      <c r="C229" s="22">
        <f>INDEX(Data[],MATCH($A229,Data[Dist],0),MATCH(C$6,Data[#Headers],0))</f>
        <v>147132</v>
      </c>
      <c r="D229" s="160">
        <f>INDEX(Data[],MATCH($A229,Data[Dist],0),MATCH(D$6,Data[#Headers],0))</f>
        <v>146308</v>
      </c>
      <c r="E229" s="160">
        <f>INDEX(Data[],MATCH($A229,Data[Dist],0),MATCH(E$6,Data[#Headers],0))</f>
        <v>146308</v>
      </c>
      <c r="F229" s="160">
        <f>INDEX(Data[],MATCH($A229,Data[Dist],0),MATCH(F$6,Data[#Headers],0))</f>
        <v>146306</v>
      </c>
      <c r="G229" s="22">
        <f>INDEX(Data[],MATCH($A229,Data[Dist],0),MATCH(G$6,Data[#Headers],0))</f>
        <v>441396</v>
      </c>
      <c r="H229" s="22">
        <f>INDEX(Data[],MATCH($A229,Data[Dist],0),MATCH(H$6,Data[#Headers],0))-G229</f>
        <v>1029928</v>
      </c>
      <c r="I229" s="25"/>
      <c r="J229" s="22">
        <f>INDEX(Notes!$I$2:$N$11,MATCH(Notes!$B$2,Notes!$I$2:$I$11,0),4)*$C229</f>
        <v>441396</v>
      </c>
      <c r="K229" s="22">
        <f>INDEX(Notes!$I$2:$N$11,MATCH(Notes!$B$2,Notes!$I$2:$I$11,0),5)*$D229</f>
        <v>0</v>
      </c>
      <c r="L229" s="22">
        <f>INDEX(Notes!$I$2:$N$11,MATCH(Notes!$B$2,Notes!$I$2:$I$11,0),6)*$E229</f>
        <v>0</v>
      </c>
      <c r="M229" s="22">
        <f>IF(Notes!$B$2="June",'Payment Total'!$F229,0)</f>
        <v>0</v>
      </c>
      <c r="N229" s="22">
        <f t="shared" si="12"/>
        <v>0</v>
      </c>
      <c r="P229" s="26" t="s">
        <v>1065</v>
      </c>
      <c r="Q229" s="26">
        <v>147132</v>
      </c>
      <c r="R229" s="21" t="str">
        <f t="shared" si="13"/>
        <v>4905</v>
      </c>
      <c r="S229" s="44" t="str">
        <f t="shared" si="14"/>
        <v>4905</v>
      </c>
      <c r="T229" s="45">
        <f t="shared" si="15"/>
        <v>0</v>
      </c>
      <c r="V229" s="45"/>
    </row>
    <row r="230" spans="1:22" s="26" customFormat="1" ht="12.75" x14ac:dyDescent="0.2">
      <c r="A230" s="20" t="str">
        <f>Data!B225</f>
        <v>4978</v>
      </c>
      <c r="B230" s="21" t="str">
        <f>INDEX(Data[],MATCH($A230,Data[Dist],0),MATCH(B$6,Data[#Headers],0))</f>
        <v>Orient-Macksburg</v>
      </c>
      <c r="C230" s="22">
        <f>INDEX(Data[],MATCH($A230,Data[Dist],0),MATCH(C$6,Data[#Headers],0))</f>
        <v>80879</v>
      </c>
      <c r="D230" s="160">
        <f>INDEX(Data[],MATCH($A230,Data[Dist],0),MATCH(D$6,Data[#Headers],0))</f>
        <v>80198</v>
      </c>
      <c r="E230" s="160">
        <f>INDEX(Data[],MATCH($A230,Data[Dist],0),MATCH(E$6,Data[#Headers],0))</f>
        <v>80198</v>
      </c>
      <c r="F230" s="160">
        <f>INDEX(Data[],MATCH($A230,Data[Dist],0),MATCH(F$6,Data[#Headers],0))</f>
        <v>80197</v>
      </c>
      <c r="G230" s="22">
        <f>INDEX(Data[],MATCH($A230,Data[Dist],0),MATCH(G$6,Data[#Headers],0))</f>
        <v>242637</v>
      </c>
      <c r="H230" s="22">
        <f>INDEX(Data[],MATCH($A230,Data[Dist],0),MATCH(H$6,Data[#Headers],0))-G230</f>
        <v>566157</v>
      </c>
      <c r="I230" s="25"/>
      <c r="J230" s="22">
        <f>INDEX(Notes!$I$2:$N$11,MATCH(Notes!$B$2,Notes!$I$2:$I$11,0),4)*$C230</f>
        <v>242637</v>
      </c>
      <c r="K230" s="22">
        <f>INDEX(Notes!$I$2:$N$11,MATCH(Notes!$B$2,Notes!$I$2:$I$11,0),5)*$D230</f>
        <v>0</v>
      </c>
      <c r="L230" s="22">
        <f>INDEX(Notes!$I$2:$N$11,MATCH(Notes!$B$2,Notes!$I$2:$I$11,0),6)*$E230</f>
        <v>0</v>
      </c>
      <c r="M230" s="22">
        <f>IF(Notes!$B$2="June",'Payment Total'!$F230,0)</f>
        <v>0</v>
      </c>
      <c r="N230" s="22">
        <f t="shared" si="12"/>
        <v>0</v>
      </c>
      <c r="P230" s="26" t="s">
        <v>1066</v>
      </c>
      <c r="Q230" s="26">
        <v>80879</v>
      </c>
      <c r="R230" s="21" t="str">
        <f t="shared" si="13"/>
        <v>4978</v>
      </c>
      <c r="S230" s="44" t="str">
        <f t="shared" si="14"/>
        <v>4978</v>
      </c>
      <c r="T230" s="45">
        <f t="shared" si="15"/>
        <v>0</v>
      </c>
      <c r="V230" s="45"/>
    </row>
    <row r="231" spans="1:22" s="26" customFormat="1" ht="12.75" x14ac:dyDescent="0.2">
      <c r="A231" s="20" t="str">
        <f>Data!B226</f>
        <v>4995</v>
      </c>
      <c r="B231" s="21" t="str">
        <f>INDEX(Data[],MATCH($A231,Data[Dist],0),MATCH(B$6,Data[#Headers],0))</f>
        <v>Osage</v>
      </c>
      <c r="C231" s="22">
        <f>INDEX(Data[],MATCH($A231,Data[Dist],0),MATCH(C$6,Data[#Headers],0))</f>
        <v>591936</v>
      </c>
      <c r="D231" s="160">
        <f>INDEX(Data[],MATCH($A231,Data[Dist],0),MATCH(D$6,Data[#Headers],0))</f>
        <v>588518</v>
      </c>
      <c r="E231" s="160">
        <f>INDEX(Data[],MATCH($A231,Data[Dist],0),MATCH(E$6,Data[#Headers],0))</f>
        <v>588518</v>
      </c>
      <c r="F231" s="160">
        <f>INDEX(Data[],MATCH($A231,Data[Dist],0),MATCH(F$6,Data[#Headers],0))</f>
        <v>588516</v>
      </c>
      <c r="G231" s="22">
        <f>INDEX(Data[],MATCH($A231,Data[Dist],0),MATCH(G$6,Data[#Headers],0))</f>
        <v>1775808</v>
      </c>
      <c r="H231" s="22">
        <f>INDEX(Data[],MATCH($A231,Data[Dist],0),MATCH(H$6,Data[#Headers],0))-G231</f>
        <v>4143547</v>
      </c>
      <c r="I231" s="25"/>
      <c r="J231" s="22">
        <f>INDEX(Notes!$I$2:$N$11,MATCH(Notes!$B$2,Notes!$I$2:$I$11,0),4)*$C231</f>
        <v>1775808</v>
      </c>
      <c r="K231" s="22">
        <f>INDEX(Notes!$I$2:$N$11,MATCH(Notes!$B$2,Notes!$I$2:$I$11,0),5)*$D231</f>
        <v>0</v>
      </c>
      <c r="L231" s="22">
        <f>INDEX(Notes!$I$2:$N$11,MATCH(Notes!$B$2,Notes!$I$2:$I$11,0),6)*$E231</f>
        <v>0</v>
      </c>
      <c r="M231" s="22">
        <f>IF(Notes!$B$2="June",'Payment Total'!$F231,0)</f>
        <v>0</v>
      </c>
      <c r="N231" s="22">
        <f t="shared" si="12"/>
        <v>0</v>
      </c>
      <c r="P231" s="26" t="s">
        <v>1067</v>
      </c>
      <c r="Q231" s="26">
        <v>591936</v>
      </c>
      <c r="R231" s="21" t="str">
        <f t="shared" si="13"/>
        <v>4995</v>
      </c>
      <c r="S231" s="44" t="str">
        <f t="shared" si="14"/>
        <v>4995</v>
      </c>
      <c r="T231" s="45">
        <f t="shared" si="15"/>
        <v>0</v>
      </c>
      <c r="V231" s="45"/>
    </row>
    <row r="232" spans="1:22" s="26" customFormat="1" ht="12.75" x14ac:dyDescent="0.2">
      <c r="A232" s="20" t="str">
        <f>Data!B227</f>
        <v>5013</v>
      </c>
      <c r="B232" s="21" t="str">
        <f>INDEX(Data[],MATCH($A232,Data[Dist],0),MATCH(B$6,Data[#Headers],0))</f>
        <v>Oskaloosa</v>
      </c>
      <c r="C232" s="22">
        <f>INDEX(Data[],MATCH($A232,Data[Dist],0),MATCH(C$6,Data[#Headers],0))</f>
        <v>1700725</v>
      </c>
      <c r="D232" s="160">
        <f>INDEX(Data[],MATCH($A232,Data[Dist],0),MATCH(D$6,Data[#Headers],0))</f>
        <v>1692094</v>
      </c>
      <c r="E232" s="160">
        <f>INDEX(Data[],MATCH($A232,Data[Dist],0),MATCH(E$6,Data[#Headers],0))</f>
        <v>1692093</v>
      </c>
      <c r="F232" s="160">
        <f>INDEX(Data[],MATCH($A232,Data[Dist],0),MATCH(F$6,Data[#Headers],0))</f>
        <v>1692094</v>
      </c>
      <c r="G232" s="22">
        <f>INDEX(Data[],MATCH($A232,Data[Dist],0),MATCH(G$6,Data[#Headers],0))</f>
        <v>5102175</v>
      </c>
      <c r="H232" s="22">
        <f>INDEX(Data[],MATCH($A232,Data[Dist],0),MATCH(H$6,Data[#Headers],0))-G232</f>
        <v>11905074</v>
      </c>
      <c r="I232" s="25"/>
      <c r="J232" s="22">
        <f>INDEX(Notes!$I$2:$N$11,MATCH(Notes!$B$2,Notes!$I$2:$I$11,0),4)*$C232</f>
        <v>5102175</v>
      </c>
      <c r="K232" s="22">
        <f>INDEX(Notes!$I$2:$N$11,MATCH(Notes!$B$2,Notes!$I$2:$I$11,0),5)*$D232</f>
        <v>0</v>
      </c>
      <c r="L232" s="22">
        <f>INDEX(Notes!$I$2:$N$11,MATCH(Notes!$B$2,Notes!$I$2:$I$11,0),6)*$E232</f>
        <v>0</v>
      </c>
      <c r="M232" s="22">
        <f>IF(Notes!$B$2="June",'Payment Total'!$F232,0)</f>
        <v>0</v>
      </c>
      <c r="N232" s="22">
        <f t="shared" si="12"/>
        <v>0</v>
      </c>
      <c r="P232" s="26" t="s">
        <v>1068</v>
      </c>
      <c r="Q232" s="26">
        <v>1700725</v>
      </c>
      <c r="R232" s="21" t="str">
        <f t="shared" si="13"/>
        <v>5013</v>
      </c>
      <c r="S232" s="44" t="str">
        <f t="shared" si="14"/>
        <v>5013</v>
      </c>
      <c r="T232" s="45">
        <f t="shared" si="15"/>
        <v>0</v>
      </c>
      <c r="V232" s="45"/>
    </row>
    <row r="233" spans="1:22" s="26" customFormat="1" ht="12.75" x14ac:dyDescent="0.2">
      <c r="A233" s="20" t="str">
        <f>Data!B228</f>
        <v>5049</v>
      </c>
      <c r="B233" s="21" t="str">
        <f>INDEX(Data[],MATCH($A233,Data[Dist],0),MATCH(B$6,Data[#Headers],0))</f>
        <v>Ottumwa</v>
      </c>
      <c r="C233" s="22">
        <f>INDEX(Data[],MATCH($A233,Data[Dist],0),MATCH(C$6,Data[#Headers],0))</f>
        <v>4488998</v>
      </c>
      <c r="D233" s="160">
        <f>INDEX(Data[],MATCH($A233,Data[Dist],0),MATCH(D$6,Data[#Headers],0))</f>
        <v>4469599</v>
      </c>
      <c r="E233" s="160">
        <f>INDEX(Data[],MATCH($A233,Data[Dist],0),MATCH(E$6,Data[#Headers],0))</f>
        <v>4469598</v>
      </c>
      <c r="F233" s="160">
        <f>INDEX(Data[],MATCH($A233,Data[Dist],0),MATCH(F$6,Data[#Headers],0))</f>
        <v>4469599</v>
      </c>
      <c r="G233" s="22">
        <f>INDEX(Data[],MATCH($A233,Data[Dist],0),MATCH(G$6,Data[#Headers],0))</f>
        <v>13466994</v>
      </c>
      <c r="H233" s="22">
        <f>INDEX(Data[],MATCH($A233,Data[Dist],0),MATCH(H$6,Data[#Headers],0))-G233</f>
        <v>31422981</v>
      </c>
      <c r="I233" s="25"/>
      <c r="J233" s="22">
        <f>INDEX(Notes!$I$2:$N$11,MATCH(Notes!$B$2,Notes!$I$2:$I$11,0),4)*$C233</f>
        <v>13466994</v>
      </c>
      <c r="K233" s="22">
        <f>INDEX(Notes!$I$2:$N$11,MATCH(Notes!$B$2,Notes!$I$2:$I$11,0),5)*$D233</f>
        <v>0</v>
      </c>
      <c r="L233" s="22">
        <f>INDEX(Notes!$I$2:$N$11,MATCH(Notes!$B$2,Notes!$I$2:$I$11,0),6)*$E233</f>
        <v>0</v>
      </c>
      <c r="M233" s="22">
        <f>IF(Notes!$B$2="June",'Payment Total'!$F233,0)</f>
        <v>0</v>
      </c>
      <c r="N233" s="22">
        <f t="shared" si="12"/>
        <v>0</v>
      </c>
      <c r="P233" s="26" t="s">
        <v>1069</v>
      </c>
      <c r="Q233" s="26">
        <v>4488998</v>
      </c>
      <c r="R233" s="21" t="str">
        <f t="shared" si="13"/>
        <v>5049</v>
      </c>
      <c r="S233" s="44" t="str">
        <f t="shared" si="14"/>
        <v>5049</v>
      </c>
      <c r="T233" s="45">
        <f t="shared" si="15"/>
        <v>0</v>
      </c>
      <c r="V233" s="45"/>
    </row>
    <row r="234" spans="1:22" s="26" customFormat="1" ht="12.75" x14ac:dyDescent="0.2">
      <c r="A234" s="20" t="str">
        <f>Data!B229</f>
        <v>5121</v>
      </c>
      <c r="B234" s="21" t="str">
        <f>INDEX(Data[],MATCH($A234,Data[Dist],0),MATCH(B$6,Data[#Headers],0))</f>
        <v>Panorama</v>
      </c>
      <c r="C234" s="22">
        <f>INDEX(Data[],MATCH($A234,Data[Dist],0),MATCH(C$6,Data[#Headers],0))</f>
        <v>356312</v>
      </c>
      <c r="D234" s="160">
        <f>INDEX(Data[],MATCH($A234,Data[Dist],0),MATCH(D$6,Data[#Headers],0))</f>
        <v>353851</v>
      </c>
      <c r="E234" s="160">
        <f>INDEX(Data[],MATCH($A234,Data[Dist],0),MATCH(E$6,Data[#Headers],0))</f>
        <v>353851</v>
      </c>
      <c r="F234" s="160">
        <f>INDEX(Data[],MATCH($A234,Data[Dist],0),MATCH(F$6,Data[#Headers],0))</f>
        <v>353849</v>
      </c>
      <c r="G234" s="22">
        <f>INDEX(Data[],MATCH($A234,Data[Dist],0),MATCH(G$6,Data[#Headers],0))</f>
        <v>1068936</v>
      </c>
      <c r="H234" s="22">
        <f>INDEX(Data[],MATCH($A234,Data[Dist],0),MATCH(H$6,Data[#Headers],0))-G234</f>
        <v>2494183</v>
      </c>
      <c r="I234" s="25"/>
      <c r="J234" s="22">
        <f>INDEX(Notes!$I$2:$N$11,MATCH(Notes!$B$2,Notes!$I$2:$I$11,0),4)*$C234</f>
        <v>1068936</v>
      </c>
      <c r="K234" s="22">
        <f>INDEX(Notes!$I$2:$N$11,MATCH(Notes!$B$2,Notes!$I$2:$I$11,0),5)*$D234</f>
        <v>0</v>
      </c>
      <c r="L234" s="22">
        <f>INDEX(Notes!$I$2:$N$11,MATCH(Notes!$B$2,Notes!$I$2:$I$11,0),6)*$E234</f>
        <v>0</v>
      </c>
      <c r="M234" s="22">
        <f>IF(Notes!$B$2="June",'Payment Total'!$F234,0)</f>
        <v>0</v>
      </c>
      <c r="N234" s="22">
        <f t="shared" si="12"/>
        <v>0</v>
      </c>
      <c r="P234" s="26" t="s">
        <v>1070</v>
      </c>
      <c r="Q234" s="26">
        <v>356312</v>
      </c>
      <c r="R234" s="21" t="str">
        <f t="shared" si="13"/>
        <v>5121</v>
      </c>
      <c r="S234" s="44" t="str">
        <f t="shared" si="14"/>
        <v>5121</v>
      </c>
      <c r="T234" s="45">
        <f t="shared" si="15"/>
        <v>0</v>
      </c>
      <c r="V234" s="45"/>
    </row>
    <row r="235" spans="1:22" s="26" customFormat="1" ht="12.75" x14ac:dyDescent="0.2">
      <c r="A235" s="20" t="str">
        <f>Data!B230</f>
        <v>5139</v>
      </c>
      <c r="B235" s="21" t="str">
        <f>INDEX(Data[],MATCH($A235,Data[Dist],0),MATCH(B$6,Data[#Headers],0))</f>
        <v>Paton-Churdan</v>
      </c>
      <c r="C235" s="22">
        <f>INDEX(Data[],MATCH($A235,Data[Dist],0),MATCH(C$6,Data[#Headers],0))</f>
        <v>100988</v>
      </c>
      <c r="D235" s="160">
        <f>INDEX(Data[],MATCH($A235,Data[Dist],0),MATCH(D$6,Data[#Headers],0))</f>
        <v>100274</v>
      </c>
      <c r="E235" s="160">
        <f>INDEX(Data[],MATCH($A235,Data[Dist],0),MATCH(E$6,Data[#Headers],0))</f>
        <v>100274</v>
      </c>
      <c r="F235" s="160">
        <f>INDEX(Data[],MATCH($A235,Data[Dist],0),MATCH(F$6,Data[#Headers],0))</f>
        <v>100272</v>
      </c>
      <c r="G235" s="22">
        <f>INDEX(Data[],MATCH($A235,Data[Dist],0),MATCH(G$6,Data[#Headers],0))</f>
        <v>302964</v>
      </c>
      <c r="H235" s="22">
        <f>INDEX(Data[],MATCH($A235,Data[Dist],0),MATCH(H$6,Data[#Headers],0))-G235</f>
        <v>706919</v>
      </c>
      <c r="I235" s="25"/>
      <c r="J235" s="22">
        <f>INDEX(Notes!$I$2:$N$11,MATCH(Notes!$B$2,Notes!$I$2:$I$11,0),4)*$C235</f>
        <v>302964</v>
      </c>
      <c r="K235" s="22">
        <f>INDEX(Notes!$I$2:$N$11,MATCH(Notes!$B$2,Notes!$I$2:$I$11,0),5)*$D235</f>
        <v>0</v>
      </c>
      <c r="L235" s="22">
        <f>INDEX(Notes!$I$2:$N$11,MATCH(Notes!$B$2,Notes!$I$2:$I$11,0),6)*$E235</f>
        <v>0</v>
      </c>
      <c r="M235" s="22">
        <f>IF(Notes!$B$2="June",'Payment Total'!$F235,0)</f>
        <v>0</v>
      </c>
      <c r="N235" s="22">
        <f t="shared" si="12"/>
        <v>0</v>
      </c>
      <c r="P235" s="26" t="s">
        <v>1071</v>
      </c>
      <c r="Q235" s="26">
        <v>100988</v>
      </c>
      <c r="R235" s="21" t="str">
        <f t="shared" si="13"/>
        <v>5139</v>
      </c>
      <c r="S235" s="44" t="str">
        <f t="shared" si="14"/>
        <v>5139</v>
      </c>
      <c r="T235" s="45">
        <f t="shared" si="15"/>
        <v>0</v>
      </c>
      <c r="V235" s="45"/>
    </row>
    <row r="236" spans="1:22" s="26" customFormat="1" ht="12.75" x14ac:dyDescent="0.2">
      <c r="A236" s="20" t="str">
        <f>Data!B231</f>
        <v>5157</v>
      </c>
      <c r="B236" s="21" t="str">
        <f>INDEX(Data[],MATCH($A236,Data[Dist],0),MATCH(B$6,Data[#Headers],0))</f>
        <v>South O'Brien</v>
      </c>
      <c r="C236" s="22">
        <f>INDEX(Data[],MATCH($A236,Data[Dist],0),MATCH(C$6,Data[#Headers],0))</f>
        <v>177140</v>
      </c>
      <c r="D236" s="160">
        <f>INDEX(Data[],MATCH($A236,Data[Dist],0),MATCH(D$6,Data[#Headers],0))</f>
        <v>174991</v>
      </c>
      <c r="E236" s="160">
        <f>INDEX(Data[],MATCH($A236,Data[Dist],0),MATCH(E$6,Data[#Headers],0))</f>
        <v>174991</v>
      </c>
      <c r="F236" s="160">
        <f>INDEX(Data[],MATCH($A236,Data[Dist],0),MATCH(F$6,Data[#Headers],0))</f>
        <v>174989</v>
      </c>
      <c r="G236" s="22">
        <f>INDEX(Data[],MATCH($A236,Data[Dist],0),MATCH(G$6,Data[#Headers],0))</f>
        <v>531420</v>
      </c>
      <c r="H236" s="22">
        <f>INDEX(Data[],MATCH($A236,Data[Dist],0),MATCH(H$6,Data[#Headers],0))-G236</f>
        <v>1239982</v>
      </c>
      <c r="I236" s="25"/>
      <c r="J236" s="22">
        <f>INDEX(Notes!$I$2:$N$11,MATCH(Notes!$B$2,Notes!$I$2:$I$11,0),4)*$C236</f>
        <v>531420</v>
      </c>
      <c r="K236" s="22">
        <f>INDEX(Notes!$I$2:$N$11,MATCH(Notes!$B$2,Notes!$I$2:$I$11,0),5)*$D236</f>
        <v>0</v>
      </c>
      <c r="L236" s="22">
        <f>INDEX(Notes!$I$2:$N$11,MATCH(Notes!$B$2,Notes!$I$2:$I$11,0),6)*$E236</f>
        <v>0</v>
      </c>
      <c r="M236" s="22">
        <f>IF(Notes!$B$2="June",'Payment Total'!$F236,0)</f>
        <v>0</v>
      </c>
      <c r="N236" s="22">
        <f t="shared" si="12"/>
        <v>0</v>
      </c>
      <c r="P236" s="26" t="s">
        <v>1072</v>
      </c>
      <c r="Q236" s="26">
        <v>177140</v>
      </c>
      <c r="R236" s="21" t="str">
        <f t="shared" si="13"/>
        <v>6099</v>
      </c>
      <c r="S236" s="44" t="str">
        <f t="shared" si="14"/>
        <v>5157</v>
      </c>
      <c r="T236" s="45">
        <f t="shared" si="15"/>
        <v>0</v>
      </c>
      <c r="V236" s="45"/>
    </row>
    <row r="237" spans="1:22" s="26" customFormat="1" ht="12.75" x14ac:dyDescent="0.2">
      <c r="A237" s="20" t="str">
        <f>Data!B232</f>
        <v>5163</v>
      </c>
      <c r="B237" s="21" t="str">
        <f>INDEX(Data[],MATCH($A237,Data[Dist],0),MATCH(B$6,Data[#Headers],0))</f>
        <v>Pekin</v>
      </c>
      <c r="C237" s="22">
        <f>INDEX(Data[],MATCH($A237,Data[Dist],0),MATCH(C$6,Data[#Headers],0))</f>
        <v>328142</v>
      </c>
      <c r="D237" s="160">
        <f>INDEX(Data[],MATCH($A237,Data[Dist],0),MATCH(D$6,Data[#Headers],0))</f>
        <v>326040</v>
      </c>
      <c r="E237" s="160">
        <f>INDEX(Data[],MATCH($A237,Data[Dist],0),MATCH(E$6,Data[#Headers],0))</f>
        <v>326040</v>
      </c>
      <c r="F237" s="160">
        <f>INDEX(Data[],MATCH($A237,Data[Dist],0),MATCH(F$6,Data[#Headers],0))</f>
        <v>326039</v>
      </c>
      <c r="G237" s="22">
        <f>INDEX(Data[],MATCH($A237,Data[Dist],0),MATCH(G$6,Data[#Headers],0))</f>
        <v>984426</v>
      </c>
      <c r="H237" s="22">
        <f>INDEX(Data[],MATCH($A237,Data[Dist],0),MATCH(H$6,Data[#Headers],0))-G237</f>
        <v>2296994</v>
      </c>
      <c r="I237" s="25"/>
      <c r="J237" s="22">
        <f>INDEX(Notes!$I$2:$N$11,MATCH(Notes!$B$2,Notes!$I$2:$I$11,0),4)*$C237</f>
        <v>984426</v>
      </c>
      <c r="K237" s="22">
        <f>INDEX(Notes!$I$2:$N$11,MATCH(Notes!$B$2,Notes!$I$2:$I$11,0),5)*$D237</f>
        <v>0</v>
      </c>
      <c r="L237" s="22">
        <f>INDEX(Notes!$I$2:$N$11,MATCH(Notes!$B$2,Notes!$I$2:$I$11,0),6)*$E237</f>
        <v>0</v>
      </c>
      <c r="M237" s="22">
        <f>IF(Notes!$B$2="June",'Payment Total'!$F237,0)</f>
        <v>0</v>
      </c>
      <c r="N237" s="22">
        <f t="shared" si="12"/>
        <v>0</v>
      </c>
      <c r="P237" s="26" t="s">
        <v>1073</v>
      </c>
      <c r="Q237" s="26">
        <v>328142</v>
      </c>
      <c r="R237" s="21" t="str">
        <f t="shared" si="13"/>
        <v>5163</v>
      </c>
      <c r="S237" s="44" t="str">
        <f t="shared" si="14"/>
        <v>5163</v>
      </c>
      <c r="T237" s="45">
        <f t="shared" si="15"/>
        <v>0</v>
      </c>
      <c r="V237" s="45"/>
    </row>
    <row r="238" spans="1:22" s="26" customFormat="1" ht="12.75" x14ac:dyDescent="0.2">
      <c r="A238" s="20" t="str">
        <f>Data!B233</f>
        <v>5166</v>
      </c>
      <c r="B238" s="21" t="str">
        <f>INDEX(Data[],MATCH($A238,Data[Dist],0),MATCH(B$6,Data[#Headers],0))</f>
        <v>Pella</v>
      </c>
      <c r="C238" s="22">
        <f>INDEX(Data[],MATCH($A238,Data[Dist],0),MATCH(C$6,Data[#Headers],0))</f>
        <v>1372257</v>
      </c>
      <c r="D238" s="160">
        <f>INDEX(Data[],MATCH($A238,Data[Dist],0),MATCH(D$6,Data[#Headers],0))</f>
        <v>1363913</v>
      </c>
      <c r="E238" s="160">
        <f>INDEX(Data[],MATCH($A238,Data[Dist],0),MATCH(E$6,Data[#Headers],0))</f>
        <v>1363912</v>
      </c>
      <c r="F238" s="160">
        <f>INDEX(Data[],MATCH($A238,Data[Dist],0),MATCH(F$6,Data[#Headers],0))</f>
        <v>1363913</v>
      </c>
      <c r="G238" s="22">
        <f>INDEX(Data[],MATCH($A238,Data[Dist],0),MATCH(G$6,Data[#Headers],0))</f>
        <v>4116771</v>
      </c>
      <c r="H238" s="22">
        <f>INDEX(Data[],MATCH($A238,Data[Dist],0),MATCH(H$6,Data[#Headers],0))-G238</f>
        <v>9605800</v>
      </c>
      <c r="I238" s="25"/>
      <c r="J238" s="22">
        <f>INDEX(Notes!$I$2:$N$11,MATCH(Notes!$B$2,Notes!$I$2:$I$11,0),4)*$C238</f>
        <v>4116771</v>
      </c>
      <c r="K238" s="22">
        <f>INDEX(Notes!$I$2:$N$11,MATCH(Notes!$B$2,Notes!$I$2:$I$11,0),5)*$D238</f>
        <v>0</v>
      </c>
      <c r="L238" s="22">
        <f>INDEX(Notes!$I$2:$N$11,MATCH(Notes!$B$2,Notes!$I$2:$I$11,0),6)*$E238</f>
        <v>0</v>
      </c>
      <c r="M238" s="22">
        <f>IF(Notes!$B$2="June",'Payment Total'!$F238,0)</f>
        <v>0</v>
      </c>
      <c r="N238" s="22">
        <f t="shared" si="12"/>
        <v>0</v>
      </c>
      <c r="P238" s="26" t="s">
        <v>1074</v>
      </c>
      <c r="Q238" s="26">
        <v>1372257</v>
      </c>
      <c r="R238" s="21" t="str">
        <f t="shared" si="13"/>
        <v>5166</v>
      </c>
      <c r="S238" s="44" t="str">
        <f t="shared" si="14"/>
        <v>5166</v>
      </c>
      <c r="T238" s="45">
        <f t="shared" si="15"/>
        <v>0</v>
      </c>
      <c r="V238" s="45"/>
    </row>
    <row r="239" spans="1:22" s="26" customFormat="1" ht="12.75" x14ac:dyDescent="0.2">
      <c r="A239" s="20" t="str">
        <f>Data!B234</f>
        <v>5184</v>
      </c>
      <c r="B239" s="21" t="str">
        <f>INDEX(Data[],MATCH($A239,Data[Dist],0),MATCH(B$6,Data[#Headers],0))</f>
        <v>Perry</v>
      </c>
      <c r="C239" s="22">
        <f>INDEX(Data[],MATCH($A239,Data[Dist],0),MATCH(C$6,Data[#Headers],0))</f>
        <v>1590166</v>
      </c>
      <c r="D239" s="160">
        <f>INDEX(Data[],MATCH($A239,Data[Dist],0),MATCH(D$6,Data[#Headers],0))</f>
        <v>1583068</v>
      </c>
      <c r="E239" s="160">
        <f>INDEX(Data[],MATCH($A239,Data[Dist],0),MATCH(E$6,Data[#Headers],0))</f>
        <v>1583068</v>
      </c>
      <c r="F239" s="160">
        <f>INDEX(Data[],MATCH($A239,Data[Dist],0),MATCH(F$6,Data[#Headers],0))</f>
        <v>1583068</v>
      </c>
      <c r="G239" s="22">
        <f>INDEX(Data[],MATCH($A239,Data[Dist],0),MATCH(G$6,Data[#Headers],0))</f>
        <v>4770498</v>
      </c>
      <c r="H239" s="22">
        <f>INDEX(Data[],MATCH($A239,Data[Dist],0),MATCH(H$6,Data[#Headers],0))-G239</f>
        <v>11131163</v>
      </c>
      <c r="I239" s="25"/>
      <c r="J239" s="22">
        <f>INDEX(Notes!$I$2:$N$11,MATCH(Notes!$B$2,Notes!$I$2:$I$11,0),4)*$C239</f>
        <v>4770498</v>
      </c>
      <c r="K239" s="22">
        <f>INDEX(Notes!$I$2:$N$11,MATCH(Notes!$B$2,Notes!$I$2:$I$11,0),5)*$D239</f>
        <v>0</v>
      </c>
      <c r="L239" s="22">
        <f>INDEX(Notes!$I$2:$N$11,MATCH(Notes!$B$2,Notes!$I$2:$I$11,0),6)*$E239</f>
        <v>0</v>
      </c>
      <c r="M239" s="22">
        <f>IF(Notes!$B$2="June",'Payment Total'!$F239,0)</f>
        <v>0</v>
      </c>
      <c r="N239" s="22">
        <f t="shared" si="12"/>
        <v>0</v>
      </c>
      <c r="P239" s="26" t="s">
        <v>1075</v>
      </c>
      <c r="Q239" s="26">
        <v>1590166</v>
      </c>
      <c r="R239" s="21" t="str">
        <f t="shared" si="13"/>
        <v>5184</v>
      </c>
      <c r="S239" s="44" t="str">
        <f t="shared" si="14"/>
        <v>5184</v>
      </c>
      <c r="T239" s="45">
        <f t="shared" si="15"/>
        <v>0</v>
      </c>
      <c r="V239" s="45"/>
    </row>
    <row r="240" spans="1:22" s="26" customFormat="1" ht="12.75" x14ac:dyDescent="0.2">
      <c r="A240" s="20" t="str">
        <f>Data!B235</f>
        <v>5250</v>
      </c>
      <c r="B240" s="21" t="str">
        <f>INDEX(Data[],MATCH($A240,Data[Dist],0),MATCH(B$6,Data[#Headers],0))</f>
        <v>Pleasant Valley</v>
      </c>
      <c r="C240" s="22">
        <f>INDEX(Data[],MATCH($A240,Data[Dist],0),MATCH(C$6,Data[#Headers],0))</f>
        <v>3711897</v>
      </c>
      <c r="D240" s="160">
        <f>INDEX(Data[],MATCH($A240,Data[Dist],0),MATCH(D$6,Data[#Headers],0))</f>
        <v>3690624</v>
      </c>
      <c r="E240" s="160">
        <f>INDEX(Data[],MATCH($A240,Data[Dist],0),MATCH(E$6,Data[#Headers],0))</f>
        <v>3690624</v>
      </c>
      <c r="F240" s="160">
        <f>INDEX(Data[],MATCH($A240,Data[Dist],0),MATCH(F$6,Data[#Headers],0))</f>
        <v>3690625</v>
      </c>
      <c r="G240" s="22">
        <f>INDEX(Data[],MATCH($A240,Data[Dist],0),MATCH(G$6,Data[#Headers],0))</f>
        <v>11135691</v>
      </c>
      <c r="H240" s="22">
        <f>INDEX(Data[],MATCH($A240,Data[Dist],0),MATCH(H$6,Data[#Headers],0))-G240</f>
        <v>25983282</v>
      </c>
      <c r="I240" s="25"/>
      <c r="J240" s="22">
        <f>INDEX(Notes!$I$2:$N$11,MATCH(Notes!$B$2,Notes!$I$2:$I$11,0),4)*$C240</f>
        <v>11135691</v>
      </c>
      <c r="K240" s="22">
        <f>INDEX(Notes!$I$2:$N$11,MATCH(Notes!$B$2,Notes!$I$2:$I$11,0),5)*$D240</f>
        <v>0</v>
      </c>
      <c r="L240" s="22">
        <f>INDEX(Notes!$I$2:$N$11,MATCH(Notes!$B$2,Notes!$I$2:$I$11,0),6)*$E240</f>
        <v>0</v>
      </c>
      <c r="M240" s="22">
        <f>IF(Notes!$B$2="June",'Payment Total'!$F240,0)</f>
        <v>0</v>
      </c>
      <c r="N240" s="22">
        <f t="shared" si="12"/>
        <v>0</v>
      </c>
      <c r="P240" s="26" t="s">
        <v>1076</v>
      </c>
      <c r="Q240" s="26">
        <v>3711897</v>
      </c>
      <c r="R240" s="21" t="str">
        <f t="shared" si="13"/>
        <v>5250</v>
      </c>
      <c r="S240" s="44" t="str">
        <f t="shared" si="14"/>
        <v>5250</v>
      </c>
      <c r="T240" s="45">
        <f t="shared" si="15"/>
        <v>0</v>
      </c>
      <c r="V240" s="45"/>
    </row>
    <row r="241" spans="1:22" s="26" customFormat="1" ht="12.75" x14ac:dyDescent="0.2">
      <c r="A241" s="20" t="str">
        <f>Data!B236</f>
        <v>5256</v>
      </c>
      <c r="B241" s="21" t="str">
        <f>INDEX(Data[],MATCH($A241,Data[Dist],0),MATCH(B$6,Data[#Headers],0))</f>
        <v>Pleasantville</v>
      </c>
      <c r="C241" s="22">
        <f>INDEX(Data[],MATCH($A241,Data[Dist],0),MATCH(C$6,Data[#Headers],0))</f>
        <v>561543</v>
      </c>
      <c r="D241" s="160">
        <f>INDEX(Data[],MATCH($A241,Data[Dist],0),MATCH(D$6,Data[#Headers],0))</f>
        <v>558818</v>
      </c>
      <c r="E241" s="160">
        <f>INDEX(Data[],MATCH($A241,Data[Dist],0),MATCH(E$6,Data[#Headers],0))</f>
        <v>558818</v>
      </c>
      <c r="F241" s="160">
        <f>INDEX(Data[],MATCH($A241,Data[Dist],0),MATCH(F$6,Data[#Headers],0))</f>
        <v>558817</v>
      </c>
      <c r="G241" s="22">
        <f>INDEX(Data[],MATCH($A241,Data[Dist],0),MATCH(G$6,Data[#Headers],0))</f>
        <v>1684629</v>
      </c>
      <c r="H241" s="22">
        <f>INDEX(Data[],MATCH($A241,Data[Dist],0),MATCH(H$6,Data[#Headers],0))-G241</f>
        <v>3930800</v>
      </c>
      <c r="I241" s="25"/>
      <c r="J241" s="22">
        <f>INDEX(Notes!$I$2:$N$11,MATCH(Notes!$B$2,Notes!$I$2:$I$11,0),4)*$C241</f>
        <v>1684629</v>
      </c>
      <c r="K241" s="22">
        <f>INDEX(Notes!$I$2:$N$11,MATCH(Notes!$B$2,Notes!$I$2:$I$11,0),5)*$D241</f>
        <v>0</v>
      </c>
      <c r="L241" s="22">
        <f>INDEX(Notes!$I$2:$N$11,MATCH(Notes!$B$2,Notes!$I$2:$I$11,0),6)*$E241</f>
        <v>0</v>
      </c>
      <c r="M241" s="22">
        <f>IF(Notes!$B$2="June",'Payment Total'!$F241,0)</f>
        <v>0</v>
      </c>
      <c r="N241" s="22">
        <f t="shared" si="12"/>
        <v>0</v>
      </c>
      <c r="P241" s="26" t="s">
        <v>1077</v>
      </c>
      <c r="Q241" s="26">
        <v>561543</v>
      </c>
      <c r="R241" s="21" t="str">
        <f t="shared" si="13"/>
        <v>5256</v>
      </c>
      <c r="S241" s="44" t="str">
        <f t="shared" si="14"/>
        <v>5256</v>
      </c>
      <c r="T241" s="45">
        <f t="shared" si="15"/>
        <v>0</v>
      </c>
      <c r="V241" s="45"/>
    </row>
    <row r="242" spans="1:22" s="26" customFormat="1" ht="12.75" x14ac:dyDescent="0.2">
      <c r="A242" s="20" t="str">
        <f>Data!B237</f>
        <v>5283</v>
      </c>
      <c r="B242" s="21" t="str">
        <f>INDEX(Data[],MATCH($A242,Data[Dist],0),MATCH(B$6,Data[#Headers],0))</f>
        <v>Pocahontas Area</v>
      </c>
      <c r="C242" s="22">
        <f>INDEX(Data[],MATCH($A242,Data[Dist],0),MATCH(C$6,Data[#Headers],0))</f>
        <v>260208</v>
      </c>
      <c r="D242" s="160">
        <f>INDEX(Data[],MATCH($A242,Data[Dist],0),MATCH(D$6,Data[#Headers],0))</f>
        <v>257645</v>
      </c>
      <c r="E242" s="160">
        <f>INDEX(Data[],MATCH($A242,Data[Dist],0),MATCH(E$6,Data[#Headers],0))</f>
        <v>257644</v>
      </c>
      <c r="F242" s="160">
        <f>INDEX(Data[],MATCH($A242,Data[Dist],0),MATCH(F$6,Data[#Headers],0))</f>
        <v>257645</v>
      </c>
      <c r="G242" s="22">
        <f>INDEX(Data[],MATCH($A242,Data[Dist],0),MATCH(G$6,Data[#Headers],0))</f>
        <v>780624</v>
      </c>
      <c r="H242" s="22">
        <f>INDEX(Data[],MATCH($A242,Data[Dist],0),MATCH(H$6,Data[#Headers],0))-G242</f>
        <v>1821460</v>
      </c>
      <c r="I242" s="25"/>
      <c r="J242" s="22">
        <f>INDEX(Notes!$I$2:$N$11,MATCH(Notes!$B$2,Notes!$I$2:$I$11,0),4)*$C242</f>
        <v>780624</v>
      </c>
      <c r="K242" s="22">
        <f>INDEX(Notes!$I$2:$N$11,MATCH(Notes!$B$2,Notes!$I$2:$I$11,0),5)*$D242</f>
        <v>0</v>
      </c>
      <c r="L242" s="22">
        <f>INDEX(Notes!$I$2:$N$11,MATCH(Notes!$B$2,Notes!$I$2:$I$11,0),6)*$E242</f>
        <v>0</v>
      </c>
      <c r="M242" s="22">
        <f>IF(Notes!$B$2="June",'Payment Total'!$F242,0)</f>
        <v>0</v>
      </c>
      <c r="N242" s="22">
        <f t="shared" si="12"/>
        <v>0</v>
      </c>
      <c r="P242" s="26" t="s">
        <v>1078</v>
      </c>
      <c r="Q242" s="26">
        <v>260208</v>
      </c>
      <c r="R242" s="21" t="str">
        <f t="shared" si="13"/>
        <v>5283</v>
      </c>
      <c r="S242" s="44" t="str">
        <f t="shared" si="14"/>
        <v>5283</v>
      </c>
      <c r="T242" s="45">
        <f t="shared" si="15"/>
        <v>0</v>
      </c>
      <c r="V242" s="45"/>
    </row>
    <row r="243" spans="1:22" s="26" customFormat="1" ht="12.75" x14ac:dyDescent="0.2">
      <c r="A243" s="20" t="str">
        <f>Data!B238</f>
        <v>5310</v>
      </c>
      <c r="B243" s="21" t="str">
        <f>INDEX(Data[],MATCH($A243,Data[Dist],0),MATCH(B$6,Data[#Headers],0))</f>
        <v>Postville</v>
      </c>
      <c r="C243" s="22">
        <f>INDEX(Data[],MATCH($A243,Data[Dist],0),MATCH(C$6,Data[#Headers],0))</f>
        <v>577907</v>
      </c>
      <c r="D243" s="160">
        <f>INDEX(Data[],MATCH($A243,Data[Dist],0),MATCH(D$6,Data[#Headers],0))</f>
        <v>575253</v>
      </c>
      <c r="E243" s="160">
        <f>INDEX(Data[],MATCH($A243,Data[Dist],0),MATCH(E$6,Data[#Headers],0))</f>
        <v>575254</v>
      </c>
      <c r="F243" s="160">
        <f>INDEX(Data[],MATCH($A243,Data[Dist],0),MATCH(F$6,Data[#Headers],0))</f>
        <v>575252</v>
      </c>
      <c r="G243" s="22">
        <f>INDEX(Data[],MATCH($A243,Data[Dist],0),MATCH(G$6,Data[#Headers],0))</f>
        <v>1733721</v>
      </c>
      <c r="H243" s="22">
        <f>INDEX(Data[],MATCH($A243,Data[Dist],0),MATCH(H$6,Data[#Headers],0))-G243</f>
        <v>4045348</v>
      </c>
      <c r="I243" s="25"/>
      <c r="J243" s="22">
        <f>INDEX(Notes!$I$2:$N$11,MATCH(Notes!$B$2,Notes!$I$2:$I$11,0),4)*$C243</f>
        <v>1733721</v>
      </c>
      <c r="K243" s="22">
        <f>INDEX(Notes!$I$2:$N$11,MATCH(Notes!$B$2,Notes!$I$2:$I$11,0),5)*$D243</f>
        <v>0</v>
      </c>
      <c r="L243" s="22">
        <f>INDEX(Notes!$I$2:$N$11,MATCH(Notes!$B$2,Notes!$I$2:$I$11,0),6)*$E243</f>
        <v>0</v>
      </c>
      <c r="M243" s="22">
        <f>IF(Notes!$B$2="June",'Payment Total'!$F243,0)</f>
        <v>0</v>
      </c>
      <c r="N243" s="22">
        <f t="shared" si="12"/>
        <v>0</v>
      </c>
      <c r="P243" s="26" t="s">
        <v>1079</v>
      </c>
      <c r="Q243" s="26">
        <v>577907</v>
      </c>
      <c r="R243" s="21" t="str">
        <f t="shared" si="13"/>
        <v>5310</v>
      </c>
      <c r="S243" s="44" t="str">
        <f t="shared" si="14"/>
        <v>5310</v>
      </c>
      <c r="T243" s="45">
        <f t="shared" si="15"/>
        <v>0</v>
      </c>
      <c r="V243" s="45"/>
    </row>
    <row r="244" spans="1:22" s="26" customFormat="1" ht="12.75" x14ac:dyDescent="0.2">
      <c r="A244" s="20" t="str">
        <f>Data!B239</f>
        <v>5319</v>
      </c>
      <c r="B244" s="21" t="str">
        <f>INDEX(Data[],MATCH($A244,Data[Dist],0),MATCH(B$6,Data[#Headers],0))</f>
        <v>PCM</v>
      </c>
      <c r="C244" s="22">
        <f>INDEX(Data[],MATCH($A244,Data[Dist],0),MATCH(C$6,Data[#Headers],0))</f>
        <v>727777</v>
      </c>
      <c r="D244" s="160">
        <f>INDEX(Data[],MATCH($A244,Data[Dist],0),MATCH(D$6,Data[#Headers],0))</f>
        <v>723826</v>
      </c>
      <c r="E244" s="160">
        <f>INDEX(Data[],MATCH($A244,Data[Dist],0),MATCH(E$6,Data[#Headers],0))</f>
        <v>723826</v>
      </c>
      <c r="F244" s="160">
        <f>INDEX(Data[],MATCH($A244,Data[Dist],0),MATCH(F$6,Data[#Headers],0))</f>
        <v>723825</v>
      </c>
      <c r="G244" s="22">
        <f>INDEX(Data[],MATCH($A244,Data[Dist],0),MATCH(G$6,Data[#Headers],0))</f>
        <v>2183331</v>
      </c>
      <c r="H244" s="22">
        <f>INDEX(Data[],MATCH($A244,Data[Dist],0),MATCH(H$6,Data[#Headers],0))-G244</f>
        <v>5094439</v>
      </c>
      <c r="I244" s="25"/>
      <c r="J244" s="22">
        <f>INDEX(Notes!$I$2:$N$11,MATCH(Notes!$B$2,Notes!$I$2:$I$11,0),4)*$C244</f>
        <v>2183331</v>
      </c>
      <c r="K244" s="22">
        <f>INDEX(Notes!$I$2:$N$11,MATCH(Notes!$B$2,Notes!$I$2:$I$11,0),5)*$D244</f>
        <v>0</v>
      </c>
      <c r="L244" s="22">
        <f>INDEX(Notes!$I$2:$N$11,MATCH(Notes!$B$2,Notes!$I$2:$I$11,0),6)*$E244</f>
        <v>0</v>
      </c>
      <c r="M244" s="22">
        <f>IF(Notes!$B$2="June",'Payment Total'!$F244,0)</f>
        <v>0</v>
      </c>
      <c r="N244" s="22">
        <f t="shared" si="12"/>
        <v>0</v>
      </c>
      <c r="P244" s="26" t="s">
        <v>1080</v>
      </c>
      <c r="Q244" s="26">
        <v>727777</v>
      </c>
      <c r="R244" s="21" t="str">
        <f t="shared" si="13"/>
        <v>5160</v>
      </c>
      <c r="S244" s="44" t="str">
        <f t="shared" si="14"/>
        <v>5319</v>
      </c>
      <c r="T244" s="45">
        <f t="shared" si="15"/>
        <v>0</v>
      </c>
      <c r="V244" s="45"/>
    </row>
    <row r="245" spans="1:22" s="26" customFormat="1" ht="12.75" x14ac:dyDescent="0.2">
      <c r="A245" s="20" t="str">
        <f>Data!B240</f>
        <v>5463</v>
      </c>
      <c r="B245" s="21" t="str">
        <f>INDEX(Data[],MATCH($A245,Data[Dist],0),MATCH(B$6,Data[#Headers],0))</f>
        <v>Red Oak</v>
      </c>
      <c r="C245" s="22">
        <f>INDEX(Data[],MATCH($A245,Data[Dist],0),MATCH(C$6,Data[#Headers],0))</f>
        <v>755497</v>
      </c>
      <c r="D245" s="160">
        <f>INDEX(Data[],MATCH($A245,Data[Dist],0),MATCH(D$6,Data[#Headers],0))</f>
        <v>751535</v>
      </c>
      <c r="E245" s="160">
        <f>INDEX(Data[],MATCH($A245,Data[Dist],0),MATCH(E$6,Data[#Headers],0))</f>
        <v>751536</v>
      </c>
      <c r="F245" s="160">
        <f>INDEX(Data[],MATCH($A245,Data[Dist],0),MATCH(F$6,Data[#Headers],0))</f>
        <v>751534</v>
      </c>
      <c r="G245" s="22">
        <f>INDEX(Data[],MATCH($A245,Data[Dist],0),MATCH(G$6,Data[#Headers],0))</f>
        <v>2266491</v>
      </c>
      <c r="H245" s="22">
        <f>INDEX(Data[],MATCH($A245,Data[Dist],0),MATCH(H$6,Data[#Headers],0))-G245</f>
        <v>5288481</v>
      </c>
      <c r="I245" s="25"/>
      <c r="J245" s="22">
        <f>INDEX(Notes!$I$2:$N$11,MATCH(Notes!$B$2,Notes!$I$2:$I$11,0),4)*$C245</f>
        <v>2266491</v>
      </c>
      <c r="K245" s="22">
        <f>INDEX(Notes!$I$2:$N$11,MATCH(Notes!$B$2,Notes!$I$2:$I$11,0),5)*$D245</f>
        <v>0</v>
      </c>
      <c r="L245" s="22">
        <f>INDEX(Notes!$I$2:$N$11,MATCH(Notes!$B$2,Notes!$I$2:$I$11,0),6)*$E245</f>
        <v>0</v>
      </c>
      <c r="M245" s="22">
        <f>IF(Notes!$B$2="June",'Payment Total'!$F245,0)</f>
        <v>0</v>
      </c>
      <c r="N245" s="22">
        <f t="shared" si="12"/>
        <v>0</v>
      </c>
      <c r="P245" s="26" t="s">
        <v>1081</v>
      </c>
      <c r="Q245" s="26">
        <v>755497</v>
      </c>
      <c r="R245" s="21" t="str">
        <f t="shared" si="13"/>
        <v>5463</v>
      </c>
      <c r="S245" s="44" t="str">
        <f t="shared" si="14"/>
        <v>5463</v>
      </c>
      <c r="T245" s="45">
        <f t="shared" si="15"/>
        <v>0</v>
      </c>
      <c r="V245" s="45"/>
    </row>
    <row r="246" spans="1:22" s="26" customFormat="1" ht="12.75" x14ac:dyDescent="0.2">
      <c r="A246" s="20" t="str">
        <f>Data!B241</f>
        <v>5486</v>
      </c>
      <c r="B246" s="21" t="str">
        <f>INDEX(Data[],MATCH($A246,Data[Dist],0),MATCH(B$6,Data[#Headers],0))</f>
        <v>Remsen-Union</v>
      </c>
      <c r="C246" s="22">
        <f>INDEX(Data[],MATCH($A246,Data[Dist],0),MATCH(C$6,Data[#Headers],0))</f>
        <v>149008</v>
      </c>
      <c r="D246" s="160">
        <f>INDEX(Data[],MATCH($A246,Data[Dist],0),MATCH(D$6,Data[#Headers],0))</f>
        <v>147730</v>
      </c>
      <c r="E246" s="160">
        <f>INDEX(Data[],MATCH($A246,Data[Dist],0),MATCH(E$6,Data[#Headers],0))</f>
        <v>147729</v>
      </c>
      <c r="F246" s="160">
        <f>INDEX(Data[],MATCH($A246,Data[Dist],0),MATCH(F$6,Data[#Headers],0))</f>
        <v>147730</v>
      </c>
      <c r="G246" s="22">
        <f>INDEX(Data[],MATCH($A246,Data[Dist],0),MATCH(G$6,Data[#Headers],0))</f>
        <v>447024</v>
      </c>
      <c r="H246" s="22">
        <f>INDEX(Data[],MATCH($A246,Data[Dist],0),MATCH(H$6,Data[#Headers],0))-G246</f>
        <v>1043057</v>
      </c>
      <c r="I246" s="25"/>
      <c r="J246" s="22">
        <f>INDEX(Notes!$I$2:$N$11,MATCH(Notes!$B$2,Notes!$I$2:$I$11,0),4)*$C246</f>
        <v>447024</v>
      </c>
      <c r="K246" s="22">
        <f>INDEX(Notes!$I$2:$N$11,MATCH(Notes!$B$2,Notes!$I$2:$I$11,0),5)*$D246</f>
        <v>0</v>
      </c>
      <c r="L246" s="22">
        <f>INDEX(Notes!$I$2:$N$11,MATCH(Notes!$B$2,Notes!$I$2:$I$11,0),6)*$E246</f>
        <v>0</v>
      </c>
      <c r="M246" s="22">
        <f>IF(Notes!$B$2="June",'Payment Total'!$F246,0)</f>
        <v>0</v>
      </c>
      <c r="N246" s="22">
        <f t="shared" si="12"/>
        <v>0</v>
      </c>
      <c r="P246" s="26" t="s">
        <v>1082</v>
      </c>
      <c r="Q246" s="26">
        <v>149008</v>
      </c>
      <c r="R246" s="21" t="str">
        <f t="shared" si="13"/>
        <v>5486</v>
      </c>
      <c r="S246" s="44" t="str">
        <f t="shared" si="14"/>
        <v>5486</v>
      </c>
      <c r="T246" s="45">
        <f t="shared" si="15"/>
        <v>0</v>
      </c>
      <c r="V246" s="45"/>
    </row>
    <row r="247" spans="1:22" s="26" customFormat="1" ht="12.75" x14ac:dyDescent="0.2">
      <c r="A247" s="20" t="str">
        <f>Data!B242</f>
        <v>5508</v>
      </c>
      <c r="B247" s="21" t="str">
        <f>INDEX(Data[],MATCH($A247,Data[Dist],0),MATCH(B$6,Data[#Headers],0))</f>
        <v>Riceville</v>
      </c>
      <c r="C247" s="22">
        <f>INDEX(Data[],MATCH($A247,Data[Dist],0),MATCH(C$6,Data[#Headers],0))</f>
        <v>154191</v>
      </c>
      <c r="D247" s="160">
        <f>INDEX(Data[],MATCH($A247,Data[Dist],0),MATCH(D$6,Data[#Headers],0))</f>
        <v>152923</v>
      </c>
      <c r="E247" s="160">
        <f>INDEX(Data[],MATCH($A247,Data[Dist],0),MATCH(E$6,Data[#Headers],0))</f>
        <v>152922</v>
      </c>
      <c r="F247" s="160">
        <f>INDEX(Data[],MATCH($A247,Data[Dist],0),MATCH(F$6,Data[#Headers],0))</f>
        <v>152923</v>
      </c>
      <c r="G247" s="22">
        <f>INDEX(Data[],MATCH($A247,Data[Dist],0),MATCH(G$6,Data[#Headers],0))</f>
        <v>462573</v>
      </c>
      <c r="H247" s="22">
        <f>INDEX(Data[],MATCH($A247,Data[Dist],0),MATCH(H$6,Data[#Headers],0))-G247</f>
        <v>1079341</v>
      </c>
      <c r="I247" s="25"/>
      <c r="J247" s="22">
        <f>INDEX(Notes!$I$2:$N$11,MATCH(Notes!$B$2,Notes!$I$2:$I$11,0),4)*$C247</f>
        <v>462573</v>
      </c>
      <c r="K247" s="22">
        <f>INDEX(Notes!$I$2:$N$11,MATCH(Notes!$B$2,Notes!$I$2:$I$11,0),5)*$D247</f>
        <v>0</v>
      </c>
      <c r="L247" s="22">
        <f>INDEX(Notes!$I$2:$N$11,MATCH(Notes!$B$2,Notes!$I$2:$I$11,0),6)*$E247</f>
        <v>0</v>
      </c>
      <c r="M247" s="22">
        <f>IF(Notes!$B$2="June",'Payment Total'!$F247,0)</f>
        <v>0</v>
      </c>
      <c r="N247" s="22">
        <f t="shared" si="12"/>
        <v>0</v>
      </c>
      <c r="P247" s="26" t="s">
        <v>1083</v>
      </c>
      <c r="Q247" s="26">
        <v>154191</v>
      </c>
      <c r="R247" s="21" t="str">
        <f t="shared" si="13"/>
        <v>5508</v>
      </c>
      <c r="S247" s="44" t="str">
        <f t="shared" si="14"/>
        <v>5508</v>
      </c>
      <c r="T247" s="45">
        <f t="shared" si="15"/>
        <v>0</v>
      </c>
      <c r="V247" s="45"/>
    </row>
    <row r="248" spans="1:22" s="26" customFormat="1" ht="12.75" x14ac:dyDescent="0.2">
      <c r="A248" s="20" t="str">
        <f>Data!B243</f>
        <v>5607</v>
      </c>
      <c r="B248" s="21" t="str">
        <f>INDEX(Data[],MATCH($A248,Data[Dist],0),MATCH(B$6,Data[#Headers],0))</f>
        <v>Rock Valley</v>
      </c>
      <c r="C248" s="22">
        <f>INDEX(Data[],MATCH($A248,Data[Dist],0),MATCH(C$6,Data[#Headers],0))</f>
        <v>598092</v>
      </c>
      <c r="D248" s="160">
        <f>INDEX(Data[],MATCH($A248,Data[Dist],0),MATCH(D$6,Data[#Headers],0))</f>
        <v>594834</v>
      </c>
      <c r="E248" s="160">
        <f>INDEX(Data[],MATCH($A248,Data[Dist],0),MATCH(E$6,Data[#Headers],0))</f>
        <v>594834</v>
      </c>
      <c r="F248" s="160">
        <f>INDEX(Data[],MATCH($A248,Data[Dist],0),MATCH(F$6,Data[#Headers],0))</f>
        <v>594833</v>
      </c>
      <c r="G248" s="22">
        <f>INDEX(Data[],MATCH($A248,Data[Dist],0),MATCH(G$6,Data[#Headers],0))</f>
        <v>1794276</v>
      </c>
      <c r="H248" s="22">
        <f>INDEX(Data[],MATCH($A248,Data[Dist],0),MATCH(H$6,Data[#Headers],0))-G248</f>
        <v>4186647</v>
      </c>
      <c r="I248" s="25"/>
      <c r="J248" s="22">
        <f>INDEX(Notes!$I$2:$N$11,MATCH(Notes!$B$2,Notes!$I$2:$I$11,0),4)*$C248</f>
        <v>1794276</v>
      </c>
      <c r="K248" s="22">
        <f>INDEX(Notes!$I$2:$N$11,MATCH(Notes!$B$2,Notes!$I$2:$I$11,0),5)*$D248</f>
        <v>0</v>
      </c>
      <c r="L248" s="22">
        <f>INDEX(Notes!$I$2:$N$11,MATCH(Notes!$B$2,Notes!$I$2:$I$11,0),6)*$E248</f>
        <v>0</v>
      </c>
      <c r="M248" s="22">
        <f>IF(Notes!$B$2="June",'Payment Total'!$F248,0)</f>
        <v>0</v>
      </c>
      <c r="N248" s="22">
        <f t="shared" si="12"/>
        <v>0</v>
      </c>
      <c r="P248" s="26" t="s">
        <v>1084</v>
      </c>
      <c r="Q248" s="26">
        <v>598092</v>
      </c>
      <c r="R248" s="21" t="str">
        <f t="shared" si="13"/>
        <v>5607</v>
      </c>
      <c r="S248" s="44" t="str">
        <f t="shared" si="14"/>
        <v>5607</v>
      </c>
      <c r="T248" s="45">
        <f t="shared" si="15"/>
        <v>0</v>
      </c>
      <c r="V248" s="45"/>
    </row>
    <row r="249" spans="1:22" s="26" customFormat="1" ht="12.75" x14ac:dyDescent="0.2">
      <c r="A249" s="20" t="str">
        <f>Data!B244</f>
        <v>5643</v>
      </c>
      <c r="B249" s="21" t="str">
        <f>INDEX(Data[],MATCH($A249,Data[Dist],0),MATCH(B$6,Data[#Headers],0))</f>
        <v>Roland-Story</v>
      </c>
      <c r="C249" s="22">
        <f>INDEX(Data[],MATCH($A249,Data[Dist],0),MATCH(C$6,Data[#Headers],0))</f>
        <v>681540</v>
      </c>
      <c r="D249" s="160">
        <f>INDEX(Data[],MATCH($A249,Data[Dist],0),MATCH(D$6,Data[#Headers],0))</f>
        <v>677695</v>
      </c>
      <c r="E249" s="160">
        <f>INDEX(Data[],MATCH($A249,Data[Dist],0),MATCH(E$6,Data[#Headers],0))</f>
        <v>677695</v>
      </c>
      <c r="F249" s="160">
        <f>INDEX(Data[],MATCH($A249,Data[Dist],0),MATCH(F$6,Data[#Headers],0))</f>
        <v>677694</v>
      </c>
      <c r="G249" s="22">
        <f>INDEX(Data[],MATCH($A249,Data[Dist],0),MATCH(G$6,Data[#Headers],0))</f>
        <v>2044620</v>
      </c>
      <c r="H249" s="22">
        <f>INDEX(Data[],MATCH($A249,Data[Dist],0),MATCH(H$6,Data[#Headers],0))-G249</f>
        <v>4770776</v>
      </c>
      <c r="I249" s="25"/>
      <c r="J249" s="22">
        <f>INDEX(Notes!$I$2:$N$11,MATCH(Notes!$B$2,Notes!$I$2:$I$11,0),4)*$C249</f>
        <v>2044620</v>
      </c>
      <c r="K249" s="22">
        <f>INDEX(Notes!$I$2:$N$11,MATCH(Notes!$B$2,Notes!$I$2:$I$11,0),5)*$D249</f>
        <v>0</v>
      </c>
      <c r="L249" s="22">
        <f>INDEX(Notes!$I$2:$N$11,MATCH(Notes!$B$2,Notes!$I$2:$I$11,0),6)*$E249</f>
        <v>0</v>
      </c>
      <c r="M249" s="22">
        <f>IF(Notes!$B$2="June",'Payment Total'!$F249,0)</f>
        <v>0</v>
      </c>
      <c r="N249" s="22">
        <f t="shared" si="12"/>
        <v>0</v>
      </c>
      <c r="P249" s="26" t="s">
        <v>1085</v>
      </c>
      <c r="Q249" s="26">
        <v>681540</v>
      </c>
      <c r="R249" s="21" t="str">
        <f t="shared" si="13"/>
        <v>5643</v>
      </c>
      <c r="S249" s="44" t="str">
        <f t="shared" si="14"/>
        <v>5643</v>
      </c>
      <c r="T249" s="45">
        <f t="shared" si="15"/>
        <v>0</v>
      </c>
      <c r="V249" s="45"/>
    </row>
    <row r="250" spans="1:22" s="26" customFormat="1" ht="12.75" x14ac:dyDescent="0.2">
      <c r="A250" s="20" t="str">
        <f>Data!B245</f>
        <v>5697</v>
      </c>
      <c r="B250" s="21" t="str">
        <f>INDEX(Data[],MATCH($A250,Data[Dist],0),MATCH(B$6,Data[#Headers],0))</f>
        <v>Rudd-Rockford-Marble Rock</v>
      </c>
      <c r="C250" s="22">
        <f>INDEX(Data[],MATCH($A250,Data[Dist],0),MATCH(C$6,Data[#Headers],0))</f>
        <v>269277</v>
      </c>
      <c r="D250" s="160">
        <f>INDEX(Data[],MATCH($A250,Data[Dist],0),MATCH(D$6,Data[#Headers],0))</f>
        <v>267647</v>
      </c>
      <c r="E250" s="160">
        <f>INDEX(Data[],MATCH($A250,Data[Dist],0),MATCH(E$6,Data[#Headers],0))</f>
        <v>267647</v>
      </c>
      <c r="F250" s="160">
        <f>INDEX(Data[],MATCH($A250,Data[Dist],0),MATCH(F$6,Data[#Headers],0))</f>
        <v>267645</v>
      </c>
      <c r="G250" s="22">
        <f>INDEX(Data[],MATCH($A250,Data[Dist],0),MATCH(G$6,Data[#Headers],0))</f>
        <v>807831</v>
      </c>
      <c r="H250" s="22">
        <f>INDEX(Data[],MATCH($A250,Data[Dist],0),MATCH(H$6,Data[#Headers],0))-G250</f>
        <v>1884942</v>
      </c>
      <c r="I250" s="25"/>
      <c r="J250" s="22">
        <f>INDEX(Notes!$I$2:$N$11,MATCH(Notes!$B$2,Notes!$I$2:$I$11,0),4)*$C250</f>
        <v>807831</v>
      </c>
      <c r="K250" s="22">
        <f>INDEX(Notes!$I$2:$N$11,MATCH(Notes!$B$2,Notes!$I$2:$I$11,0),5)*$D250</f>
        <v>0</v>
      </c>
      <c r="L250" s="22">
        <f>INDEX(Notes!$I$2:$N$11,MATCH(Notes!$B$2,Notes!$I$2:$I$11,0),6)*$E250</f>
        <v>0</v>
      </c>
      <c r="M250" s="22">
        <f>IF(Notes!$B$2="June",'Payment Total'!$F250,0)</f>
        <v>0</v>
      </c>
      <c r="N250" s="22">
        <f t="shared" si="12"/>
        <v>0</v>
      </c>
      <c r="P250" s="26" t="s">
        <v>1086</v>
      </c>
      <c r="Q250" s="26">
        <v>269277</v>
      </c>
      <c r="R250" s="21" t="str">
        <f t="shared" si="13"/>
        <v>5697</v>
      </c>
      <c r="S250" s="44" t="str">
        <f t="shared" si="14"/>
        <v>5697</v>
      </c>
      <c r="T250" s="45">
        <f t="shared" si="15"/>
        <v>0</v>
      </c>
      <c r="V250" s="45"/>
    </row>
    <row r="251" spans="1:22" s="26" customFormat="1" ht="12.75" x14ac:dyDescent="0.2">
      <c r="A251" s="20" t="str">
        <f>Data!B246</f>
        <v>5724</v>
      </c>
      <c r="B251" s="21" t="str">
        <f>INDEX(Data[],MATCH($A251,Data[Dist],0),MATCH(B$6,Data[#Headers],0))</f>
        <v>Ruthven-Ayrshire</v>
      </c>
      <c r="C251" s="22">
        <f>INDEX(Data[],MATCH($A251,Data[Dist],0),MATCH(C$6,Data[#Headers],0))</f>
        <v>126530</v>
      </c>
      <c r="D251" s="160">
        <f>INDEX(Data[],MATCH($A251,Data[Dist],0),MATCH(D$6,Data[#Headers],0))</f>
        <v>125791</v>
      </c>
      <c r="E251" s="160">
        <f>INDEX(Data[],MATCH($A251,Data[Dist],0),MATCH(E$6,Data[#Headers],0))</f>
        <v>125790</v>
      </c>
      <c r="F251" s="160">
        <f>INDEX(Data[],MATCH($A251,Data[Dist],0),MATCH(F$6,Data[#Headers],0))</f>
        <v>125791</v>
      </c>
      <c r="G251" s="22">
        <f>INDEX(Data[],MATCH($A251,Data[Dist],0),MATCH(G$6,Data[#Headers],0))</f>
        <v>379590</v>
      </c>
      <c r="H251" s="22">
        <f>INDEX(Data[],MATCH($A251,Data[Dist],0),MATCH(H$6,Data[#Headers],0))-G251</f>
        <v>885706</v>
      </c>
      <c r="I251" s="25"/>
      <c r="J251" s="22">
        <f>INDEX(Notes!$I$2:$N$11,MATCH(Notes!$B$2,Notes!$I$2:$I$11,0),4)*$C251</f>
        <v>379590</v>
      </c>
      <c r="K251" s="22">
        <f>INDEX(Notes!$I$2:$N$11,MATCH(Notes!$B$2,Notes!$I$2:$I$11,0),5)*$D251</f>
        <v>0</v>
      </c>
      <c r="L251" s="22">
        <f>INDEX(Notes!$I$2:$N$11,MATCH(Notes!$B$2,Notes!$I$2:$I$11,0),6)*$E251</f>
        <v>0</v>
      </c>
      <c r="M251" s="22">
        <f>IF(Notes!$B$2="June",'Payment Total'!$F251,0)</f>
        <v>0</v>
      </c>
      <c r="N251" s="22">
        <f t="shared" si="12"/>
        <v>0</v>
      </c>
      <c r="P251" s="26" t="s">
        <v>1087</v>
      </c>
      <c r="Q251" s="26">
        <v>126530</v>
      </c>
      <c r="R251" s="21" t="str">
        <f t="shared" si="13"/>
        <v>5724</v>
      </c>
      <c r="S251" s="44" t="str">
        <f t="shared" si="14"/>
        <v>5724</v>
      </c>
      <c r="T251" s="45">
        <f t="shared" si="15"/>
        <v>0</v>
      </c>
      <c r="V251" s="45"/>
    </row>
    <row r="252" spans="1:22" s="26" customFormat="1" ht="12.75" x14ac:dyDescent="0.2">
      <c r="A252" s="20" t="str">
        <f>Data!B247</f>
        <v>5751</v>
      </c>
      <c r="B252" s="21" t="str">
        <f>INDEX(Data[],MATCH($A252,Data[Dist],0),MATCH(B$6,Data[#Headers],0))</f>
        <v>St Ansgar</v>
      </c>
      <c r="C252" s="22">
        <f>INDEX(Data[],MATCH($A252,Data[Dist],0),MATCH(C$6,Data[#Headers],0))</f>
        <v>319102</v>
      </c>
      <c r="D252" s="160">
        <f>INDEX(Data[],MATCH($A252,Data[Dist],0),MATCH(D$6,Data[#Headers],0))</f>
        <v>316917</v>
      </c>
      <c r="E252" s="160">
        <f>INDEX(Data[],MATCH($A252,Data[Dist],0),MATCH(E$6,Data[#Headers],0))</f>
        <v>316917</v>
      </c>
      <c r="F252" s="160">
        <f>INDEX(Data[],MATCH($A252,Data[Dist],0),MATCH(F$6,Data[#Headers],0))</f>
        <v>316917</v>
      </c>
      <c r="G252" s="22">
        <f>INDEX(Data[],MATCH($A252,Data[Dist],0),MATCH(G$6,Data[#Headers],0))</f>
        <v>957306</v>
      </c>
      <c r="H252" s="22">
        <f>INDEX(Data[],MATCH($A252,Data[Dist],0),MATCH(H$6,Data[#Headers],0))-G252</f>
        <v>2233713</v>
      </c>
      <c r="I252" s="25"/>
      <c r="J252" s="22">
        <f>INDEX(Notes!$I$2:$N$11,MATCH(Notes!$B$2,Notes!$I$2:$I$11,0),4)*$C252</f>
        <v>957306</v>
      </c>
      <c r="K252" s="22">
        <f>INDEX(Notes!$I$2:$N$11,MATCH(Notes!$B$2,Notes!$I$2:$I$11,0),5)*$D252</f>
        <v>0</v>
      </c>
      <c r="L252" s="22">
        <f>INDEX(Notes!$I$2:$N$11,MATCH(Notes!$B$2,Notes!$I$2:$I$11,0),6)*$E252</f>
        <v>0</v>
      </c>
      <c r="M252" s="22">
        <f>IF(Notes!$B$2="June",'Payment Total'!$F252,0)</f>
        <v>0</v>
      </c>
      <c r="N252" s="22">
        <f t="shared" si="12"/>
        <v>0</v>
      </c>
      <c r="P252" s="26" t="s">
        <v>1088</v>
      </c>
      <c r="Q252" s="26">
        <v>319102</v>
      </c>
      <c r="R252" s="21" t="str">
        <f t="shared" si="13"/>
        <v>5751</v>
      </c>
      <c r="S252" s="44" t="str">
        <f t="shared" si="14"/>
        <v>5751</v>
      </c>
      <c r="T252" s="45">
        <f t="shared" si="15"/>
        <v>0</v>
      </c>
      <c r="V252" s="45"/>
    </row>
    <row r="253" spans="1:22" s="26" customFormat="1" ht="12.75" x14ac:dyDescent="0.2">
      <c r="A253" s="20" t="str">
        <f>Data!B248</f>
        <v>5805</v>
      </c>
      <c r="B253" s="21" t="str">
        <f>INDEX(Data[],MATCH($A253,Data[Dist],0),MATCH(B$6,Data[#Headers],0))</f>
        <v>Saydel</v>
      </c>
      <c r="C253" s="22">
        <f>INDEX(Data[],MATCH($A253,Data[Dist],0),MATCH(C$6,Data[#Headers],0))</f>
        <v>313369</v>
      </c>
      <c r="D253" s="160">
        <f>INDEX(Data[],MATCH($A253,Data[Dist],0),MATCH(D$6,Data[#Headers],0))</f>
        <v>309284</v>
      </c>
      <c r="E253" s="160">
        <f>INDEX(Data[],MATCH($A253,Data[Dist],0),MATCH(E$6,Data[#Headers],0))</f>
        <v>309284</v>
      </c>
      <c r="F253" s="160">
        <f>INDEX(Data[],MATCH($A253,Data[Dist],0),MATCH(F$6,Data[#Headers],0))</f>
        <v>309282</v>
      </c>
      <c r="G253" s="22">
        <f>INDEX(Data[],MATCH($A253,Data[Dist],0),MATCH(G$6,Data[#Headers],0))</f>
        <v>940107</v>
      </c>
      <c r="H253" s="22">
        <f>INDEX(Data[],MATCH($A253,Data[Dist],0),MATCH(H$6,Data[#Headers],0))-G253</f>
        <v>2193580</v>
      </c>
      <c r="I253" s="25"/>
      <c r="J253" s="22">
        <f>INDEX(Notes!$I$2:$N$11,MATCH(Notes!$B$2,Notes!$I$2:$I$11,0),4)*$C253</f>
        <v>940107</v>
      </c>
      <c r="K253" s="22">
        <f>INDEX(Notes!$I$2:$N$11,MATCH(Notes!$B$2,Notes!$I$2:$I$11,0),5)*$D253</f>
        <v>0</v>
      </c>
      <c r="L253" s="22">
        <f>INDEX(Notes!$I$2:$N$11,MATCH(Notes!$B$2,Notes!$I$2:$I$11,0),6)*$E253</f>
        <v>0</v>
      </c>
      <c r="M253" s="22">
        <f>IF(Notes!$B$2="June",'Payment Total'!$F253,0)</f>
        <v>0</v>
      </c>
      <c r="N253" s="22">
        <f t="shared" si="12"/>
        <v>0</v>
      </c>
      <c r="P253" s="26" t="s">
        <v>1089</v>
      </c>
      <c r="Q253" s="26">
        <v>313369</v>
      </c>
      <c r="R253" s="21" t="str">
        <f t="shared" si="13"/>
        <v>5805</v>
      </c>
      <c r="S253" s="44" t="str">
        <f t="shared" si="14"/>
        <v>5805</v>
      </c>
      <c r="T253" s="45">
        <f t="shared" si="15"/>
        <v>0</v>
      </c>
      <c r="V253" s="45"/>
    </row>
    <row r="254" spans="1:22" s="26" customFormat="1" ht="12.75" x14ac:dyDescent="0.2">
      <c r="A254" s="20" t="str">
        <f>Data!B249</f>
        <v>5823</v>
      </c>
      <c r="B254" s="21" t="str">
        <f>INDEX(Data[],MATCH($A254,Data[Dist],0),MATCH(B$6,Data[#Headers],0))</f>
        <v>Schaller-Crestland</v>
      </c>
      <c r="C254" s="22">
        <f>INDEX(Data[],MATCH($A254,Data[Dist],0),MATCH(C$6,Data[#Headers],0))</f>
        <v>194601</v>
      </c>
      <c r="D254" s="160">
        <f>INDEX(Data[],MATCH($A254,Data[Dist],0),MATCH(D$6,Data[#Headers],0))</f>
        <v>193238</v>
      </c>
      <c r="E254" s="160">
        <f>INDEX(Data[],MATCH($A254,Data[Dist],0),MATCH(E$6,Data[#Headers],0))</f>
        <v>193238</v>
      </c>
      <c r="F254" s="160">
        <f>INDEX(Data[],MATCH($A254,Data[Dist],0),MATCH(F$6,Data[#Headers],0))</f>
        <v>193236</v>
      </c>
      <c r="G254" s="22">
        <f>INDEX(Data[],MATCH($A254,Data[Dist],0),MATCH(G$6,Data[#Headers],0))</f>
        <v>583803</v>
      </c>
      <c r="H254" s="22">
        <f>INDEX(Data[],MATCH($A254,Data[Dist],0),MATCH(H$6,Data[#Headers],0))-G254</f>
        <v>1362204</v>
      </c>
      <c r="I254" s="25"/>
      <c r="J254" s="22">
        <f>INDEX(Notes!$I$2:$N$11,MATCH(Notes!$B$2,Notes!$I$2:$I$11,0),4)*$C254</f>
        <v>583803</v>
      </c>
      <c r="K254" s="22">
        <f>INDEX(Notes!$I$2:$N$11,MATCH(Notes!$B$2,Notes!$I$2:$I$11,0),5)*$D254</f>
        <v>0</v>
      </c>
      <c r="L254" s="22">
        <f>INDEX(Notes!$I$2:$N$11,MATCH(Notes!$B$2,Notes!$I$2:$I$11,0),6)*$E254</f>
        <v>0</v>
      </c>
      <c r="M254" s="22">
        <f>IF(Notes!$B$2="June",'Payment Total'!$F254,0)</f>
        <v>0</v>
      </c>
      <c r="N254" s="22">
        <f t="shared" si="12"/>
        <v>0</v>
      </c>
      <c r="P254" s="26" t="s">
        <v>1090</v>
      </c>
      <c r="Q254" s="26">
        <v>194601</v>
      </c>
      <c r="R254" s="21" t="str">
        <f t="shared" si="13"/>
        <v>5823</v>
      </c>
      <c r="S254" s="44" t="str">
        <f t="shared" si="14"/>
        <v>5823</v>
      </c>
      <c r="T254" s="45">
        <f t="shared" si="15"/>
        <v>0</v>
      </c>
      <c r="V254" s="45"/>
    </row>
    <row r="255" spans="1:22" s="26" customFormat="1" ht="12.75" x14ac:dyDescent="0.2">
      <c r="A255" s="20" t="str">
        <f>Data!B250</f>
        <v>5832</v>
      </c>
      <c r="B255" s="21" t="str">
        <f>INDEX(Data[],MATCH($A255,Data[Dist],0),MATCH(B$6,Data[#Headers],0))</f>
        <v>Schleswig</v>
      </c>
      <c r="C255" s="22">
        <f>INDEX(Data[],MATCH($A255,Data[Dist],0),MATCH(C$6,Data[#Headers],0))</f>
        <v>96452</v>
      </c>
      <c r="D255" s="160">
        <f>INDEX(Data[],MATCH($A255,Data[Dist],0),MATCH(D$6,Data[#Headers],0))</f>
        <v>95625</v>
      </c>
      <c r="E255" s="160">
        <f>INDEX(Data[],MATCH($A255,Data[Dist],0),MATCH(E$6,Data[#Headers],0))</f>
        <v>95625</v>
      </c>
      <c r="F255" s="160">
        <f>INDEX(Data[],MATCH($A255,Data[Dist],0),MATCH(F$6,Data[#Headers],0))</f>
        <v>95625</v>
      </c>
      <c r="G255" s="22">
        <f>INDEX(Data[],MATCH($A255,Data[Dist],0),MATCH(G$6,Data[#Headers],0))</f>
        <v>289356</v>
      </c>
      <c r="H255" s="22">
        <f>INDEX(Data[],MATCH($A255,Data[Dist],0),MATCH(H$6,Data[#Headers],0))-G255</f>
        <v>675164</v>
      </c>
      <c r="I255" s="25"/>
      <c r="J255" s="22">
        <f>INDEX(Notes!$I$2:$N$11,MATCH(Notes!$B$2,Notes!$I$2:$I$11,0),4)*$C255</f>
        <v>289356</v>
      </c>
      <c r="K255" s="22">
        <f>INDEX(Notes!$I$2:$N$11,MATCH(Notes!$B$2,Notes!$I$2:$I$11,0),5)*$D255</f>
        <v>0</v>
      </c>
      <c r="L255" s="22">
        <f>INDEX(Notes!$I$2:$N$11,MATCH(Notes!$B$2,Notes!$I$2:$I$11,0),6)*$E255</f>
        <v>0</v>
      </c>
      <c r="M255" s="22">
        <f>IF(Notes!$B$2="June",'Payment Total'!$F255,0)</f>
        <v>0</v>
      </c>
      <c r="N255" s="22">
        <f t="shared" si="12"/>
        <v>0</v>
      </c>
      <c r="P255" s="26" t="s">
        <v>1091</v>
      </c>
      <c r="Q255" s="26">
        <v>96452</v>
      </c>
      <c r="R255" s="21" t="str">
        <f t="shared" si="13"/>
        <v>5832</v>
      </c>
      <c r="S255" s="44" t="str">
        <f t="shared" si="14"/>
        <v>5832</v>
      </c>
      <c r="T255" s="45">
        <f t="shared" si="15"/>
        <v>0</v>
      </c>
      <c r="V255" s="45"/>
    </row>
    <row r="256" spans="1:22" s="26" customFormat="1" ht="12.75" x14ac:dyDescent="0.2">
      <c r="A256" s="20" t="str">
        <f>Data!B251</f>
        <v>5877</v>
      </c>
      <c r="B256" s="21" t="str">
        <f>INDEX(Data[],MATCH($A256,Data[Dist],0),MATCH(B$6,Data[#Headers],0))</f>
        <v>Sergeant Bluff-Luton</v>
      </c>
      <c r="C256" s="22">
        <f>INDEX(Data[],MATCH($A256,Data[Dist],0),MATCH(C$6,Data[#Headers],0))</f>
        <v>848168</v>
      </c>
      <c r="D256" s="160">
        <f>INDEX(Data[],MATCH($A256,Data[Dist],0),MATCH(D$6,Data[#Headers],0))</f>
        <v>842719</v>
      </c>
      <c r="E256" s="160">
        <f>INDEX(Data[],MATCH($A256,Data[Dist],0),MATCH(E$6,Data[#Headers],0))</f>
        <v>842718</v>
      </c>
      <c r="F256" s="160">
        <f>INDEX(Data[],MATCH($A256,Data[Dist],0),MATCH(F$6,Data[#Headers],0))</f>
        <v>842719</v>
      </c>
      <c r="G256" s="22">
        <f>INDEX(Data[],MATCH($A256,Data[Dist],0),MATCH(G$6,Data[#Headers],0))</f>
        <v>2544504</v>
      </c>
      <c r="H256" s="22">
        <f>INDEX(Data[],MATCH($A256,Data[Dist],0),MATCH(H$6,Data[#Headers],0))-G256</f>
        <v>5937179</v>
      </c>
      <c r="I256" s="25"/>
      <c r="J256" s="22">
        <f>INDEX(Notes!$I$2:$N$11,MATCH(Notes!$B$2,Notes!$I$2:$I$11,0),4)*$C256</f>
        <v>2544504</v>
      </c>
      <c r="K256" s="22">
        <f>INDEX(Notes!$I$2:$N$11,MATCH(Notes!$B$2,Notes!$I$2:$I$11,0),5)*$D256</f>
        <v>0</v>
      </c>
      <c r="L256" s="22">
        <f>INDEX(Notes!$I$2:$N$11,MATCH(Notes!$B$2,Notes!$I$2:$I$11,0),6)*$E256</f>
        <v>0</v>
      </c>
      <c r="M256" s="22">
        <f>IF(Notes!$B$2="June",'Payment Total'!$F256,0)</f>
        <v>0</v>
      </c>
      <c r="N256" s="22">
        <f t="shared" si="12"/>
        <v>0</v>
      </c>
      <c r="P256" s="26" t="s">
        <v>1092</v>
      </c>
      <c r="Q256" s="26">
        <v>848168</v>
      </c>
      <c r="R256" s="21" t="str">
        <f t="shared" si="13"/>
        <v>5877</v>
      </c>
      <c r="S256" s="44" t="str">
        <f t="shared" si="14"/>
        <v>5877</v>
      </c>
      <c r="T256" s="45">
        <f t="shared" si="15"/>
        <v>0</v>
      </c>
      <c r="V256" s="45"/>
    </row>
    <row r="257" spans="1:22" s="26" customFormat="1" ht="12.75" x14ac:dyDescent="0.2">
      <c r="A257" s="20" t="str">
        <f>Data!B252</f>
        <v>5895</v>
      </c>
      <c r="B257" s="21" t="str">
        <f>INDEX(Data[],MATCH($A257,Data[Dist],0),MATCH(B$6,Data[#Headers],0))</f>
        <v>Seymour</v>
      </c>
      <c r="C257" s="22">
        <f>INDEX(Data[],MATCH($A257,Data[Dist],0),MATCH(C$6,Data[#Headers],0))</f>
        <v>150104</v>
      </c>
      <c r="D257" s="160">
        <f>INDEX(Data[],MATCH($A257,Data[Dist],0),MATCH(D$6,Data[#Headers],0))</f>
        <v>149196</v>
      </c>
      <c r="E257" s="160">
        <f>INDEX(Data[],MATCH($A257,Data[Dist],0),MATCH(E$6,Data[#Headers],0))</f>
        <v>149197</v>
      </c>
      <c r="F257" s="160">
        <f>INDEX(Data[],MATCH($A257,Data[Dist],0),MATCH(F$6,Data[#Headers],0))</f>
        <v>149195</v>
      </c>
      <c r="G257" s="22">
        <f>INDEX(Data[],MATCH($A257,Data[Dist],0),MATCH(G$6,Data[#Headers],0))</f>
        <v>450312</v>
      </c>
      <c r="H257" s="22">
        <f>INDEX(Data[],MATCH($A257,Data[Dist],0),MATCH(H$6,Data[#Headers],0))-G257</f>
        <v>1050726</v>
      </c>
      <c r="I257" s="25"/>
      <c r="J257" s="22">
        <f>INDEX(Notes!$I$2:$N$11,MATCH(Notes!$B$2,Notes!$I$2:$I$11,0),4)*$C257</f>
        <v>450312</v>
      </c>
      <c r="K257" s="22">
        <f>INDEX(Notes!$I$2:$N$11,MATCH(Notes!$B$2,Notes!$I$2:$I$11,0),5)*$D257</f>
        <v>0</v>
      </c>
      <c r="L257" s="22">
        <f>INDEX(Notes!$I$2:$N$11,MATCH(Notes!$B$2,Notes!$I$2:$I$11,0),6)*$E257</f>
        <v>0</v>
      </c>
      <c r="M257" s="22">
        <f>IF(Notes!$B$2="June",'Payment Total'!$F257,0)</f>
        <v>0</v>
      </c>
      <c r="N257" s="22">
        <f t="shared" si="12"/>
        <v>0</v>
      </c>
      <c r="P257" s="26" t="s">
        <v>1093</v>
      </c>
      <c r="Q257" s="26">
        <v>150104</v>
      </c>
      <c r="R257" s="21" t="str">
        <f t="shared" si="13"/>
        <v>5895</v>
      </c>
      <c r="S257" s="44" t="str">
        <f t="shared" si="14"/>
        <v>5895</v>
      </c>
      <c r="T257" s="45">
        <f t="shared" si="15"/>
        <v>0</v>
      </c>
      <c r="V257" s="45"/>
    </row>
    <row r="258" spans="1:22" s="26" customFormat="1" ht="12.75" x14ac:dyDescent="0.2">
      <c r="A258" s="20" t="str">
        <f>Data!B253</f>
        <v>5922</v>
      </c>
      <c r="B258" s="21" t="str">
        <f>INDEX(Data[],MATCH($A258,Data[Dist],0),MATCH(B$6,Data[#Headers],0))</f>
        <v>West Fork</v>
      </c>
      <c r="C258" s="22">
        <f>INDEX(Data[],MATCH($A258,Data[Dist],0),MATCH(C$6,Data[#Headers],0))</f>
        <v>465571</v>
      </c>
      <c r="D258" s="160">
        <f>INDEX(Data[],MATCH($A258,Data[Dist],0),MATCH(D$6,Data[#Headers],0))</f>
        <v>462647</v>
      </c>
      <c r="E258" s="160">
        <f>INDEX(Data[],MATCH($A258,Data[Dist],0),MATCH(E$6,Data[#Headers],0))</f>
        <v>462647</v>
      </c>
      <c r="F258" s="160">
        <f>INDEX(Data[],MATCH($A258,Data[Dist],0),MATCH(F$6,Data[#Headers],0))</f>
        <v>462647</v>
      </c>
      <c r="G258" s="22">
        <f>INDEX(Data[],MATCH($A258,Data[Dist],0),MATCH(G$6,Data[#Headers],0))</f>
        <v>1396713</v>
      </c>
      <c r="H258" s="22">
        <f>INDEX(Data[],MATCH($A258,Data[Dist],0),MATCH(H$6,Data[#Headers],0))-G258</f>
        <v>3258998</v>
      </c>
      <c r="I258" s="25"/>
      <c r="J258" s="22">
        <f>INDEX(Notes!$I$2:$N$11,MATCH(Notes!$B$2,Notes!$I$2:$I$11,0),4)*$C258</f>
        <v>1396713</v>
      </c>
      <c r="K258" s="22">
        <f>INDEX(Notes!$I$2:$N$11,MATCH(Notes!$B$2,Notes!$I$2:$I$11,0),5)*$D258</f>
        <v>0</v>
      </c>
      <c r="L258" s="22">
        <f>INDEX(Notes!$I$2:$N$11,MATCH(Notes!$B$2,Notes!$I$2:$I$11,0),6)*$E258</f>
        <v>0</v>
      </c>
      <c r="M258" s="22">
        <f>IF(Notes!$B$2="June",'Payment Total'!$F258,0)</f>
        <v>0</v>
      </c>
      <c r="N258" s="22">
        <f t="shared" si="12"/>
        <v>0</v>
      </c>
      <c r="P258" s="26" t="s">
        <v>1094</v>
      </c>
      <c r="Q258" s="26">
        <v>465571</v>
      </c>
      <c r="R258" s="21" t="str">
        <f t="shared" si="13"/>
        <v>5922</v>
      </c>
      <c r="S258" s="44" t="str">
        <f t="shared" si="14"/>
        <v>5922</v>
      </c>
      <c r="T258" s="45">
        <f t="shared" si="15"/>
        <v>0</v>
      </c>
      <c r="V258" s="45"/>
    </row>
    <row r="259" spans="1:22" s="26" customFormat="1" ht="12.75" x14ac:dyDescent="0.2">
      <c r="A259" s="20" t="str">
        <f>Data!B254</f>
        <v>5949</v>
      </c>
      <c r="B259" s="21" t="str">
        <f>INDEX(Data[],MATCH($A259,Data[Dist],0),MATCH(B$6,Data[#Headers],0))</f>
        <v>Sheldon</v>
      </c>
      <c r="C259" s="22">
        <f>INDEX(Data[],MATCH($A259,Data[Dist],0),MATCH(C$6,Data[#Headers],0))</f>
        <v>791766</v>
      </c>
      <c r="D259" s="160">
        <f>INDEX(Data[],MATCH($A259,Data[Dist],0),MATCH(D$6,Data[#Headers],0))</f>
        <v>787546</v>
      </c>
      <c r="E259" s="160">
        <f>INDEX(Data[],MATCH($A259,Data[Dist],0),MATCH(E$6,Data[#Headers],0))</f>
        <v>787545</v>
      </c>
      <c r="F259" s="160">
        <f>INDEX(Data[],MATCH($A259,Data[Dist],0),MATCH(F$6,Data[#Headers],0))</f>
        <v>787546</v>
      </c>
      <c r="G259" s="22">
        <f>INDEX(Data[],MATCH($A259,Data[Dist],0),MATCH(G$6,Data[#Headers],0))</f>
        <v>2375298</v>
      </c>
      <c r="H259" s="22">
        <f>INDEX(Data[],MATCH($A259,Data[Dist],0),MATCH(H$6,Data[#Headers],0))-G259</f>
        <v>5542366</v>
      </c>
      <c r="I259" s="25"/>
      <c r="J259" s="22">
        <f>INDEX(Notes!$I$2:$N$11,MATCH(Notes!$B$2,Notes!$I$2:$I$11,0),4)*$C259</f>
        <v>2375298</v>
      </c>
      <c r="K259" s="22">
        <f>INDEX(Notes!$I$2:$N$11,MATCH(Notes!$B$2,Notes!$I$2:$I$11,0),5)*$D259</f>
        <v>0</v>
      </c>
      <c r="L259" s="22">
        <f>INDEX(Notes!$I$2:$N$11,MATCH(Notes!$B$2,Notes!$I$2:$I$11,0),6)*$E259</f>
        <v>0</v>
      </c>
      <c r="M259" s="22">
        <f>IF(Notes!$B$2="June",'Payment Total'!$F259,0)</f>
        <v>0</v>
      </c>
      <c r="N259" s="22">
        <f t="shared" si="12"/>
        <v>0</v>
      </c>
      <c r="P259" s="26" t="s">
        <v>1095</v>
      </c>
      <c r="Q259" s="26">
        <v>791766</v>
      </c>
      <c r="R259" s="21" t="str">
        <f t="shared" si="13"/>
        <v>5949</v>
      </c>
      <c r="S259" s="44" t="str">
        <f t="shared" si="14"/>
        <v>5949</v>
      </c>
      <c r="T259" s="45">
        <f t="shared" si="15"/>
        <v>0</v>
      </c>
      <c r="V259" s="45"/>
    </row>
    <row r="260" spans="1:22" s="26" customFormat="1" ht="12.75" x14ac:dyDescent="0.2">
      <c r="A260" s="20" t="str">
        <f>Data!B255</f>
        <v>5976</v>
      </c>
      <c r="B260" s="21" t="str">
        <f>INDEX(Data[],MATCH($A260,Data[Dist],0),MATCH(B$6,Data[#Headers],0))</f>
        <v>Shenandoah</v>
      </c>
      <c r="C260" s="22">
        <f>INDEX(Data[],MATCH($A260,Data[Dist],0),MATCH(C$6,Data[#Headers],0))</f>
        <v>709605</v>
      </c>
      <c r="D260" s="160">
        <f>INDEX(Data[],MATCH($A260,Data[Dist],0),MATCH(D$6,Data[#Headers],0))</f>
        <v>705585</v>
      </c>
      <c r="E260" s="160">
        <f>INDEX(Data[],MATCH($A260,Data[Dist],0),MATCH(E$6,Data[#Headers],0))</f>
        <v>705585</v>
      </c>
      <c r="F260" s="160">
        <f>INDEX(Data[],MATCH($A260,Data[Dist],0),MATCH(F$6,Data[#Headers],0))</f>
        <v>705584</v>
      </c>
      <c r="G260" s="22">
        <f>INDEX(Data[],MATCH($A260,Data[Dist],0),MATCH(G$6,Data[#Headers],0))</f>
        <v>2128815</v>
      </c>
      <c r="H260" s="22">
        <f>INDEX(Data[],MATCH($A260,Data[Dist],0),MATCH(H$6,Data[#Headers],0))-G260</f>
        <v>4967239</v>
      </c>
      <c r="I260" s="25"/>
      <c r="J260" s="22">
        <f>INDEX(Notes!$I$2:$N$11,MATCH(Notes!$B$2,Notes!$I$2:$I$11,0),4)*$C260</f>
        <v>2128815</v>
      </c>
      <c r="K260" s="22">
        <f>INDEX(Notes!$I$2:$N$11,MATCH(Notes!$B$2,Notes!$I$2:$I$11,0),5)*$D260</f>
        <v>0</v>
      </c>
      <c r="L260" s="22">
        <f>INDEX(Notes!$I$2:$N$11,MATCH(Notes!$B$2,Notes!$I$2:$I$11,0),6)*$E260</f>
        <v>0</v>
      </c>
      <c r="M260" s="22">
        <f>IF(Notes!$B$2="June",'Payment Total'!$F260,0)</f>
        <v>0</v>
      </c>
      <c r="N260" s="22">
        <f t="shared" si="12"/>
        <v>0</v>
      </c>
      <c r="P260" s="26" t="s">
        <v>1096</v>
      </c>
      <c r="Q260" s="26">
        <v>709605</v>
      </c>
      <c r="R260" s="21" t="str">
        <f t="shared" si="13"/>
        <v>5976</v>
      </c>
      <c r="S260" s="44" t="str">
        <f t="shared" si="14"/>
        <v>5976</v>
      </c>
      <c r="T260" s="45">
        <f t="shared" si="15"/>
        <v>0</v>
      </c>
      <c r="V260" s="45"/>
    </row>
    <row r="261" spans="1:22" s="26" customFormat="1" ht="12.75" x14ac:dyDescent="0.2">
      <c r="A261" s="20" t="str">
        <f>Data!B256</f>
        <v>5994</v>
      </c>
      <c r="B261" s="21" t="str">
        <f>INDEX(Data[],MATCH($A261,Data[Dist],0),MATCH(B$6,Data[#Headers],0))</f>
        <v>Sibley-Ocheyedan</v>
      </c>
      <c r="C261" s="22">
        <f>INDEX(Data[],MATCH($A261,Data[Dist],0),MATCH(C$6,Data[#Headers],0))</f>
        <v>445093</v>
      </c>
      <c r="D261" s="160">
        <f>INDEX(Data[],MATCH($A261,Data[Dist],0),MATCH(D$6,Data[#Headers],0))</f>
        <v>442455</v>
      </c>
      <c r="E261" s="160">
        <f>INDEX(Data[],MATCH($A261,Data[Dist],0),MATCH(E$6,Data[#Headers],0))</f>
        <v>442455</v>
      </c>
      <c r="F261" s="160">
        <f>INDEX(Data[],MATCH($A261,Data[Dist],0),MATCH(F$6,Data[#Headers],0))</f>
        <v>442454</v>
      </c>
      <c r="G261" s="22">
        <f>INDEX(Data[],MATCH($A261,Data[Dist],0),MATCH(G$6,Data[#Headers],0))</f>
        <v>1335279</v>
      </c>
      <c r="H261" s="22">
        <f>INDEX(Data[],MATCH($A261,Data[Dist],0),MATCH(H$6,Data[#Headers],0))-G261</f>
        <v>3115648</v>
      </c>
      <c r="I261" s="25"/>
      <c r="J261" s="22">
        <f>INDEX(Notes!$I$2:$N$11,MATCH(Notes!$B$2,Notes!$I$2:$I$11,0),4)*$C261</f>
        <v>1335279</v>
      </c>
      <c r="K261" s="22">
        <f>INDEX(Notes!$I$2:$N$11,MATCH(Notes!$B$2,Notes!$I$2:$I$11,0),5)*$D261</f>
        <v>0</v>
      </c>
      <c r="L261" s="22">
        <f>INDEX(Notes!$I$2:$N$11,MATCH(Notes!$B$2,Notes!$I$2:$I$11,0),6)*$E261</f>
        <v>0</v>
      </c>
      <c r="M261" s="22">
        <f>IF(Notes!$B$2="June",'Payment Total'!$F261,0)</f>
        <v>0</v>
      </c>
      <c r="N261" s="22">
        <f t="shared" si="12"/>
        <v>0</v>
      </c>
      <c r="P261" s="26" t="s">
        <v>1097</v>
      </c>
      <c r="Q261" s="26">
        <v>445093</v>
      </c>
      <c r="R261" s="21" t="str">
        <f t="shared" si="13"/>
        <v>5994</v>
      </c>
      <c r="S261" s="44" t="str">
        <f t="shared" si="14"/>
        <v>5994</v>
      </c>
      <c r="T261" s="45">
        <f t="shared" si="15"/>
        <v>0</v>
      </c>
      <c r="V261" s="45"/>
    </row>
    <row r="262" spans="1:22" s="26" customFormat="1" ht="12.75" x14ac:dyDescent="0.2">
      <c r="A262" s="20" t="str">
        <f>Data!B257</f>
        <v>6003</v>
      </c>
      <c r="B262" s="21" t="str">
        <f>INDEX(Data[],MATCH($A262,Data[Dist],0),MATCH(B$6,Data[#Headers],0))</f>
        <v>Sidney</v>
      </c>
      <c r="C262" s="22">
        <f>INDEX(Data[],MATCH($A262,Data[Dist],0),MATCH(C$6,Data[#Headers],0))</f>
        <v>273249</v>
      </c>
      <c r="D262" s="160">
        <f>INDEX(Data[],MATCH($A262,Data[Dist],0),MATCH(D$6,Data[#Headers],0))</f>
        <v>271772</v>
      </c>
      <c r="E262" s="160">
        <f>INDEX(Data[],MATCH($A262,Data[Dist],0),MATCH(E$6,Data[#Headers],0))</f>
        <v>271772</v>
      </c>
      <c r="F262" s="160">
        <f>INDEX(Data[],MATCH($A262,Data[Dist],0),MATCH(F$6,Data[#Headers],0))</f>
        <v>271770</v>
      </c>
      <c r="G262" s="22">
        <f>INDEX(Data[],MATCH($A262,Data[Dist],0),MATCH(G$6,Data[#Headers],0))</f>
        <v>819747</v>
      </c>
      <c r="H262" s="22">
        <f>INDEX(Data[],MATCH($A262,Data[Dist],0),MATCH(H$6,Data[#Headers],0))-G262</f>
        <v>1912745</v>
      </c>
      <c r="I262" s="25"/>
      <c r="J262" s="22">
        <f>INDEX(Notes!$I$2:$N$11,MATCH(Notes!$B$2,Notes!$I$2:$I$11,0),4)*$C262</f>
        <v>819747</v>
      </c>
      <c r="K262" s="22">
        <f>INDEX(Notes!$I$2:$N$11,MATCH(Notes!$B$2,Notes!$I$2:$I$11,0),5)*$D262</f>
        <v>0</v>
      </c>
      <c r="L262" s="22">
        <f>INDEX(Notes!$I$2:$N$11,MATCH(Notes!$B$2,Notes!$I$2:$I$11,0),6)*$E262</f>
        <v>0</v>
      </c>
      <c r="M262" s="22">
        <f>IF(Notes!$B$2="June",'Payment Total'!$F262,0)</f>
        <v>0</v>
      </c>
      <c r="N262" s="22">
        <f t="shared" si="12"/>
        <v>0</v>
      </c>
      <c r="P262" s="26" t="s">
        <v>1098</v>
      </c>
      <c r="Q262" s="26">
        <v>273249</v>
      </c>
      <c r="R262" s="21" t="str">
        <f t="shared" si="13"/>
        <v>6003</v>
      </c>
      <c r="S262" s="44" t="str">
        <f t="shared" si="14"/>
        <v>6003</v>
      </c>
      <c r="T262" s="45">
        <f t="shared" si="15"/>
        <v>0</v>
      </c>
      <c r="V262" s="45"/>
    </row>
    <row r="263" spans="1:22" s="26" customFormat="1" ht="12.75" x14ac:dyDescent="0.2">
      <c r="A263" s="20" t="str">
        <f>Data!B258</f>
        <v>6012</v>
      </c>
      <c r="B263" s="21" t="str">
        <f>INDEX(Data[],MATCH($A263,Data[Dist],0),MATCH(B$6,Data[#Headers],0))</f>
        <v>Sigourney</v>
      </c>
      <c r="C263" s="22">
        <f>INDEX(Data[],MATCH($A263,Data[Dist],0),MATCH(C$6,Data[#Headers],0))</f>
        <v>400367</v>
      </c>
      <c r="D263" s="160">
        <f>INDEX(Data[],MATCH($A263,Data[Dist],0),MATCH(D$6,Data[#Headers],0))</f>
        <v>398253</v>
      </c>
      <c r="E263" s="160">
        <f>INDEX(Data[],MATCH($A263,Data[Dist],0),MATCH(E$6,Data[#Headers],0))</f>
        <v>398253</v>
      </c>
      <c r="F263" s="160">
        <f>INDEX(Data[],MATCH($A263,Data[Dist],0),MATCH(F$6,Data[#Headers],0))</f>
        <v>398252</v>
      </c>
      <c r="G263" s="22">
        <f>INDEX(Data[],MATCH($A263,Data[Dist],0),MATCH(G$6,Data[#Headers],0))</f>
        <v>1201101</v>
      </c>
      <c r="H263" s="22">
        <f>INDEX(Data[],MATCH($A263,Data[Dist],0),MATCH(H$6,Data[#Headers],0))-G263</f>
        <v>2802570</v>
      </c>
      <c r="I263" s="25"/>
      <c r="J263" s="22">
        <f>INDEX(Notes!$I$2:$N$11,MATCH(Notes!$B$2,Notes!$I$2:$I$11,0),4)*$C263</f>
        <v>1201101</v>
      </c>
      <c r="K263" s="22">
        <f>INDEX(Notes!$I$2:$N$11,MATCH(Notes!$B$2,Notes!$I$2:$I$11,0),5)*$D263</f>
        <v>0</v>
      </c>
      <c r="L263" s="22">
        <f>INDEX(Notes!$I$2:$N$11,MATCH(Notes!$B$2,Notes!$I$2:$I$11,0),6)*$E263</f>
        <v>0</v>
      </c>
      <c r="M263" s="22">
        <f>IF(Notes!$B$2="June",'Payment Total'!$F263,0)</f>
        <v>0</v>
      </c>
      <c r="N263" s="22">
        <f t="shared" si="12"/>
        <v>0</v>
      </c>
      <c r="P263" s="26" t="s">
        <v>1099</v>
      </c>
      <c r="Q263" s="26">
        <v>400367</v>
      </c>
      <c r="R263" s="21" t="str">
        <f t="shared" si="13"/>
        <v>6012</v>
      </c>
      <c r="S263" s="44" t="str">
        <f t="shared" si="14"/>
        <v>6012</v>
      </c>
      <c r="T263" s="45">
        <f t="shared" si="15"/>
        <v>0</v>
      </c>
      <c r="V263" s="45"/>
    </row>
    <row r="264" spans="1:22" s="26" customFormat="1" ht="12.75" x14ac:dyDescent="0.2">
      <c r="A264" s="20" t="str">
        <f>Data!B259</f>
        <v>6030</v>
      </c>
      <c r="B264" s="21" t="str">
        <f>INDEX(Data[],MATCH($A264,Data[Dist],0),MATCH(B$6,Data[#Headers],0))</f>
        <v>Sioux Center</v>
      </c>
      <c r="C264" s="22">
        <f>INDEX(Data[],MATCH($A264,Data[Dist],0),MATCH(C$6,Data[#Headers],0))</f>
        <v>1108077</v>
      </c>
      <c r="D264" s="160">
        <f>INDEX(Data[],MATCH($A264,Data[Dist],0),MATCH(D$6,Data[#Headers],0))</f>
        <v>1102333</v>
      </c>
      <c r="E264" s="160">
        <f>INDEX(Data[],MATCH($A264,Data[Dist],0),MATCH(E$6,Data[#Headers],0))</f>
        <v>1102333</v>
      </c>
      <c r="F264" s="160">
        <f>INDEX(Data[],MATCH($A264,Data[Dist],0),MATCH(F$6,Data[#Headers],0))</f>
        <v>1102334</v>
      </c>
      <c r="G264" s="22">
        <f>INDEX(Data[],MATCH($A264,Data[Dist],0),MATCH(G$6,Data[#Headers],0))</f>
        <v>3324231</v>
      </c>
      <c r="H264" s="22">
        <f>INDEX(Data[],MATCH($A264,Data[Dist],0),MATCH(H$6,Data[#Headers],0))-G264</f>
        <v>7756540</v>
      </c>
      <c r="I264" s="25"/>
      <c r="J264" s="22">
        <f>INDEX(Notes!$I$2:$N$11,MATCH(Notes!$B$2,Notes!$I$2:$I$11,0),4)*$C264</f>
        <v>3324231</v>
      </c>
      <c r="K264" s="22">
        <f>INDEX(Notes!$I$2:$N$11,MATCH(Notes!$B$2,Notes!$I$2:$I$11,0),5)*$D264</f>
        <v>0</v>
      </c>
      <c r="L264" s="22">
        <f>INDEX(Notes!$I$2:$N$11,MATCH(Notes!$B$2,Notes!$I$2:$I$11,0),6)*$E264</f>
        <v>0</v>
      </c>
      <c r="M264" s="22">
        <f>IF(Notes!$B$2="June",'Payment Total'!$F264,0)</f>
        <v>0</v>
      </c>
      <c r="N264" s="22">
        <f t="shared" ref="N264:N327" si="16">SUM(J264:M264)-G264</f>
        <v>0</v>
      </c>
      <c r="P264" s="26" t="s">
        <v>1100</v>
      </c>
      <c r="Q264" s="26">
        <v>1108077</v>
      </c>
      <c r="R264" s="21" t="str">
        <f t="shared" ref="R264:R327" si="17">TEXT(P264/10000,"0000")</f>
        <v>6030</v>
      </c>
      <c r="S264" s="44" t="str">
        <f t="shared" ref="S264:S327" si="18">IF(R264="1968","3582",IF(R264="5160","5319",IF(R264="5510","4824",IF(R264="6536","1935",IF(R264="6035","6048",IF(R264="5325","5323",IF(R264="6099","5157",R264)))))))</f>
        <v>6030</v>
      </c>
      <c r="T264" s="45">
        <f t="shared" ref="T264:T327" si="19">INDEX($A$7:$H$331,MATCH($S264,$A$7:$A$331,0),3)-Q264</f>
        <v>0</v>
      </c>
      <c r="V264" s="45"/>
    </row>
    <row r="265" spans="1:22" s="26" customFormat="1" ht="12.75" x14ac:dyDescent="0.2">
      <c r="A265" s="20" t="str">
        <f>Data!B260</f>
        <v>6039</v>
      </c>
      <c r="B265" s="21" t="str">
        <f>INDEX(Data[],MATCH($A265,Data[Dist],0),MATCH(B$6,Data[#Headers],0))</f>
        <v>Sioux City</v>
      </c>
      <c r="C265" s="22">
        <f>INDEX(Data[],MATCH($A265,Data[Dist],0),MATCH(C$6,Data[#Headers],0))</f>
        <v>12984817</v>
      </c>
      <c r="D265" s="160">
        <f>INDEX(Data[],MATCH($A265,Data[Dist],0),MATCH(D$6,Data[#Headers],0))</f>
        <v>12928007</v>
      </c>
      <c r="E265" s="160">
        <f>INDEX(Data[],MATCH($A265,Data[Dist],0),MATCH(E$6,Data[#Headers],0))</f>
        <v>12928007</v>
      </c>
      <c r="F265" s="160">
        <f>INDEX(Data[],MATCH($A265,Data[Dist],0),MATCH(F$6,Data[#Headers],0))</f>
        <v>12928006</v>
      </c>
      <c r="G265" s="22">
        <f>INDEX(Data[],MATCH($A265,Data[Dist],0),MATCH(G$6,Data[#Headers],0))</f>
        <v>38954451</v>
      </c>
      <c r="H265" s="22">
        <f>INDEX(Data[],MATCH($A265,Data[Dist],0),MATCH(H$6,Data[#Headers],0))-G265</f>
        <v>90893722</v>
      </c>
      <c r="I265" s="25"/>
      <c r="J265" s="22">
        <f>INDEX(Notes!$I$2:$N$11,MATCH(Notes!$B$2,Notes!$I$2:$I$11,0),4)*$C265</f>
        <v>38954451</v>
      </c>
      <c r="K265" s="22">
        <f>INDEX(Notes!$I$2:$N$11,MATCH(Notes!$B$2,Notes!$I$2:$I$11,0),5)*$D265</f>
        <v>0</v>
      </c>
      <c r="L265" s="22">
        <f>INDEX(Notes!$I$2:$N$11,MATCH(Notes!$B$2,Notes!$I$2:$I$11,0),6)*$E265</f>
        <v>0</v>
      </c>
      <c r="M265" s="22">
        <f>IF(Notes!$B$2="June",'Payment Total'!$F265,0)</f>
        <v>0</v>
      </c>
      <c r="N265" s="22">
        <f t="shared" si="16"/>
        <v>0</v>
      </c>
      <c r="P265" s="26" t="s">
        <v>1101</v>
      </c>
      <c r="Q265" s="26">
        <v>12984817</v>
      </c>
      <c r="R265" s="21" t="str">
        <f t="shared" si="17"/>
        <v>6039</v>
      </c>
      <c r="S265" s="44" t="str">
        <f t="shared" si="18"/>
        <v>6039</v>
      </c>
      <c r="T265" s="45">
        <f t="shared" si="19"/>
        <v>0</v>
      </c>
      <c r="V265" s="45"/>
    </row>
    <row r="266" spans="1:22" s="26" customFormat="1" ht="12.75" x14ac:dyDescent="0.2">
      <c r="A266" s="20" t="str">
        <f>Data!B261</f>
        <v>6048</v>
      </c>
      <c r="B266" s="21" t="str">
        <f>INDEX(Data[],MATCH($A266,Data[Dist],0),MATCH(B$6,Data[#Headers],0))</f>
        <v>Sioux Central</v>
      </c>
      <c r="C266" s="22">
        <f>INDEX(Data[],MATCH($A266,Data[Dist],0),MATCH(C$6,Data[#Headers],0))</f>
        <v>270829</v>
      </c>
      <c r="D266" s="160">
        <f>INDEX(Data[],MATCH($A266,Data[Dist],0),MATCH(D$6,Data[#Headers],0))</f>
        <v>269140</v>
      </c>
      <c r="E266" s="160">
        <f>INDEX(Data[],MATCH($A266,Data[Dist],0),MATCH(E$6,Data[#Headers],0))</f>
        <v>269140</v>
      </c>
      <c r="F266" s="160">
        <f>INDEX(Data[],MATCH($A266,Data[Dist],0),MATCH(F$6,Data[#Headers],0))</f>
        <v>269141</v>
      </c>
      <c r="G266" s="22">
        <f>INDEX(Data[],MATCH($A266,Data[Dist],0),MATCH(G$6,Data[#Headers],0))</f>
        <v>812487</v>
      </c>
      <c r="H266" s="22">
        <f>INDEX(Data[],MATCH($A266,Data[Dist],0),MATCH(H$6,Data[#Headers],0))-G266</f>
        <v>1895807</v>
      </c>
      <c r="I266" s="25"/>
      <c r="J266" s="22">
        <f>INDEX(Notes!$I$2:$N$11,MATCH(Notes!$B$2,Notes!$I$2:$I$11,0),4)*$C266</f>
        <v>812487</v>
      </c>
      <c r="K266" s="22">
        <f>INDEX(Notes!$I$2:$N$11,MATCH(Notes!$B$2,Notes!$I$2:$I$11,0),5)*$D266</f>
        <v>0</v>
      </c>
      <c r="L266" s="22">
        <f>INDEX(Notes!$I$2:$N$11,MATCH(Notes!$B$2,Notes!$I$2:$I$11,0),6)*$E266</f>
        <v>0</v>
      </c>
      <c r="M266" s="22">
        <f>IF(Notes!$B$2="June",'Payment Total'!$F266,0)</f>
        <v>0</v>
      </c>
      <c r="N266" s="22">
        <f t="shared" si="16"/>
        <v>0</v>
      </c>
      <c r="P266" s="26" t="s">
        <v>1102</v>
      </c>
      <c r="Q266" s="26">
        <v>270829</v>
      </c>
      <c r="R266" s="21" t="str">
        <f t="shared" si="17"/>
        <v>6035</v>
      </c>
      <c r="S266" s="44" t="str">
        <f t="shared" si="18"/>
        <v>6048</v>
      </c>
      <c r="T266" s="45">
        <f t="shared" si="19"/>
        <v>0</v>
      </c>
      <c r="V266" s="45"/>
    </row>
    <row r="267" spans="1:22" s="26" customFormat="1" ht="12.75" x14ac:dyDescent="0.2">
      <c r="A267" s="20" t="str">
        <f>Data!B262</f>
        <v>6091</v>
      </c>
      <c r="B267" s="21" t="str">
        <f>INDEX(Data[],MATCH($A267,Data[Dist],0),MATCH(B$6,Data[#Headers],0))</f>
        <v>South Central Calhoun</v>
      </c>
      <c r="C267" s="22">
        <f>INDEX(Data[],MATCH($A267,Data[Dist],0),MATCH(C$6,Data[#Headers],0))</f>
        <v>525549</v>
      </c>
      <c r="D267" s="160">
        <f>INDEX(Data[],MATCH($A267,Data[Dist],0),MATCH(D$6,Data[#Headers],0))</f>
        <v>521994</v>
      </c>
      <c r="E267" s="160">
        <f>INDEX(Data[],MATCH($A267,Data[Dist],0),MATCH(E$6,Data[#Headers],0))</f>
        <v>521995</v>
      </c>
      <c r="F267" s="160">
        <f>INDEX(Data[],MATCH($A267,Data[Dist],0),MATCH(F$6,Data[#Headers],0))</f>
        <v>521993</v>
      </c>
      <c r="G267" s="22">
        <f>INDEX(Data[],MATCH($A267,Data[Dist],0),MATCH(G$6,Data[#Headers],0))</f>
        <v>1576647</v>
      </c>
      <c r="H267" s="22">
        <f>INDEX(Data[],MATCH($A267,Data[Dist],0),MATCH(H$6,Data[#Headers],0))-G267</f>
        <v>3678843</v>
      </c>
      <c r="I267" s="25"/>
      <c r="J267" s="22">
        <f>INDEX(Notes!$I$2:$N$11,MATCH(Notes!$B$2,Notes!$I$2:$I$11,0),4)*$C267</f>
        <v>1576647</v>
      </c>
      <c r="K267" s="22">
        <f>INDEX(Notes!$I$2:$N$11,MATCH(Notes!$B$2,Notes!$I$2:$I$11,0),5)*$D267</f>
        <v>0</v>
      </c>
      <c r="L267" s="22">
        <f>INDEX(Notes!$I$2:$N$11,MATCH(Notes!$B$2,Notes!$I$2:$I$11,0),6)*$E267</f>
        <v>0</v>
      </c>
      <c r="M267" s="22">
        <f>IF(Notes!$B$2="June",'Payment Total'!$F267,0)</f>
        <v>0</v>
      </c>
      <c r="N267" s="22">
        <f t="shared" si="16"/>
        <v>0</v>
      </c>
      <c r="P267" s="26" t="s">
        <v>1103</v>
      </c>
      <c r="Q267" s="26">
        <v>525549</v>
      </c>
      <c r="R267" s="21" t="str">
        <f t="shared" si="17"/>
        <v>6091</v>
      </c>
      <c r="S267" s="44" t="str">
        <f t="shared" si="18"/>
        <v>6091</v>
      </c>
      <c r="T267" s="45">
        <f t="shared" si="19"/>
        <v>0</v>
      </c>
      <c r="V267" s="45"/>
    </row>
    <row r="268" spans="1:22" s="26" customFormat="1" ht="12.75" x14ac:dyDescent="0.2">
      <c r="A268" s="20" t="str">
        <f>Data!B263</f>
        <v>6093</v>
      </c>
      <c r="B268" s="21" t="str">
        <f>INDEX(Data[],MATCH($A268,Data[Dist],0),MATCH(B$6,Data[#Headers],0))</f>
        <v>Solon</v>
      </c>
      <c r="C268" s="22">
        <f>INDEX(Data[],MATCH($A268,Data[Dist],0),MATCH(C$6,Data[#Headers],0))</f>
        <v>942249</v>
      </c>
      <c r="D268" s="160">
        <f>INDEX(Data[],MATCH($A268,Data[Dist],0),MATCH(D$6,Data[#Headers],0))</f>
        <v>936693</v>
      </c>
      <c r="E268" s="160">
        <f>INDEX(Data[],MATCH($A268,Data[Dist],0),MATCH(E$6,Data[#Headers],0))</f>
        <v>936693</v>
      </c>
      <c r="F268" s="160">
        <f>INDEX(Data[],MATCH($A268,Data[Dist],0),MATCH(F$6,Data[#Headers],0))</f>
        <v>936691</v>
      </c>
      <c r="G268" s="22">
        <f>INDEX(Data[],MATCH($A268,Data[Dist],0),MATCH(G$6,Data[#Headers],0))</f>
        <v>2826747</v>
      </c>
      <c r="H268" s="22">
        <f>INDEX(Data[],MATCH($A268,Data[Dist],0),MATCH(H$6,Data[#Headers],0))-G268</f>
        <v>6595741</v>
      </c>
      <c r="I268" s="25"/>
      <c r="J268" s="22">
        <f>INDEX(Notes!$I$2:$N$11,MATCH(Notes!$B$2,Notes!$I$2:$I$11,0),4)*$C268</f>
        <v>2826747</v>
      </c>
      <c r="K268" s="22">
        <f>INDEX(Notes!$I$2:$N$11,MATCH(Notes!$B$2,Notes!$I$2:$I$11,0),5)*$D268</f>
        <v>0</v>
      </c>
      <c r="L268" s="22">
        <f>INDEX(Notes!$I$2:$N$11,MATCH(Notes!$B$2,Notes!$I$2:$I$11,0),6)*$E268</f>
        <v>0</v>
      </c>
      <c r="M268" s="22">
        <f>IF(Notes!$B$2="June",'Payment Total'!$F268,0)</f>
        <v>0</v>
      </c>
      <c r="N268" s="22">
        <f t="shared" si="16"/>
        <v>0</v>
      </c>
      <c r="P268" s="26" t="s">
        <v>1104</v>
      </c>
      <c r="Q268" s="26">
        <v>942249</v>
      </c>
      <c r="R268" s="21" t="str">
        <f t="shared" si="17"/>
        <v>6093</v>
      </c>
      <c r="S268" s="44" t="str">
        <f t="shared" si="18"/>
        <v>6093</v>
      </c>
      <c r="T268" s="45">
        <f t="shared" si="19"/>
        <v>0</v>
      </c>
      <c r="V268" s="45"/>
    </row>
    <row r="269" spans="1:22" s="26" customFormat="1" ht="12.75" x14ac:dyDescent="0.2">
      <c r="A269" s="20" t="str">
        <f>Data!B264</f>
        <v>6094</v>
      </c>
      <c r="B269" s="21" t="str">
        <f>INDEX(Data[],MATCH($A269,Data[Dist],0),MATCH(B$6,Data[#Headers],0))</f>
        <v>Southeast Warren</v>
      </c>
      <c r="C269" s="22">
        <f>INDEX(Data[],MATCH($A269,Data[Dist],0),MATCH(C$6,Data[#Headers],0))</f>
        <v>376872</v>
      </c>
      <c r="D269" s="160">
        <f>INDEX(Data[],MATCH($A269,Data[Dist],0),MATCH(D$6,Data[#Headers],0))</f>
        <v>374935</v>
      </c>
      <c r="E269" s="160">
        <f>INDEX(Data[],MATCH($A269,Data[Dist],0),MATCH(E$6,Data[#Headers],0))</f>
        <v>374936</v>
      </c>
      <c r="F269" s="160">
        <f>INDEX(Data[],MATCH($A269,Data[Dist],0),MATCH(F$6,Data[#Headers],0))</f>
        <v>374934</v>
      </c>
      <c r="G269" s="22">
        <f>INDEX(Data[],MATCH($A269,Data[Dist],0),MATCH(G$6,Data[#Headers],0))</f>
        <v>1130616</v>
      </c>
      <c r="H269" s="22">
        <f>INDEX(Data[],MATCH($A269,Data[Dist],0),MATCH(H$6,Data[#Headers],0))-G269</f>
        <v>2638100</v>
      </c>
      <c r="I269" s="25"/>
      <c r="J269" s="22">
        <f>INDEX(Notes!$I$2:$N$11,MATCH(Notes!$B$2,Notes!$I$2:$I$11,0),4)*$C269</f>
        <v>1130616</v>
      </c>
      <c r="K269" s="22">
        <f>INDEX(Notes!$I$2:$N$11,MATCH(Notes!$B$2,Notes!$I$2:$I$11,0),5)*$D269</f>
        <v>0</v>
      </c>
      <c r="L269" s="22">
        <f>INDEX(Notes!$I$2:$N$11,MATCH(Notes!$B$2,Notes!$I$2:$I$11,0),6)*$E269</f>
        <v>0</v>
      </c>
      <c r="M269" s="22">
        <f>IF(Notes!$B$2="June",'Payment Total'!$F269,0)</f>
        <v>0</v>
      </c>
      <c r="N269" s="22">
        <f t="shared" si="16"/>
        <v>0</v>
      </c>
      <c r="P269" s="26" t="s">
        <v>1105</v>
      </c>
      <c r="Q269" s="26">
        <v>376872</v>
      </c>
      <c r="R269" s="21" t="str">
        <f t="shared" si="17"/>
        <v>6094</v>
      </c>
      <c r="S269" s="44" t="str">
        <f t="shared" si="18"/>
        <v>6094</v>
      </c>
      <c r="T269" s="45">
        <f t="shared" si="19"/>
        <v>0</v>
      </c>
      <c r="V269" s="45"/>
    </row>
    <row r="270" spans="1:22" s="26" customFormat="1" ht="12.75" x14ac:dyDescent="0.2">
      <c r="A270" s="20" t="str">
        <f>Data!B265</f>
        <v>6095</v>
      </c>
      <c r="B270" s="21" t="str">
        <f>INDEX(Data[],MATCH($A270,Data[Dist],0),MATCH(B$6,Data[#Headers],0))</f>
        <v>South Hamilton</v>
      </c>
      <c r="C270" s="22">
        <f>INDEX(Data[],MATCH($A270,Data[Dist],0),MATCH(C$6,Data[#Headers],0))</f>
        <v>365648</v>
      </c>
      <c r="D270" s="160">
        <f>INDEX(Data[],MATCH($A270,Data[Dist],0),MATCH(D$6,Data[#Headers],0))</f>
        <v>363248</v>
      </c>
      <c r="E270" s="160">
        <f>INDEX(Data[],MATCH($A270,Data[Dist],0),MATCH(E$6,Data[#Headers],0))</f>
        <v>363249</v>
      </c>
      <c r="F270" s="160">
        <f>INDEX(Data[],MATCH($A270,Data[Dist],0),MATCH(F$6,Data[#Headers],0))</f>
        <v>363247</v>
      </c>
      <c r="G270" s="22">
        <f>INDEX(Data[],MATCH($A270,Data[Dist],0),MATCH(G$6,Data[#Headers],0))</f>
        <v>1096944</v>
      </c>
      <c r="H270" s="22">
        <f>INDEX(Data[],MATCH($A270,Data[Dist],0),MATCH(H$6,Data[#Headers],0))-G270</f>
        <v>2559533</v>
      </c>
      <c r="I270" s="25"/>
      <c r="J270" s="22">
        <f>INDEX(Notes!$I$2:$N$11,MATCH(Notes!$B$2,Notes!$I$2:$I$11,0),4)*$C270</f>
        <v>1096944</v>
      </c>
      <c r="K270" s="22">
        <f>INDEX(Notes!$I$2:$N$11,MATCH(Notes!$B$2,Notes!$I$2:$I$11,0),5)*$D270</f>
        <v>0</v>
      </c>
      <c r="L270" s="22">
        <f>INDEX(Notes!$I$2:$N$11,MATCH(Notes!$B$2,Notes!$I$2:$I$11,0),6)*$E270</f>
        <v>0</v>
      </c>
      <c r="M270" s="22">
        <f>IF(Notes!$B$2="June",'Payment Total'!$F270,0)</f>
        <v>0</v>
      </c>
      <c r="N270" s="22">
        <f t="shared" si="16"/>
        <v>0</v>
      </c>
      <c r="P270" s="26" t="s">
        <v>1106</v>
      </c>
      <c r="Q270" s="26">
        <v>365648</v>
      </c>
      <c r="R270" s="21" t="str">
        <f t="shared" si="17"/>
        <v>6095</v>
      </c>
      <c r="S270" s="44" t="str">
        <f t="shared" si="18"/>
        <v>6095</v>
      </c>
      <c r="T270" s="45">
        <f t="shared" si="19"/>
        <v>0</v>
      </c>
      <c r="V270" s="45"/>
    </row>
    <row r="271" spans="1:22" s="26" customFormat="1" ht="12.75" x14ac:dyDescent="0.2">
      <c r="A271" s="20" t="str">
        <f>Data!B266</f>
        <v>6096</v>
      </c>
      <c r="B271" s="21" t="str">
        <f>INDEX(Data[],MATCH($A271,Data[Dist],0),MATCH(B$6,Data[#Headers],0))</f>
        <v>Southeast Valley</v>
      </c>
      <c r="C271" s="22">
        <f>INDEX(Data[],MATCH($A271,Data[Dist],0),MATCH(C$6,Data[#Headers],0))</f>
        <v>701060</v>
      </c>
      <c r="D271" s="160">
        <f>INDEX(Data[],MATCH($A271,Data[Dist],0),MATCH(D$6,Data[#Headers],0))</f>
        <v>696873</v>
      </c>
      <c r="E271" s="160">
        <f>INDEX(Data[],MATCH($A271,Data[Dist],0),MATCH(E$6,Data[#Headers],0))</f>
        <v>696873</v>
      </c>
      <c r="F271" s="160">
        <f>INDEX(Data[],MATCH($A271,Data[Dist],0),MATCH(F$6,Data[#Headers],0))</f>
        <v>696873</v>
      </c>
      <c r="G271" s="22">
        <f>INDEX(Data[],MATCH($A271,Data[Dist],0),MATCH(G$6,Data[#Headers],0))</f>
        <v>2103180</v>
      </c>
      <c r="H271" s="22">
        <f>INDEX(Data[],MATCH($A271,Data[Dist],0),MATCH(H$6,Data[#Headers],0))-G271</f>
        <v>4907420</v>
      </c>
      <c r="I271" s="25"/>
      <c r="J271" s="22">
        <f>INDEX(Notes!$I$2:$N$11,MATCH(Notes!$B$2,Notes!$I$2:$I$11,0),4)*$C271</f>
        <v>2103180</v>
      </c>
      <c r="K271" s="22">
        <f>INDEX(Notes!$I$2:$N$11,MATCH(Notes!$B$2,Notes!$I$2:$I$11,0),5)*$D271</f>
        <v>0</v>
      </c>
      <c r="L271" s="22">
        <f>INDEX(Notes!$I$2:$N$11,MATCH(Notes!$B$2,Notes!$I$2:$I$11,0),6)*$E271</f>
        <v>0</v>
      </c>
      <c r="M271" s="22">
        <f>IF(Notes!$B$2="June",'Payment Total'!$F271,0)</f>
        <v>0</v>
      </c>
      <c r="N271" s="22">
        <f t="shared" si="16"/>
        <v>0</v>
      </c>
      <c r="P271" s="26" t="s">
        <v>1107</v>
      </c>
      <c r="Q271" s="26">
        <v>701060</v>
      </c>
      <c r="R271" s="21" t="str">
        <f t="shared" si="17"/>
        <v>6096</v>
      </c>
      <c r="S271" s="44" t="str">
        <f t="shared" si="18"/>
        <v>6096</v>
      </c>
      <c r="T271" s="45">
        <f t="shared" si="19"/>
        <v>0</v>
      </c>
      <c r="V271" s="45"/>
    </row>
    <row r="272" spans="1:22" s="26" customFormat="1" ht="12.75" x14ac:dyDescent="0.2">
      <c r="A272" s="20" t="str">
        <f>Data!B267</f>
        <v>6097</v>
      </c>
      <c r="B272" s="21" t="str">
        <f>INDEX(Data[],MATCH($A272,Data[Dist],0),MATCH(B$6,Data[#Headers],0))</f>
        <v>South Page</v>
      </c>
      <c r="C272" s="22">
        <f>INDEX(Data[],MATCH($A272,Data[Dist],0),MATCH(C$6,Data[#Headers],0))</f>
        <v>123040</v>
      </c>
      <c r="D272" s="160">
        <f>INDEX(Data[],MATCH($A272,Data[Dist],0),MATCH(D$6,Data[#Headers],0))</f>
        <v>122300</v>
      </c>
      <c r="E272" s="160">
        <f>INDEX(Data[],MATCH($A272,Data[Dist],0),MATCH(E$6,Data[#Headers],0))</f>
        <v>122300</v>
      </c>
      <c r="F272" s="160">
        <f>INDEX(Data[],MATCH($A272,Data[Dist],0),MATCH(F$6,Data[#Headers],0))</f>
        <v>122298</v>
      </c>
      <c r="G272" s="22">
        <f>INDEX(Data[],MATCH($A272,Data[Dist],0),MATCH(G$6,Data[#Headers],0))</f>
        <v>369120</v>
      </c>
      <c r="H272" s="22">
        <f>INDEX(Data[],MATCH($A272,Data[Dist],0),MATCH(H$6,Data[#Headers],0))-G272</f>
        <v>861280</v>
      </c>
      <c r="I272" s="25"/>
      <c r="J272" s="22">
        <f>INDEX(Notes!$I$2:$N$11,MATCH(Notes!$B$2,Notes!$I$2:$I$11,0),4)*$C272</f>
        <v>369120</v>
      </c>
      <c r="K272" s="22">
        <f>INDEX(Notes!$I$2:$N$11,MATCH(Notes!$B$2,Notes!$I$2:$I$11,0),5)*$D272</f>
        <v>0</v>
      </c>
      <c r="L272" s="22">
        <f>INDEX(Notes!$I$2:$N$11,MATCH(Notes!$B$2,Notes!$I$2:$I$11,0),6)*$E272</f>
        <v>0</v>
      </c>
      <c r="M272" s="22">
        <f>IF(Notes!$B$2="June",'Payment Total'!$F272,0)</f>
        <v>0</v>
      </c>
      <c r="N272" s="22">
        <f t="shared" si="16"/>
        <v>0</v>
      </c>
      <c r="P272" s="26" t="s">
        <v>1108</v>
      </c>
      <c r="Q272" s="26">
        <v>123040</v>
      </c>
      <c r="R272" s="21" t="str">
        <f t="shared" si="17"/>
        <v>6097</v>
      </c>
      <c r="S272" s="44" t="str">
        <f t="shared" si="18"/>
        <v>6097</v>
      </c>
      <c r="T272" s="45">
        <f t="shared" si="19"/>
        <v>0</v>
      </c>
      <c r="V272" s="45"/>
    </row>
    <row r="273" spans="1:22" s="26" customFormat="1" ht="12.75" x14ac:dyDescent="0.2">
      <c r="A273" s="20" t="str">
        <f>Data!B268</f>
        <v>6098</v>
      </c>
      <c r="B273" s="21" t="str">
        <f>INDEX(Data[],MATCH($A273,Data[Dist],0),MATCH(B$6,Data[#Headers],0))</f>
        <v>South Tama</v>
      </c>
      <c r="C273" s="22">
        <f>INDEX(Data[],MATCH($A273,Data[Dist],0),MATCH(C$6,Data[#Headers],0))</f>
        <v>1170056</v>
      </c>
      <c r="D273" s="160">
        <f>INDEX(Data[],MATCH($A273,Data[Dist],0),MATCH(D$6,Data[#Headers],0))</f>
        <v>1164514</v>
      </c>
      <c r="E273" s="160">
        <f>INDEX(Data[],MATCH($A273,Data[Dist],0),MATCH(E$6,Data[#Headers],0))</f>
        <v>1164514</v>
      </c>
      <c r="F273" s="160">
        <f>INDEX(Data[],MATCH($A273,Data[Dist],0),MATCH(F$6,Data[#Headers],0))</f>
        <v>1164514</v>
      </c>
      <c r="G273" s="22">
        <f>INDEX(Data[],MATCH($A273,Data[Dist],0),MATCH(G$6,Data[#Headers],0))</f>
        <v>3510168</v>
      </c>
      <c r="H273" s="22">
        <f>INDEX(Data[],MATCH($A273,Data[Dist],0),MATCH(H$6,Data[#Headers],0))-G273</f>
        <v>8190387</v>
      </c>
      <c r="I273" s="25"/>
      <c r="J273" s="22">
        <f>INDEX(Notes!$I$2:$N$11,MATCH(Notes!$B$2,Notes!$I$2:$I$11,0),4)*$C273</f>
        <v>3510168</v>
      </c>
      <c r="K273" s="22">
        <f>INDEX(Notes!$I$2:$N$11,MATCH(Notes!$B$2,Notes!$I$2:$I$11,0),5)*$D273</f>
        <v>0</v>
      </c>
      <c r="L273" s="22">
        <f>INDEX(Notes!$I$2:$N$11,MATCH(Notes!$B$2,Notes!$I$2:$I$11,0),6)*$E273</f>
        <v>0</v>
      </c>
      <c r="M273" s="22">
        <f>IF(Notes!$B$2="June",'Payment Total'!$F273,0)</f>
        <v>0</v>
      </c>
      <c r="N273" s="22">
        <f t="shared" si="16"/>
        <v>0</v>
      </c>
      <c r="P273" s="26" t="s">
        <v>1109</v>
      </c>
      <c r="Q273" s="26">
        <v>1170056</v>
      </c>
      <c r="R273" s="21" t="str">
        <f t="shared" si="17"/>
        <v>6098</v>
      </c>
      <c r="S273" s="44" t="str">
        <f t="shared" si="18"/>
        <v>6098</v>
      </c>
      <c r="T273" s="45">
        <f t="shared" si="19"/>
        <v>0</v>
      </c>
      <c r="V273" s="45"/>
    </row>
    <row r="274" spans="1:22" s="26" customFormat="1" ht="12.75" x14ac:dyDescent="0.2">
      <c r="A274" s="20" t="str">
        <f>Data!B269</f>
        <v>6100</v>
      </c>
      <c r="B274" s="21" t="str">
        <f>INDEX(Data[],MATCH($A274,Data[Dist],0),MATCH(B$6,Data[#Headers],0))</f>
        <v>South Winneshiek</v>
      </c>
      <c r="C274" s="22">
        <f>INDEX(Data[],MATCH($A274,Data[Dist],0),MATCH(C$6,Data[#Headers],0))</f>
        <v>352996</v>
      </c>
      <c r="D274" s="160">
        <f>INDEX(Data[],MATCH($A274,Data[Dist],0),MATCH(D$6,Data[#Headers],0))</f>
        <v>351018</v>
      </c>
      <c r="E274" s="160">
        <f>INDEX(Data[],MATCH($A274,Data[Dist],0),MATCH(E$6,Data[#Headers],0))</f>
        <v>351018</v>
      </c>
      <c r="F274" s="160">
        <f>INDEX(Data[],MATCH($A274,Data[Dist],0),MATCH(F$6,Data[#Headers],0))</f>
        <v>351016</v>
      </c>
      <c r="G274" s="22">
        <f>INDEX(Data[],MATCH($A274,Data[Dist],0),MATCH(G$6,Data[#Headers],0))</f>
        <v>1058988</v>
      </c>
      <c r="H274" s="22">
        <f>INDEX(Data[],MATCH($A274,Data[Dist],0),MATCH(H$6,Data[#Headers],0))-G274</f>
        <v>2470971</v>
      </c>
      <c r="I274" s="25"/>
      <c r="J274" s="22">
        <f>INDEX(Notes!$I$2:$N$11,MATCH(Notes!$B$2,Notes!$I$2:$I$11,0),4)*$C274</f>
        <v>1058988</v>
      </c>
      <c r="K274" s="22">
        <f>INDEX(Notes!$I$2:$N$11,MATCH(Notes!$B$2,Notes!$I$2:$I$11,0),5)*$D274</f>
        <v>0</v>
      </c>
      <c r="L274" s="22">
        <f>INDEX(Notes!$I$2:$N$11,MATCH(Notes!$B$2,Notes!$I$2:$I$11,0),6)*$E274</f>
        <v>0</v>
      </c>
      <c r="M274" s="22">
        <f>IF(Notes!$B$2="June",'Payment Total'!$F274,0)</f>
        <v>0</v>
      </c>
      <c r="N274" s="22">
        <f t="shared" si="16"/>
        <v>0</v>
      </c>
      <c r="P274" s="26" t="s">
        <v>1110</v>
      </c>
      <c r="Q274" s="26">
        <v>352996</v>
      </c>
      <c r="R274" s="21" t="str">
        <f t="shared" si="17"/>
        <v>6100</v>
      </c>
      <c r="S274" s="44" t="str">
        <f t="shared" si="18"/>
        <v>6100</v>
      </c>
      <c r="T274" s="45">
        <f t="shared" si="19"/>
        <v>0</v>
      </c>
      <c r="V274" s="45"/>
    </row>
    <row r="275" spans="1:22" s="26" customFormat="1" ht="12.75" x14ac:dyDescent="0.2">
      <c r="A275" s="20" t="str">
        <f>Data!B270</f>
        <v>6101</v>
      </c>
      <c r="B275" s="21" t="str">
        <f>INDEX(Data[],MATCH($A275,Data[Dist],0),MATCH(B$6,Data[#Headers],0))</f>
        <v>Southeast Polk</v>
      </c>
      <c r="C275" s="22">
        <f>INDEX(Data[],MATCH($A275,Data[Dist],0),MATCH(C$6,Data[#Headers],0))</f>
        <v>5384739</v>
      </c>
      <c r="D275" s="160">
        <f>INDEX(Data[],MATCH($A275,Data[Dist],0),MATCH(D$6,Data[#Headers],0))</f>
        <v>5357133</v>
      </c>
      <c r="E275" s="160">
        <f>INDEX(Data[],MATCH($A275,Data[Dist],0),MATCH(E$6,Data[#Headers],0))</f>
        <v>5357133</v>
      </c>
      <c r="F275" s="160">
        <f>INDEX(Data[],MATCH($A275,Data[Dist],0),MATCH(F$6,Data[#Headers],0))</f>
        <v>5357131</v>
      </c>
      <c r="G275" s="22">
        <f>INDEX(Data[],MATCH($A275,Data[Dist],0),MATCH(G$6,Data[#Headers],0))</f>
        <v>16154217</v>
      </c>
      <c r="H275" s="22">
        <f>INDEX(Data[],MATCH($A275,Data[Dist],0),MATCH(H$6,Data[#Headers],0))-G275</f>
        <v>37693172</v>
      </c>
      <c r="I275" s="25"/>
      <c r="J275" s="22">
        <f>INDEX(Notes!$I$2:$N$11,MATCH(Notes!$B$2,Notes!$I$2:$I$11,0),4)*$C275</f>
        <v>16154217</v>
      </c>
      <c r="K275" s="22">
        <f>INDEX(Notes!$I$2:$N$11,MATCH(Notes!$B$2,Notes!$I$2:$I$11,0),5)*$D275</f>
        <v>0</v>
      </c>
      <c r="L275" s="22">
        <f>INDEX(Notes!$I$2:$N$11,MATCH(Notes!$B$2,Notes!$I$2:$I$11,0),6)*$E275</f>
        <v>0</v>
      </c>
      <c r="M275" s="22">
        <f>IF(Notes!$B$2="June",'Payment Total'!$F275,0)</f>
        <v>0</v>
      </c>
      <c r="N275" s="22">
        <f t="shared" si="16"/>
        <v>0</v>
      </c>
      <c r="P275" s="26" t="s">
        <v>1111</v>
      </c>
      <c r="Q275" s="26">
        <v>5384739</v>
      </c>
      <c r="R275" s="21" t="str">
        <f t="shared" si="17"/>
        <v>6101</v>
      </c>
      <c r="S275" s="44" t="str">
        <f t="shared" si="18"/>
        <v>6101</v>
      </c>
      <c r="T275" s="45">
        <f t="shared" si="19"/>
        <v>0</v>
      </c>
      <c r="V275" s="45"/>
    </row>
    <row r="276" spans="1:22" s="26" customFormat="1" ht="12.75" x14ac:dyDescent="0.2">
      <c r="A276" s="20" t="str">
        <f>Data!B271</f>
        <v>6102</v>
      </c>
      <c r="B276" s="21" t="str">
        <f>INDEX(Data[],MATCH($A276,Data[Dist],0),MATCH(B$6,Data[#Headers],0))</f>
        <v>Spencer</v>
      </c>
      <c r="C276" s="22">
        <f>INDEX(Data[],MATCH($A276,Data[Dist],0),MATCH(C$6,Data[#Headers],0))</f>
        <v>1565977</v>
      </c>
      <c r="D276" s="160">
        <f>INDEX(Data[],MATCH($A276,Data[Dist],0),MATCH(D$6,Data[#Headers],0))</f>
        <v>1558224</v>
      </c>
      <c r="E276" s="160">
        <f>INDEX(Data[],MATCH($A276,Data[Dist],0),MATCH(E$6,Data[#Headers],0))</f>
        <v>1558224</v>
      </c>
      <c r="F276" s="160">
        <f>INDEX(Data[],MATCH($A276,Data[Dist],0),MATCH(F$6,Data[#Headers],0))</f>
        <v>1558223</v>
      </c>
      <c r="G276" s="22">
        <f>INDEX(Data[],MATCH($A276,Data[Dist],0),MATCH(G$6,Data[#Headers],0))</f>
        <v>4697931</v>
      </c>
      <c r="H276" s="22">
        <f>INDEX(Data[],MATCH($A276,Data[Dist],0),MATCH(H$6,Data[#Headers],0))-G276</f>
        <v>10961841</v>
      </c>
      <c r="I276" s="25"/>
      <c r="J276" s="22">
        <f>INDEX(Notes!$I$2:$N$11,MATCH(Notes!$B$2,Notes!$I$2:$I$11,0),4)*$C276</f>
        <v>4697931</v>
      </c>
      <c r="K276" s="22">
        <f>INDEX(Notes!$I$2:$N$11,MATCH(Notes!$B$2,Notes!$I$2:$I$11,0),5)*$D276</f>
        <v>0</v>
      </c>
      <c r="L276" s="22">
        <f>INDEX(Notes!$I$2:$N$11,MATCH(Notes!$B$2,Notes!$I$2:$I$11,0),6)*$E276</f>
        <v>0</v>
      </c>
      <c r="M276" s="22">
        <f>IF(Notes!$B$2="June",'Payment Total'!$F276,0)</f>
        <v>0</v>
      </c>
      <c r="N276" s="22">
        <f t="shared" si="16"/>
        <v>0</v>
      </c>
      <c r="P276" s="26" t="s">
        <v>1112</v>
      </c>
      <c r="Q276" s="26">
        <v>1565977</v>
      </c>
      <c r="R276" s="21" t="str">
        <f t="shared" si="17"/>
        <v>6102</v>
      </c>
      <c r="S276" s="44" t="str">
        <f t="shared" si="18"/>
        <v>6102</v>
      </c>
      <c r="T276" s="45">
        <f t="shared" si="19"/>
        <v>0</v>
      </c>
      <c r="V276" s="45"/>
    </row>
    <row r="277" spans="1:22" s="26" customFormat="1" ht="12.75" x14ac:dyDescent="0.2">
      <c r="A277" s="20" t="str">
        <f>Data!B272</f>
        <v>6120</v>
      </c>
      <c r="B277" s="21" t="str">
        <f>INDEX(Data[],MATCH($A277,Data[Dist],0),MATCH(B$6,Data[#Headers],0))</f>
        <v>Spirit Lake</v>
      </c>
      <c r="C277" s="22">
        <f>INDEX(Data[],MATCH($A277,Data[Dist],0),MATCH(C$6,Data[#Headers],0))</f>
        <v>309553</v>
      </c>
      <c r="D277" s="160">
        <f>INDEX(Data[],MATCH($A277,Data[Dist],0),MATCH(D$6,Data[#Headers],0))</f>
        <v>305081</v>
      </c>
      <c r="E277" s="160">
        <f>INDEX(Data[],MATCH($A277,Data[Dist],0),MATCH(E$6,Data[#Headers],0))</f>
        <v>305081</v>
      </c>
      <c r="F277" s="160">
        <f>INDEX(Data[],MATCH($A277,Data[Dist],0),MATCH(F$6,Data[#Headers],0))</f>
        <v>305082</v>
      </c>
      <c r="G277" s="22">
        <f>INDEX(Data[],MATCH($A277,Data[Dist],0),MATCH(G$6,Data[#Headers],0))</f>
        <v>928659</v>
      </c>
      <c r="H277" s="22">
        <f>INDEX(Data[],MATCH($A277,Data[Dist],0),MATCH(H$6,Data[#Headers],0))-G277</f>
        <v>2166867</v>
      </c>
      <c r="I277" s="25"/>
      <c r="J277" s="22">
        <f>INDEX(Notes!$I$2:$N$11,MATCH(Notes!$B$2,Notes!$I$2:$I$11,0),4)*$C277</f>
        <v>928659</v>
      </c>
      <c r="K277" s="22">
        <f>INDEX(Notes!$I$2:$N$11,MATCH(Notes!$B$2,Notes!$I$2:$I$11,0),5)*$D277</f>
        <v>0</v>
      </c>
      <c r="L277" s="22">
        <f>INDEX(Notes!$I$2:$N$11,MATCH(Notes!$B$2,Notes!$I$2:$I$11,0),6)*$E277</f>
        <v>0</v>
      </c>
      <c r="M277" s="22">
        <f>IF(Notes!$B$2="June",'Payment Total'!$F277,0)</f>
        <v>0</v>
      </c>
      <c r="N277" s="22">
        <f t="shared" si="16"/>
        <v>0</v>
      </c>
      <c r="P277" s="26" t="s">
        <v>1113</v>
      </c>
      <c r="Q277" s="26">
        <v>309553</v>
      </c>
      <c r="R277" s="21" t="str">
        <f t="shared" si="17"/>
        <v>6120</v>
      </c>
      <c r="S277" s="44" t="str">
        <f t="shared" si="18"/>
        <v>6120</v>
      </c>
      <c r="T277" s="45">
        <f t="shared" si="19"/>
        <v>0</v>
      </c>
      <c r="V277" s="45"/>
    </row>
    <row r="278" spans="1:22" s="26" customFormat="1" ht="12.75" x14ac:dyDescent="0.2">
      <c r="A278" s="20" t="str">
        <f>Data!B273</f>
        <v>6138</v>
      </c>
      <c r="B278" s="21" t="str">
        <f>INDEX(Data[],MATCH($A278,Data[Dist],0),MATCH(B$6,Data[#Headers],0))</f>
        <v>Springville</v>
      </c>
      <c r="C278" s="22">
        <f>INDEX(Data[],MATCH($A278,Data[Dist],0),MATCH(C$6,Data[#Headers],0))</f>
        <v>285502</v>
      </c>
      <c r="D278" s="160">
        <f>INDEX(Data[],MATCH($A278,Data[Dist],0),MATCH(D$6,Data[#Headers],0))</f>
        <v>283945</v>
      </c>
      <c r="E278" s="160">
        <f>INDEX(Data[],MATCH($A278,Data[Dist],0),MATCH(E$6,Data[#Headers],0))</f>
        <v>283945</v>
      </c>
      <c r="F278" s="160">
        <f>INDEX(Data[],MATCH($A278,Data[Dist],0),MATCH(F$6,Data[#Headers],0))</f>
        <v>283944</v>
      </c>
      <c r="G278" s="22">
        <f>INDEX(Data[],MATCH($A278,Data[Dist],0),MATCH(G$6,Data[#Headers],0))</f>
        <v>856506</v>
      </c>
      <c r="H278" s="22">
        <f>INDEX(Data[],MATCH($A278,Data[Dist],0),MATCH(H$6,Data[#Headers],0))-G278</f>
        <v>1998513</v>
      </c>
      <c r="I278" s="25"/>
      <c r="J278" s="22">
        <f>INDEX(Notes!$I$2:$N$11,MATCH(Notes!$B$2,Notes!$I$2:$I$11,0),4)*$C278</f>
        <v>856506</v>
      </c>
      <c r="K278" s="22">
        <f>INDEX(Notes!$I$2:$N$11,MATCH(Notes!$B$2,Notes!$I$2:$I$11,0),5)*$D278</f>
        <v>0</v>
      </c>
      <c r="L278" s="22">
        <f>INDEX(Notes!$I$2:$N$11,MATCH(Notes!$B$2,Notes!$I$2:$I$11,0),6)*$E278</f>
        <v>0</v>
      </c>
      <c r="M278" s="22">
        <f>IF(Notes!$B$2="June",'Payment Total'!$F278,0)</f>
        <v>0</v>
      </c>
      <c r="N278" s="22">
        <f t="shared" si="16"/>
        <v>0</v>
      </c>
      <c r="P278" s="26" t="s">
        <v>1114</v>
      </c>
      <c r="Q278" s="26">
        <v>285502</v>
      </c>
      <c r="R278" s="21" t="str">
        <f t="shared" si="17"/>
        <v>6138</v>
      </c>
      <c r="S278" s="44" t="str">
        <f t="shared" si="18"/>
        <v>6138</v>
      </c>
      <c r="T278" s="45">
        <f t="shared" si="19"/>
        <v>0</v>
      </c>
      <c r="V278" s="45"/>
    </row>
    <row r="279" spans="1:22" s="26" customFormat="1" ht="12.75" x14ac:dyDescent="0.2">
      <c r="A279" s="20" t="str">
        <f>Data!B274</f>
        <v>6165</v>
      </c>
      <c r="B279" s="21" t="str">
        <f>INDEX(Data[],MATCH($A279,Data[Dist],0),MATCH(B$6,Data[#Headers],0))</f>
        <v>Stanton</v>
      </c>
      <c r="C279" s="22">
        <f>INDEX(Data[],MATCH($A279,Data[Dist],0),MATCH(C$6,Data[#Headers],0))</f>
        <v>151153</v>
      </c>
      <c r="D279" s="160">
        <f>INDEX(Data[],MATCH($A279,Data[Dist],0),MATCH(D$6,Data[#Headers],0))</f>
        <v>150398</v>
      </c>
      <c r="E279" s="160">
        <f>INDEX(Data[],MATCH($A279,Data[Dist],0),MATCH(E$6,Data[#Headers],0))</f>
        <v>150398</v>
      </c>
      <c r="F279" s="160">
        <f>INDEX(Data[],MATCH($A279,Data[Dist],0),MATCH(F$6,Data[#Headers],0))</f>
        <v>150398</v>
      </c>
      <c r="G279" s="22">
        <f>INDEX(Data[],MATCH($A279,Data[Dist],0),MATCH(G$6,Data[#Headers],0))</f>
        <v>453459</v>
      </c>
      <c r="H279" s="22">
        <f>INDEX(Data[],MATCH($A279,Data[Dist],0),MATCH(H$6,Data[#Headers],0))-G279</f>
        <v>1058066</v>
      </c>
      <c r="I279" s="25"/>
      <c r="J279" s="22">
        <f>INDEX(Notes!$I$2:$N$11,MATCH(Notes!$B$2,Notes!$I$2:$I$11,0),4)*$C279</f>
        <v>453459</v>
      </c>
      <c r="K279" s="22">
        <f>INDEX(Notes!$I$2:$N$11,MATCH(Notes!$B$2,Notes!$I$2:$I$11,0),5)*$D279</f>
        <v>0</v>
      </c>
      <c r="L279" s="22">
        <f>INDEX(Notes!$I$2:$N$11,MATCH(Notes!$B$2,Notes!$I$2:$I$11,0),6)*$E279</f>
        <v>0</v>
      </c>
      <c r="M279" s="22">
        <f>IF(Notes!$B$2="June",'Payment Total'!$F279,0)</f>
        <v>0</v>
      </c>
      <c r="N279" s="22">
        <f t="shared" si="16"/>
        <v>0</v>
      </c>
      <c r="P279" s="26" t="s">
        <v>1115</v>
      </c>
      <c r="Q279" s="26">
        <v>151153</v>
      </c>
      <c r="R279" s="21" t="str">
        <f t="shared" si="17"/>
        <v>6165</v>
      </c>
      <c r="S279" s="44" t="str">
        <f t="shared" si="18"/>
        <v>6165</v>
      </c>
      <c r="T279" s="45">
        <f t="shared" si="19"/>
        <v>0</v>
      </c>
      <c r="V279" s="45"/>
    </row>
    <row r="280" spans="1:22" s="26" customFormat="1" ht="12.75" x14ac:dyDescent="0.2">
      <c r="A280" s="20" t="str">
        <f>Data!B275</f>
        <v>6175</v>
      </c>
      <c r="B280" s="21" t="str">
        <f>INDEX(Data[],MATCH($A280,Data[Dist],0),MATCH(B$6,Data[#Headers],0))</f>
        <v>Starmont</v>
      </c>
      <c r="C280" s="22">
        <f>INDEX(Data[],MATCH($A280,Data[Dist],0),MATCH(C$6,Data[#Headers],0))</f>
        <v>408090</v>
      </c>
      <c r="D280" s="160">
        <f>INDEX(Data[],MATCH($A280,Data[Dist],0),MATCH(D$6,Data[#Headers],0))</f>
        <v>405853</v>
      </c>
      <c r="E280" s="160">
        <f>INDEX(Data[],MATCH($A280,Data[Dist],0),MATCH(E$6,Data[#Headers],0))</f>
        <v>405852</v>
      </c>
      <c r="F280" s="160">
        <f>INDEX(Data[],MATCH($A280,Data[Dist],0),MATCH(F$6,Data[#Headers],0))</f>
        <v>405853</v>
      </c>
      <c r="G280" s="22">
        <f>INDEX(Data[],MATCH($A280,Data[Dist],0),MATCH(G$6,Data[#Headers],0))</f>
        <v>1224270</v>
      </c>
      <c r="H280" s="22">
        <f>INDEX(Data[],MATCH($A280,Data[Dist],0),MATCH(H$6,Data[#Headers],0))-G280</f>
        <v>2856633</v>
      </c>
      <c r="I280" s="25"/>
      <c r="J280" s="22">
        <f>INDEX(Notes!$I$2:$N$11,MATCH(Notes!$B$2,Notes!$I$2:$I$11,0),4)*$C280</f>
        <v>1224270</v>
      </c>
      <c r="K280" s="22">
        <f>INDEX(Notes!$I$2:$N$11,MATCH(Notes!$B$2,Notes!$I$2:$I$11,0),5)*$D280</f>
        <v>0</v>
      </c>
      <c r="L280" s="22">
        <f>INDEX(Notes!$I$2:$N$11,MATCH(Notes!$B$2,Notes!$I$2:$I$11,0),6)*$E280</f>
        <v>0</v>
      </c>
      <c r="M280" s="22">
        <f>IF(Notes!$B$2="June",'Payment Total'!$F280,0)</f>
        <v>0</v>
      </c>
      <c r="N280" s="22">
        <f t="shared" si="16"/>
        <v>0</v>
      </c>
      <c r="P280" s="26" t="s">
        <v>1116</v>
      </c>
      <c r="Q280" s="26">
        <v>408090</v>
      </c>
      <c r="R280" s="21" t="str">
        <f t="shared" si="17"/>
        <v>6175</v>
      </c>
      <c r="S280" s="44" t="str">
        <f t="shared" si="18"/>
        <v>6175</v>
      </c>
      <c r="T280" s="45">
        <f t="shared" si="19"/>
        <v>0</v>
      </c>
      <c r="V280" s="45"/>
    </row>
    <row r="281" spans="1:22" s="26" customFormat="1" ht="12.75" x14ac:dyDescent="0.2">
      <c r="A281" s="20" t="str">
        <f>Data!B276</f>
        <v>6219</v>
      </c>
      <c r="B281" s="21" t="str">
        <f>INDEX(Data[],MATCH($A281,Data[Dist],0),MATCH(B$6,Data[#Headers],0))</f>
        <v>Storm Lake</v>
      </c>
      <c r="C281" s="22">
        <f>INDEX(Data[],MATCH($A281,Data[Dist],0),MATCH(C$6,Data[#Headers],0))</f>
        <v>2277257</v>
      </c>
      <c r="D281" s="160">
        <f>INDEX(Data[],MATCH($A281,Data[Dist],0),MATCH(D$6,Data[#Headers],0))</f>
        <v>2267564</v>
      </c>
      <c r="E281" s="160">
        <f>INDEX(Data[],MATCH($A281,Data[Dist],0),MATCH(E$6,Data[#Headers],0))</f>
        <v>2267564</v>
      </c>
      <c r="F281" s="160">
        <f>INDEX(Data[],MATCH($A281,Data[Dist],0),MATCH(F$6,Data[#Headers],0))</f>
        <v>2267564</v>
      </c>
      <c r="G281" s="22">
        <f>INDEX(Data[],MATCH($A281,Data[Dist],0),MATCH(G$6,Data[#Headers],0))</f>
        <v>6831771</v>
      </c>
      <c r="H281" s="22">
        <f>INDEX(Data[],MATCH($A281,Data[Dist],0),MATCH(H$6,Data[#Headers],0))-G281</f>
        <v>15940794</v>
      </c>
      <c r="I281" s="25"/>
      <c r="J281" s="22">
        <f>INDEX(Notes!$I$2:$N$11,MATCH(Notes!$B$2,Notes!$I$2:$I$11,0),4)*$C281</f>
        <v>6831771</v>
      </c>
      <c r="K281" s="22">
        <f>INDEX(Notes!$I$2:$N$11,MATCH(Notes!$B$2,Notes!$I$2:$I$11,0),5)*$D281</f>
        <v>0</v>
      </c>
      <c r="L281" s="22">
        <f>INDEX(Notes!$I$2:$N$11,MATCH(Notes!$B$2,Notes!$I$2:$I$11,0),6)*$E281</f>
        <v>0</v>
      </c>
      <c r="M281" s="22">
        <f>IF(Notes!$B$2="June",'Payment Total'!$F281,0)</f>
        <v>0</v>
      </c>
      <c r="N281" s="22">
        <f t="shared" si="16"/>
        <v>0</v>
      </c>
      <c r="P281" s="26" t="s">
        <v>1117</v>
      </c>
      <c r="Q281" s="26">
        <v>2277257</v>
      </c>
      <c r="R281" s="21" t="str">
        <f t="shared" si="17"/>
        <v>6219</v>
      </c>
      <c r="S281" s="44" t="str">
        <f t="shared" si="18"/>
        <v>6219</v>
      </c>
      <c r="T281" s="45">
        <f t="shared" si="19"/>
        <v>0</v>
      </c>
      <c r="V281" s="45"/>
    </row>
    <row r="282" spans="1:22" s="26" customFormat="1" ht="12.75" x14ac:dyDescent="0.2">
      <c r="A282" s="20" t="str">
        <f>Data!B277</f>
        <v>6246</v>
      </c>
      <c r="B282" s="21" t="str">
        <f>INDEX(Data[],MATCH($A282,Data[Dist],0),MATCH(B$6,Data[#Headers],0))</f>
        <v>Stratford</v>
      </c>
      <c r="C282" s="22">
        <f>INDEX(Data[],MATCH($A282,Data[Dist],0),MATCH(C$6,Data[#Headers],0))</f>
        <v>91661</v>
      </c>
      <c r="D282" s="160">
        <f>INDEX(Data[],MATCH($A282,Data[Dist],0),MATCH(D$6,Data[#Headers],0))</f>
        <v>91152</v>
      </c>
      <c r="E282" s="160">
        <f>INDEX(Data[],MATCH($A282,Data[Dist],0),MATCH(E$6,Data[#Headers],0))</f>
        <v>91152</v>
      </c>
      <c r="F282" s="160">
        <f>INDEX(Data[],MATCH($A282,Data[Dist],0),MATCH(F$6,Data[#Headers],0))</f>
        <v>91153</v>
      </c>
      <c r="G282" s="22">
        <f>INDEX(Data[],MATCH($A282,Data[Dist],0),MATCH(G$6,Data[#Headers],0))</f>
        <v>274983</v>
      </c>
      <c r="H282" s="22">
        <f>INDEX(Data[],MATCH($A282,Data[Dist],0),MATCH(H$6,Data[#Headers],0))-G282</f>
        <v>641624</v>
      </c>
      <c r="I282" s="25"/>
      <c r="J282" s="22">
        <f>INDEX(Notes!$I$2:$N$11,MATCH(Notes!$B$2,Notes!$I$2:$I$11,0),4)*$C282</f>
        <v>274983</v>
      </c>
      <c r="K282" s="22">
        <f>INDEX(Notes!$I$2:$N$11,MATCH(Notes!$B$2,Notes!$I$2:$I$11,0),5)*$D282</f>
        <v>0</v>
      </c>
      <c r="L282" s="22">
        <f>INDEX(Notes!$I$2:$N$11,MATCH(Notes!$B$2,Notes!$I$2:$I$11,0),6)*$E282</f>
        <v>0</v>
      </c>
      <c r="M282" s="22">
        <f>IF(Notes!$B$2="June",'Payment Total'!$F282,0)</f>
        <v>0</v>
      </c>
      <c r="N282" s="22">
        <f t="shared" si="16"/>
        <v>0</v>
      </c>
      <c r="P282" s="26" t="s">
        <v>1118</v>
      </c>
      <c r="Q282" s="26">
        <v>91661</v>
      </c>
      <c r="R282" s="21" t="str">
        <f t="shared" si="17"/>
        <v>6246</v>
      </c>
      <c r="S282" s="44" t="str">
        <f t="shared" si="18"/>
        <v>6246</v>
      </c>
      <c r="T282" s="45">
        <f t="shared" si="19"/>
        <v>0</v>
      </c>
      <c r="V282" s="45"/>
    </row>
    <row r="283" spans="1:22" s="26" customFormat="1" ht="12.75" x14ac:dyDescent="0.2">
      <c r="A283" s="20" t="str">
        <f>Data!B278</f>
        <v>6264</v>
      </c>
      <c r="B283" s="21" t="str">
        <f>INDEX(Data[],MATCH($A283,Data[Dist],0),MATCH(B$6,Data[#Headers],0))</f>
        <v>West Central Valley</v>
      </c>
      <c r="C283" s="22">
        <f>INDEX(Data[],MATCH($A283,Data[Dist],0),MATCH(C$6,Data[#Headers],0))</f>
        <v>551086</v>
      </c>
      <c r="D283" s="160">
        <f>INDEX(Data[],MATCH($A283,Data[Dist],0),MATCH(D$6,Data[#Headers],0))</f>
        <v>547460</v>
      </c>
      <c r="E283" s="160">
        <f>INDEX(Data[],MATCH($A283,Data[Dist],0),MATCH(E$6,Data[#Headers],0))</f>
        <v>547460</v>
      </c>
      <c r="F283" s="160">
        <f>INDEX(Data[],MATCH($A283,Data[Dist],0),MATCH(F$6,Data[#Headers],0))</f>
        <v>547458</v>
      </c>
      <c r="G283" s="22">
        <f>INDEX(Data[],MATCH($A283,Data[Dist],0),MATCH(G$6,Data[#Headers],0))</f>
        <v>1653258</v>
      </c>
      <c r="H283" s="22">
        <f>INDEX(Data[],MATCH($A283,Data[Dist],0),MATCH(H$6,Data[#Headers],0))-G283</f>
        <v>3857601</v>
      </c>
      <c r="I283" s="25"/>
      <c r="J283" s="22">
        <f>INDEX(Notes!$I$2:$N$11,MATCH(Notes!$B$2,Notes!$I$2:$I$11,0),4)*$C283</f>
        <v>1653258</v>
      </c>
      <c r="K283" s="22">
        <f>INDEX(Notes!$I$2:$N$11,MATCH(Notes!$B$2,Notes!$I$2:$I$11,0),5)*$D283</f>
        <v>0</v>
      </c>
      <c r="L283" s="22">
        <f>INDEX(Notes!$I$2:$N$11,MATCH(Notes!$B$2,Notes!$I$2:$I$11,0),6)*$E283</f>
        <v>0</v>
      </c>
      <c r="M283" s="22">
        <f>IF(Notes!$B$2="June",'Payment Total'!$F283,0)</f>
        <v>0</v>
      </c>
      <c r="N283" s="22">
        <f t="shared" si="16"/>
        <v>0</v>
      </c>
      <c r="P283" s="26" t="s">
        <v>1119</v>
      </c>
      <c r="Q283" s="26">
        <v>551086</v>
      </c>
      <c r="R283" s="21" t="str">
        <f t="shared" si="17"/>
        <v>6264</v>
      </c>
      <c r="S283" s="44" t="str">
        <f t="shared" si="18"/>
        <v>6264</v>
      </c>
      <c r="T283" s="45">
        <f t="shared" si="19"/>
        <v>0</v>
      </c>
      <c r="V283" s="45"/>
    </row>
    <row r="284" spans="1:22" s="26" customFormat="1" ht="12.75" x14ac:dyDescent="0.2">
      <c r="A284" s="20" t="str">
        <f>Data!B279</f>
        <v>6273</v>
      </c>
      <c r="B284" s="21" t="str">
        <f>INDEX(Data[],MATCH($A284,Data[Dist],0),MATCH(B$6,Data[#Headers],0))</f>
        <v>Sumner-Fredericksburg</v>
      </c>
      <c r="C284" s="22">
        <f>INDEX(Data[],MATCH($A284,Data[Dist],0),MATCH(C$6,Data[#Headers],0))</f>
        <v>515480</v>
      </c>
      <c r="D284" s="160">
        <f>INDEX(Data[],MATCH($A284,Data[Dist],0),MATCH(D$6,Data[#Headers],0))</f>
        <v>512534</v>
      </c>
      <c r="E284" s="160">
        <f>INDEX(Data[],MATCH($A284,Data[Dist],0),MATCH(E$6,Data[#Headers],0))</f>
        <v>512534</v>
      </c>
      <c r="F284" s="160">
        <f>INDEX(Data[],MATCH($A284,Data[Dist],0),MATCH(F$6,Data[#Headers],0))</f>
        <v>512534</v>
      </c>
      <c r="G284" s="22">
        <f>INDEX(Data[],MATCH($A284,Data[Dist],0),MATCH(G$6,Data[#Headers],0))</f>
        <v>1546440</v>
      </c>
      <c r="H284" s="22">
        <f>INDEX(Data[],MATCH($A284,Data[Dist],0),MATCH(H$6,Data[#Headers],0))-G284</f>
        <v>3608362</v>
      </c>
      <c r="I284" s="25"/>
      <c r="J284" s="22">
        <f>INDEX(Notes!$I$2:$N$11,MATCH(Notes!$B$2,Notes!$I$2:$I$11,0),4)*$C284</f>
        <v>1546440</v>
      </c>
      <c r="K284" s="22">
        <f>INDEX(Notes!$I$2:$N$11,MATCH(Notes!$B$2,Notes!$I$2:$I$11,0),5)*$D284</f>
        <v>0</v>
      </c>
      <c r="L284" s="22">
        <f>INDEX(Notes!$I$2:$N$11,MATCH(Notes!$B$2,Notes!$I$2:$I$11,0),6)*$E284</f>
        <v>0</v>
      </c>
      <c r="M284" s="22">
        <f>IF(Notes!$B$2="June",'Payment Total'!$F284,0)</f>
        <v>0</v>
      </c>
      <c r="N284" s="22">
        <f t="shared" si="16"/>
        <v>0</v>
      </c>
      <c r="P284" s="26" t="s">
        <v>1120</v>
      </c>
      <c r="Q284" s="26">
        <v>515480</v>
      </c>
      <c r="R284" s="21" t="str">
        <f t="shared" si="17"/>
        <v>6273</v>
      </c>
      <c r="S284" s="44" t="str">
        <f t="shared" si="18"/>
        <v>6273</v>
      </c>
      <c r="T284" s="45">
        <f t="shared" si="19"/>
        <v>0</v>
      </c>
      <c r="V284" s="45"/>
    </row>
    <row r="285" spans="1:22" s="26" customFormat="1" ht="12.75" x14ac:dyDescent="0.2">
      <c r="A285" s="20" t="str">
        <f>Data!B280</f>
        <v>6408</v>
      </c>
      <c r="B285" s="21" t="str">
        <f>INDEX(Data[],MATCH($A285,Data[Dist],0),MATCH(B$6,Data[#Headers],0))</f>
        <v>Tipton</v>
      </c>
      <c r="C285" s="22">
        <f>INDEX(Data[],MATCH($A285,Data[Dist],0),MATCH(C$6,Data[#Headers],0))</f>
        <v>586196</v>
      </c>
      <c r="D285" s="160">
        <f>INDEX(Data[],MATCH($A285,Data[Dist],0),MATCH(D$6,Data[#Headers],0))</f>
        <v>583024</v>
      </c>
      <c r="E285" s="160">
        <f>INDEX(Data[],MATCH($A285,Data[Dist],0),MATCH(E$6,Data[#Headers],0))</f>
        <v>583024</v>
      </c>
      <c r="F285" s="160">
        <f>INDEX(Data[],MATCH($A285,Data[Dist],0),MATCH(F$6,Data[#Headers],0))</f>
        <v>583022</v>
      </c>
      <c r="G285" s="22">
        <f>INDEX(Data[],MATCH($A285,Data[Dist],0),MATCH(G$6,Data[#Headers],0))</f>
        <v>1758588</v>
      </c>
      <c r="H285" s="22">
        <f>INDEX(Data[],MATCH($A285,Data[Dist],0),MATCH(H$6,Data[#Headers],0))-G285</f>
        <v>4103373</v>
      </c>
      <c r="I285" s="25"/>
      <c r="J285" s="22">
        <f>INDEX(Notes!$I$2:$N$11,MATCH(Notes!$B$2,Notes!$I$2:$I$11,0),4)*$C285</f>
        <v>1758588</v>
      </c>
      <c r="K285" s="22">
        <f>INDEX(Notes!$I$2:$N$11,MATCH(Notes!$B$2,Notes!$I$2:$I$11,0),5)*$D285</f>
        <v>0</v>
      </c>
      <c r="L285" s="22">
        <f>INDEX(Notes!$I$2:$N$11,MATCH(Notes!$B$2,Notes!$I$2:$I$11,0),6)*$E285</f>
        <v>0</v>
      </c>
      <c r="M285" s="22">
        <f>IF(Notes!$B$2="June",'Payment Total'!$F285,0)</f>
        <v>0</v>
      </c>
      <c r="N285" s="22">
        <f t="shared" si="16"/>
        <v>0</v>
      </c>
      <c r="P285" s="26" t="s">
        <v>1121</v>
      </c>
      <c r="Q285" s="26">
        <v>586196</v>
      </c>
      <c r="R285" s="21" t="str">
        <f t="shared" si="17"/>
        <v>6408</v>
      </c>
      <c r="S285" s="44" t="str">
        <f t="shared" si="18"/>
        <v>6408</v>
      </c>
      <c r="T285" s="45">
        <f t="shared" si="19"/>
        <v>0</v>
      </c>
      <c r="V285" s="45"/>
    </row>
    <row r="286" spans="1:22" s="26" customFormat="1" ht="12.75" x14ac:dyDescent="0.2">
      <c r="A286" s="20" t="str">
        <f>Data!B281</f>
        <v>6453</v>
      </c>
      <c r="B286" s="21" t="str">
        <f>INDEX(Data[],MATCH($A286,Data[Dist],0),MATCH(B$6,Data[#Headers],0))</f>
        <v>Treynor</v>
      </c>
      <c r="C286" s="22">
        <f>INDEX(Data[],MATCH($A286,Data[Dist],0),MATCH(C$6,Data[#Headers],0))</f>
        <v>341355</v>
      </c>
      <c r="D286" s="160">
        <f>INDEX(Data[],MATCH($A286,Data[Dist],0),MATCH(D$6,Data[#Headers],0))</f>
        <v>339153</v>
      </c>
      <c r="E286" s="160">
        <f>INDEX(Data[],MATCH($A286,Data[Dist],0),MATCH(E$6,Data[#Headers],0))</f>
        <v>339153</v>
      </c>
      <c r="F286" s="160">
        <f>INDEX(Data[],MATCH($A286,Data[Dist],0),MATCH(F$6,Data[#Headers],0))</f>
        <v>339151</v>
      </c>
      <c r="G286" s="22">
        <f>INDEX(Data[],MATCH($A286,Data[Dist],0),MATCH(G$6,Data[#Headers],0))</f>
        <v>1024065</v>
      </c>
      <c r="H286" s="22">
        <f>INDEX(Data[],MATCH($A286,Data[Dist],0),MATCH(H$6,Data[#Headers],0))-G286</f>
        <v>2389483</v>
      </c>
      <c r="I286" s="25"/>
      <c r="J286" s="22">
        <f>INDEX(Notes!$I$2:$N$11,MATCH(Notes!$B$2,Notes!$I$2:$I$11,0),4)*$C286</f>
        <v>1024065</v>
      </c>
      <c r="K286" s="22">
        <f>INDEX(Notes!$I$2:$N$11,MATCH(Notes!$B$2,Notes!$I$2:$I$11,0),5)*$D286</f>
        <v>0</v>
      </c>
      <c r="L286" s="22">
        <f>INDEX(Notes!$I$2:$N$11,MATCH(Notes!$B$2,Notes!$I$2:$I$11,0),6)*$E286</f>
        <v>0</v>
      </c>
      <c r="M286" s="22">
        <f>IF(Notes!$B$2="June",'Payment Total'!$F286,0)</f>
        <v>0</v>
      </c>
      <c r="N286" s="22">
        <f t="shared" si="16"/>
        <v>0</v>
      </c>
      <c r="P286" s="26" t="s">
        <v>1122</v>
      </c>
      <c r="Q286" s="26">
        <v>341355</v>
      </c>
      <c r="R286" s="21" t="str">
        <f t="shared" si="17"/>
        <v>6453</v>
      </c>
      <c r="S286" s="44" t="str">
        <f t="shared" si="18"/>
        <v>6453</v>
      </c>
      <c r="T286" s="45">
        <f t="shared" si="19"/>
        <v>0</v>
      </c>
      <c r="V286" s="45"/>
    </row>
    <row r="287" spans="1:22" s="26" customFormat="1" ht="12.75" x14ac:dyDescent="0.2">
      <c r="A287" s="20" t="str">
        <f>Data!B282</f>
        <v>6460</v>
      </c>
      <c r="B287" s="21" t="str">
        <f>INDEX(Data[],MATCH($A287,Data[Dist],0),MATCH(B$6,Data[#Headers],0))</f>
        <v>Tri-Center</v>
      </c>
      <c r="C287" s="22">
        <f>INDEX(Data[],MATCH($A287,Data[Dist],0),MATCH(C$6,Data[#Headers],0))</f>
        <v>456058</v>
      </c>
      <c r="D287" s="160">
        <f>INDEX(Data[],MATCH($A287,Data[Dist],0),MATCH(D$6,Data[#Headers],0))</f>
        <v>453546</v>
      </c>
      <c r="E287" s="160">
        <f>INDEX(Data[],MATCH($A287,Data[Dist],0),MATCH(E$6,Data[#Headers],0))</f>
        <v>453546</v>
      </c>
      <c r="F287" s="160">
        <f>INDEX(Data[],MATCH($A287,Data[Dist],0),MATCH(F$6,Data[#Headers],0))</f>
        <v>453547</v>
      </c>
      <c r="G287" s="22">
        <f>INDEX(Data[],MATCH($A287,Data[Dist],0),MATCH(G$6,Data[#Headers],0))</f>
        <v>1368174</v>
      </c>
      <c r="H287" s="22">
        <f>INDEX(Data[],MATCH($A287,Data[Dist],0),MATCH(H$6,Data[#Headers],0))-G287</f>
        <v>3192406</v>
      </c>
      <c r="I287" s="25"/>
      <c r="J287" s="22">
        <f>INDEX(Notes!$I$2:$N$11,MATCH(Notes!$B$2,Notes!$I$2:$I$11,0),4)*$C287</f>
        <v>1368174</v>
      </c>
      <c r="K287" s="22">
        <f>INDEX(Notes!$I$2:$N$11,MATCH(Notes!$B$2,Notes!$I$2:$I$11,0),5)*$D287</f>
        <v>0</v>
      </c>
      <c r="L287" s="22">
        <f>INDEX(Notes!$I$2:$N$11,MATCH(Notes!$B$2,Notes!$I$2:$I$11,0),6)*$E287</f>
        <v>0</v>
      </c>
      <c r="M287" s="22">
        <f>IF(Notes!$B$2="June",'Payment Total'!$F287,0)</f>
        <v>0</v>
      </c>
      <c r="N287" s="22">
        <f t="shared" si="16"/>
        <v>0</v>
      </c>
      <c r="P287" s="26" t="s">
        <v>1123</v>
      </c>
      <c r="Q287" s="26">
        <v>456058</v>
      </c>
      <c r="R287" s="21" t="str">
        <f t="shared" si="17"/>
        <v>6460</v>
      </c>
      <c r="S287" s="44" t="str">
        <f t="shared" si="18"/>
        <v>6460</v>
      </c>
      <c r="T287" s="45">
        <f t="shared" si="19"/>
        <v>0</v>
      </c>
      <c r="V287" s="45"/>
    </row>
    <row r="288" spans="1:22" s="26" customFormat="1" ht="12.75" x14ac:dyDescent="0.2">
      <c r="A288" s="20" t="str">
        <f>Data!B283</f>
        <v>6462</v>
      </c>
      <c r="B288" s="21" t="str">
        <f>INDEX(Data[],MATCH($A288,Data[Dist],0),MATCH(B$6,Data[#Headers],0))</f>
        <v>Tri-County</v>
      </c>
      <c r="C288" s="22">
        <f>INDEX(Data[],MATCH($A288,Data[Dist],0),MATCH(C$6,Data[#Headers],0))</f>
        <v>178400</v>
      </c>
      <c r="D288" s="160">
        <f>INDEX(Data[],MATCH($A288,Data[Dist],0),MATCH(D$6,Data[#Headers],0))</f>
        <v>177382</v>
      </c>
      <c r="E288" s="160">
        <f>INDEX(Data[],MATCH($A288,Data[Dist],0),MATCH(E$6,Data[#Headers],0))</f>
        <v>177382</v>
      </c>
      <c r="F288" s="160">
        <f>INDEX(Data[],MATCH($A288,Data[Dist],0),MATCH(F$6,Data[#Headers],0))</f>
        <v>177381</v>
      </c>
      <c r="G288" s="22">
        <f>INDEX(Data[],MATCH($A288,Data[Dist],0),MATCH(G$6,Data[#Headers],0))</f>
        <v>535200</v>
      </c>
      <c r="H288" s="22">
        <f>INDEX(Data[],MATCH($A288,Data[Dist],0),MATCH(H$6,Data[#Headers],0))-G288</f>
        <v>1248796</v>
      </c>
      <c r="I288" s="25"/>
      <c r="J288" s="22">
        <f>INDEX(Notes!$I$2:$N$11,MATCH(Notes!$B$2,Notes!$I$2:$I$11,0),4)*$C288</f>
        <v>535200</v>
      </c>
      <c r="K288" s="22">
        <f>INDEX(Notes!$I$2:$N$11,MATCH(Notes!$B$2,Notes!$I$2:$I$11,0),5)*$D288</f>
        <v>0</v>
      </c>
      <c r="L288" s="22">
        <f>INDEX(Notes!$I$2:$N$11,MATCH(Notes!$B$2,Notes!$I$2:$I$11,0),6)*$E288</f>
        <v>0</v>
      </c>
      <c r="M288" s="22">
        <f>IF(Notes!$B$2="June",'Payment Total'!$F288,0)</f>
        <v>0</v>
      </c>
      <c r="N288" s="22">
        <f t="shared" si="16"/>
        <v>0</v>
      </c>
      <c r="P288" s="26" t="s">
        <v>1124</v>
      </c>
      <c r="Q288" s="26">
        <v>178400</v>
      </c>
      <c r="R288" s="21" t="str">
        <f t="shared" si="17"/>
        <v>6462</v>
      </c>
      <c r="S288" s="44" t="str">
        <f t="shared" si="18"/>
        <v>6462</v>
      </c>
      <c r="T288" s="45">
        <f t="shared" si="19"/>
        <v>0</v>
      </c>
      <c r="V288" s="45"/>
    </row>
    <row r="289" spans="1:22" s="26" customFormat="1" ht="12.75" x14ac:dyDescent="0.2">
      <c r="A289" s="20" t="str">
        <f>Data!B284</f>
        <v>6471</v>
      </c>
      <c r="B289" s="21" t="str">
        <f>INDEX(Data[],MATCH($A289,Data[Dist],0),MATCH(B$6,Data[#Headers],0))</f>
        <v>Tripoli</v>
      </c>
      <c r="C289" s="22">
        <f>INDEX(Data[],MATCH($A289,Data[Dist],0),MATCH(C$6,Data[#Headers],0))</f>
        <v>278153</v>
      </c>
      <c r="D289" s="160">
        <f>INDEX(Data[],MATCH($A289,Data[Dist],0),MATCH(D$6,Data[#Headers],0))</f>
        <v>276695</v>
      </c>
      <c r="E289" s="160">
        <f>INDEX(Data[],MATCH($A289,Data[Dist],0),MATCH(E$6,Data[#Headers],0))</f>
        <v>276695</v>
      </c>
      <c r="F289" s="160">
        <f>INDEX(Data[],MATCH($A289,Data[Dist],0),MATCH(F$6,Data[#Headers],0))</f>
        <v>276696</v>
      </c>
      <c r="G289" s="22">
        <f>INDEX(Data[],MATCH($A289,Data[Dist],0),MATCH(G$6,Data[#Headers],0))</f>
        <v>834459</v>
      </c>
      <c r="H289" s="22">
        <f>INDEX(Data[],MATCH($A289,Data[Dist],0),MATCH(H$6,Data[#Headers],0))-G289</f>
        <v>1947069</v>
      </c>
      <c r="I289" s="25"/>
      <c r="J289" s="22">
        <f>INDEX(Notes!$I$2:$N$11,MATCH(Notes!$B$2,Notes!$I$2:$I$11,0),4)*$C289</f>
        <v>834459</v>
      </c>
      <c r="K289" s="22">
        <f>INDEX(Notes!$I$2:$N$11,MATCH(Notes!$B$2,Notes!$I$2:$I$11,0),5)*$D289</f>
        <v>0</v>
      </c>
      <c r="L289" s="22">
        <f>INDEX(Notes!$I$2:$N$11,MATCH(Notes!$B$2,Notes!$I$2:$I$11,0),6)*$E289</f>
        <v>0</v>
      </c>
      <c r="M289" s="22">
        <f>IF(Notes!$B$2="June",'Payment Total'!$F289,0)</f>
        <v>0</v>
      </c>
      <c r="N289" s="22">
        <f t="shared" si="16"/>
        <v>0</v>
      </c>
      <c r="P289" s="26" t="s">
        <v>1125</v>
      </c>
      <c r="Q289" s="26">
        <v>278153</v>
      </c>
      <c r="R289" s="21" t="str">
        <f t="shared" si="17"/>
        <v>6471</v>
      </c>
      <c r="S289" s="44" t="str">
        <f t="shared" si="18"/>
        <v>6471</v>
      </c>
      <c r="T289" s="45">
        <f t="shared" si="19"/>
        <v>0</v>
      </c>
      <c r="V289" s="45"/>
    </row>
    <row r="290" spans="1:22" s="26" customFormat="1" ht="12.75" x14ac:dyDescent="0.2">
      <c r="A290" s="20" t="str">
        <f>Data!B285</f>
        <v>6509</v>
      </c>
      <c r="B290" s="21" t="str">
        <f>INDEX(Data[],MATCH($A290,Data[Dist],0),MATCH(B$6,Data[#Headers],0))</f>
        <v>Turkey Valley</v>
      </c>
      <c r="C290" s="22">
        <f>INDEX(Data[],MATCH($A290,Data[Dist],0),MATCH(C$6,Data[#Headers],0))</f>
        <v>222187</v>
      </c>
      <c r="D290" s="160">
        <f>INDEX(Data[],MATCH($A290,Data[Dist],0),MATCH(D$6,Data[#Headers],0))</f>
        <v>220829</v>
      </c>
      <c r="E290" s="160">
        <f>INDEX(Data[],MATCH($A290,Data[Dist],0),MATCH(E$6,Data[#Headers],0))</f>
        <v>220829</v>
      </c>
      <c r="F290" s="160">
        <f>INDEX(Data[],MATCH($A290,Data[Dist],0),MATCH(F$6,Data[#Headers],0))</f>
        <v>220829</v>
      </c>
      <c r="G290" s="22">
        <f>INDEX(Data[],MATCH($A290,Data[Dist],0),MATCH(G$6,Data[#Headers],0))</f>
        <v>666561</v>
      </c>
      <c r="H290" s="22">
        <f>INDEX(Data[],MATCH($A290,Data[Dist],0),MATCH(H$6,Data[#Headers],0))-G290</f>
        <v>1555311</v>
      </c>
      <c r="I290" s="25"/>
      <c r="J290" s="22">
        <f>INDEX(Notes!$I$2:$N$11,MATCH(Notes!$B$2,Notes!$I$2:$I$11,0),4)*$C290</f>
        <v>666561</v>
      </c>
      <c r="K290" s="22">
        <f>INDEX(Notes!$I$2:$N$11,MATCH(Notes!$B$2,Notes!$I$2:$I$11,0),5)*$D290</f>
        <v>0</v>
      </c>
      <c r="L290" s="22">
        <f>INDEX(Notes!$I$2:$N$11,MATCH(Notes!$B$2,Notes!$I$2:$I$11,0),6)*$E290</f>
        <v>0</v>
      </c>
      <c r="M290" s="22">
        <f>IF(Notes!$B$2="June",'Payment Total'!$F290,0)</f>
        <v>0</v>
      </c>
      <c r="N290" s="22">
        <f t="shared" si="16"/>
        <v>0</v>
      </c>
      <c r="P290" s="26" t="s">
        <v>1126</v>
      </c>
      <c r="Q290" s="26">
        <v>222187</v>
      </c>
      <c r="R290" s="21" t="str">
        <f t="shared" si="17"/>
        <v>6509</v>
      </c>
      <c r="S290" s="44" t="str">
        <f t="shared" si="18"/>
        <v>6509</v>
      </c>
      <c r="T290" s="45">
        <f t="shared" si="19"/>
        <v>0</v>
      </c>
      <c r="V290" s="45"/>
    </row>
    <row r="291" spans="1:22" s="26" customFormat="1" ht="12.75" x14ac:dyDescent="0.2">
      <c r="A291" s="20" t="str">
        <f>Data!B286</f>
        <v>6512</v>
      </c>
      <c r="B291" s="21" t="str">
        <f>INDEX(Data[],MATCH($A291,Data[Dist],0),MATCH(B$6,Data[#Headers],0))</f>
        <v>Twin Cedars</v>
      </c>
      <c r="C291" s="22">
        <f>INDEX(Data[],MATCH($A291,Data[Dist],0),MATCH(C$6,Data[#Headers],0))</f>
        <v>255879</v>
      </c>
      <c r="D291" s="160">
        <f>INDEX(Data[],MATCH($A291,Data[Dist],0),MATCH(D$6,Data[#Headers],0))</f>
        <v>254643</v>
      </c>
      <c r="E291" s="160">
        <f>INDEX(Data[],MATCH($A291,Data[Dist],0),MATCH(E$6,Data[#Headers],0))</f>
        <v>254643</v>
      </c>
      <c r="F291" s="160">
        <f>INDEX(Data[],MATCH($A291,Data[Dist],0),MATCH(F$6,Data[#Headers],0))</f>
        <v>254642</v>
      </c>
      <c r="G291" s="22">
        <f>INDEX(Data[],MATCH($A291,Data[Dist],0),MATCH(G$6,Data[#Headers],0))</f>
        <v>767637</v>
      </c>
      <c r="H291" s="22">
        <f>INDEX(Data[],MATCH($A291,Data[Dist],0),MATCH(H$6,Data[#Headers],0))-G291</f>
        <v>1791155</v>
      </c>
      <c r="I291" s="25"/>
      <c r="J291" s="22">
        <f>INDEX(Notes!$I$2:$N$11,MATCH(Notes!$B$2,Notes!$I$2:$I$11,0),4)*$C291</f>
        <v>767637</v>
      </c>
      <c r="K291" s="22">
        <f>INDEX(Notes!$I$2:$N$11,MATCH(Notes!$B$2,Notes!$I$2:$I$11,0),5)*$D291</f>
        <v>0</v>
      </c>
      <c r="L291" s="22">
        <f>INDEX(Notes!$I$2:$N$11,MATCH(Notes!$B$2,Notes!$I$2:$I$11,0),6)*$E291</f>
        <v>0</v>
      </c>
      <c r="M291" s="22">
        <f>IF(Notes!$B$2="June",'Payment Total'!$F291,0)</f>
        <v>0</v>
      </c>
      <c r="N291" s="22">
        <f t="shared" si="16"/>
        <v>0</v>
      </c>
      <c r="P291" s="26" t="s">
        <v>1127</v>
      </c>
      <c r="Q291" s="26">
        <v>255879</v>
      </c>
      <c r="R291" s="21" t="str">
        <f t="shared" si="17"/>
        <v>6512</v>
      </c>
      <c r="S291" s="44" t="str">
        <f t="shared" si="18"/>
        <v>6512</v>
      </c>
      <c r="T291" s="45">
        <f t="shared" si="19"/>
        <v>0</v>
      </c>
      <c r="V291" s="45"/>
    </row>
    <row r="292" spans="1:22" s="26" customFormat="1" ht="12.75" x14ac:dyDescent="0.2">
      <c r="A292" s="20" t="str">
        <f>Data!B287</f>
        <v>6516</v>
      </c>
      <c r="B292" s="21" t="str">
        <f>INDEX(Data[],MATCH($A292,Data[Dist],0),MATCH(B$6,Data[#Headers],0))</f>
        <v>Twin Rivers</v>
      </c>
      <c r="C292" s="22">
        <f>INDEX(Data[],MATCH($A292,Data[Dist],0),MATCH(C$6,Data[#Headers],0))</f>
        <v>80979</v>
      </c>
      <c r="D292" s="160">
        <f>INDEX(Data[],MATCH($A292,Data[Dist],0),MATCH(D$6,Data[#Headers],0))</f>
        <v>80367</v>
      </c>
      <c r="E292" s="160">
        <f>INDEX(Data[],MATCH($A292,Data[Dist],0),MATCH(E$6,Data[#Headers],0))</f>
        <v>80366</v>
      </c>
      <c r="F292" s="160">
        <f>INDEX(Data[],MATCH($A292,Data[Dist],0),MATCH(F$6,Data[#Headers],0))</f>
        <v>80367</v>
      </c>
      <c r="G292" s="22">
        <f>INDEX(Data[],MATCH($A292,Data[Dist],0),MATCH(G$6,Data[#Headers],0))</f>
        <v>242937</v>
      </c>
      <c r="H292" s="22">
        <f>INDEX(Data[],MATCH($A292,Data[Dist],0),MATCH(H$6,Data[#Headers],0))-G292</f>
        <v>566853</v>
      </c>
      <c r="I292" s="25"/>
      <c r="J292" s="22">
        <f>INDEX(Notes!$I$2:$N$11,MATCH(Notes!$B$2,Notes!$I$2:$I$11,0),4)*$C292</f>
        <v>242937</v>
      </c>
      <c r="K292" s="22">
        <f>INDEX(Notes!$I$2:$N$11,MATCH(Notes!$B$2,Notes!$I$2:$I$11,0),5)*$D292</f>
        <v>0</v>
      </c>
      <c r="L292" s="22">
        <f>INDEX(Notes!$I$2:$N$11,MATCH(Notes!$B$2,Notes!$I$2:$I$11,0),6)*$E292</f>
        <v>0</v>
      </c>
      <c r="M292" s="22">
        <f>IF(Notes!$B$2="June",'Payment Total'!$F292,0)</f>
        <v>0</v>
      </c>
      <c r="N292" s="22">
        <f t="shared" si="16"/>
        <v>0</v>
      </c>
      <c r="P292" s="26" t="s">
        <v>1128</v>
      </c>
      <c r="Q292" s="26">
        <v>80979</v>
      </c>
      <c r="R292" s="21" t="str">
        <f t="shared" si="17"/>
        <v>6516</v>
      </c>
      <c r="S292" s="44" t="str">
        <f t="shared" si="18"/>
        <v>6516</v>
      </c>
      <c r="T292" s="45">
        <f t="shared" si="19"/>
        <v>0</v>
      </c>
      <c r="V292" s="45"/>
    </row>
    <row r="293" spans="1:22" s="26" customFormat="1" ht="12.75" x14ac:dyDescent="0.2">
      <c r="A293" s="20" t="str">
        <f>Data!B288</f>
        <v>6534</v>
      </c>
      <c r="B293" s="21" t="str">
        <f>INDEX(Data[],MATCH($A293,Data[Dist],0),MATCH(B$6,Data[#Headers],0))</f>
        <v>Underwood</v>
      </c>
      <c r="C293" s="22">
        <f>INDEX(Data[],MATCH($A293,Data[Dist],0),MATCH(C$6,Data[#Headers],0))</f>
        <v>514580</v>
      </c>
      <c r="D293" s="160">
        <f>INDEX(Data[],MATCH($A293,Data[Dist],0),MATCH(D$6,Data[#Headers],0))</f>
        <v>511652</v>
      </c>
      <c r="E293" s="160">
        <f>INDEX(Data[],MATCH($A293,Data[Dist],0),MATCH(E$6,Data[#Headers],0))</f>
        <v>511653</v>
      </c>
      <c r="F293" s="160">
        <f>INDEX(Data[],MATCH($A293,Data[Dist],0),MATCH(F$6,Data[#Headers],0))</f>
        <v>511651</v>
      </c>
      <c r="G293" s="22">
        <f>INDEX(Data[],MATCH($A293,Data[Dist],0),MATCH(G$6,Data[#Headers],0))</f>
        <v>1543740</v>
      </c>
      <c r="H293" s="22">
        <f>INDEX(Data[],MATCH($A293,Data[Dist],0),MATCH(H$6,Data[#Headers],0))-G293</f>
        <v>3602059</v>
      </c>
      <c r="I293" s="25"/>
      <c r="J293" s="22">
        <f>INDEX(Notes!$I$2:$N$11,MATCH(Notes!$B$2,Notes!$I$2:$I$11,0),4)*$C293</f>
        <v>1543740</v>
      </c>
      <c r="K293" s="22">
        <f>INDEX(Notes!$I$2:$N$11,MATCH(Notes!$B$2,Notes!$I$2:$I$11,0),5)*$D293</f>
        <v>0</v>
      </c>
      <c r="L293" s="22">
        <f>INDEX(Notes!$I$2:$N$11,MATCH(Notes!$B$2,Notes!$I$2:$I$11,0),6)*$E293</f>
        <v>0</v>
      </c>
      <c r="M293" s="22">
        <f>IF(Notes!$B$2="June",'Payment Total'!$F293,0)</f>
        <v>0</v>
      </c>
      <c r="N293" s="22">
        <f t="shared" si="16"/>
        <v>0</v>
      </c>
      <c r="P293" s="26" t="s">
        <v>1129</v>
      </c>
      <c r="Q293" s="26">
        <v>514580</v>
      </c>
      <c r="R293" s="21" t="str">
        <f t="shared" si="17"/>
        <v>6534</v>
      </c>
      <c r="S293" s="44" t="str">
        <f t="shared" si="18"/>
        <v>6534</v>
      </c>
      <c r="T293" s="45">
        <f t="shared" si="19"/>
        <v>0</v>
      </c>
      <c r="V293" s="45"/>
    </row>
    <row r="294" spans="1:22" s="26" customFormat="1" ht="12.75" x14ac:dyDescent="0.2">
      <c r="A294" s="20" t="str">
        <f>Data!B289</f>
        <v>6561</v>
      </c>
      <c r="B294" s="21" t="str">
        <f>INDEX(Data[],MATCH($A294,Data[Dist],0),MATCH(B$6,Data[#Headers],0))</f>
        <v>United</v>
      </c>
      <c r="C294" s="22">
        <f>INDEX(Data[],MATCH($A294,Data[Dist],0),MATCH(C$6,Data[#Headers],0))</f>
        <v>163269</v>
      </c>
      <c r="D294" s="160">
        <f>INDEX(Data[],MATCH($A294,Data[Dist],0),MATCH(D$6,Data[#Headers],0))</f>
        <v>161791</v>
      </c>
      <c r="E294" s="160">
        <f>INDEX(Data[],MATCH($A294,Data[Dist],0),MATCH(E$6,Data[#Headers],0))</f>
        <v>161791</v>
      </c>
      <c r="F294" s="160">
        <f>INDEX(Data[],MATCH($A294,Data[Dist],0),MATCH(F$6,Data[#Headers],0))</f>
        <v>161790</v>
      </c>
      <c r="G294" s="22">
        <f>INDEX(Data[],MATCH($A294,Data[Dist],0),MATCH(G$6,Data[#Headers],0))</f>
        <v>489807</v>
      </c>
      <c r="H294" s="22">
        <f>INDEX(Data[],MATCH($A294,Data[Dist],0),MATCH(H$6,Data[#Headers],0))-G294</f>
        <v>1142878</v>
      </c>
      <c r="I294" s="25"/>
      <c r="J294" s="22">
        <f>INDEX(Notes!$I$2:$N$11,MATCH(Notes!$B$2,Notes!$I$2:$I$11,0),4)*$C294</f>
        <v>489807</v>
      </c>
      <c r="K294" s="22">
        <f>INDEX(Notes!$I$2:$N$11,MATCH(Notes!$B$2,Notes!$I$2:$I$11,0),5)*$D294</f>
        <v>0</v>
      </c>
      <c r="L294" s="22">
        <f>INDEX(Notes!$I$2:$N$11,MATCH(Notes!$B$2,Notes!$I$2:$I$11,0),6)*$E294</f>
        <v>0</v>
      </c>
      <c r="M294" s="22">
        <f>IF(Notes!$B$2="June",'Payment Total'!$F294,0)</f>
        <v>0</v>
      </c>
      <c r="N294" s="22">
        <f t="shared" si="16"/>
        <v>0</v>
      </c>
      <c r="P294" s="26" t="s">
        <v>1130</v>
      </c>
      <c r="Q294" s="26">
        <v>163269</v>
      </c>
      <c r="R294" s="21" t="str">
        <f t="shared" si="17"/>
        <v>6561</v>
      </c>
      <c r="S294" s="44" t="str">
        <f t="shared" si="18"/>
        <v>6561</v>
      </c>
      <c r="T294" s="45">
        <f t="shared" si="19"/>
        <v>0</v>
      </c>
      <c r="V294" s="45"/>
    </row>
    <row r="295" spans="1:22" s="26" customFormat="1" ht="12.75" x14ac:dyDescent="0.2">
      <c r="A295" s="20" t="str">
        <f>Data!B290</f>
        <v>6579</v>
      </c>
      <c r="B295" s="21" t="str">
        <f>INDEX(Data[],MATCH($A295,Data[Dist],0),MATCH(B$6,Data[#Headers],0))</f>
        <v>Urbandale</v>
      </c>
      <c r="C295" s="22">
        <f>INDEX(Data[],MATCH($A295,Data[Dist],0),MATCH(C$6,Data[#Headers],0))</f>
        <v>2369920</v>
      </c>
      <c r="D295" s="160">
        <f>INDEX(Data[],MATCH($A295,Data[Dist],0),MATCH(D$6,Data[#Headers],0))</f>
        <v>2356720</v>
      </c>
      <c r="E295" s="160">
        <f>INDEX(Data[],MATCH($A295,Data[Dist],0),MATCH(E$6,Data[#Headers],0))</f>
        <v>2356720</v>
      </c>
      <c r="F295" s="160">
        <f>INDEX(Data[],MATCH($A295,Data[Dist],0),MATCH(F$6,Data[#Headers],0))</f>
        <v>2356720</v>
      </c>
      <c r="G295" s="22">
        <f>INDEX(Data[],MATCH($A295,Data[Dist],0),MATCH(G$6,Data[#Headers],0))</f>
        <v>7109760</v>
      </c>
      <c r="H295" s="22">
        <f>INDEX(Data[],MATCH($A295,Data[Dist],0),MATCH(H$6,Data[#Headers],0))-G295</f>
        <v>16589441</v>
      </c>
      <c r="I295" s="25"/>
      <c r="J295" s="22">
        <f>INDEX(Notes!$I$2:$N$11,MATCH(Notes!$B$2,Notes!$I$2:$I$11,0),4)*$C295</f>
        <v>7109760</v>
      </c>
      <c r="K295" s="22">
        <f>INDEX(Notes!$I$2:$N$11,MATCH(Notes!$B$2,Notes!$I$2:$I$11,0),5)*$D295</f>
        <v>0</v>
      </c>
      <c r="L295" s="22">
        <f>INDEX(Notes!$I$2:$N$11,MATCH(Notes!$B$2,Notes!$I$2:$I$11,0),6)*$E295</f>
        <v>0</v>
      </c>
      <c r="M295" s="22">
        <f>IF(Notes!$B$2="June",'Payment Total'!$F295,0)</f>
        <v>0</v>
      </c>
      <c r="N295" s="22">
        <f t="shared" si="16"/>
        <v>0</v>
      </c>
      <c r="P295" s="26" t="s">
        <v>1131</v>
      </c>
      <c r="Q295" s="26">
        <v>2369920</v>
      </c>
      <c r="R295" s="21" t="str">
        <f t="shared" si="17"/>
        <v>6579</v>
      </c>
      <c r="S295" s="44" t="str">
        <f t="shared" si="18"/>
        <v>6579</v>
      </c>
      <c r="T295" s="45">
        <f t="shared" si="19"/>
        <v>0</v>
      </c>
      <c r="V295" s="45"/>
    </row>
    <row r="296" spans="1:22" s="26" customFormat="1" ht="12.75" x14ac:dyDescent="0.2">
      <c r="A296" s="20" t="str">
        <f>Data!B291</f>
        <v>6592</v>
      </c>
      <c r="B296" s="21" t="str">
        <f>INDEX(Data[],MATCH($A296,Data[Dist],0),MATCH(B$6,Data[#Headers],0))</f>
        <v>Van Buren County</v>
      </c>
      <c r="C296" s="22">
        <f>INDEX(Data[],MATCH($A296,Data[Dist],0),MATCH(C$6,Data[#Headers],0))</f>
        <v>624856</v>
      </c>
      <c r="D296" s="160">
        <f>INDEX(Data[],MATCH($A296,Data[Dist],0),MATCH(D$6,Data[#Headers],0))</f>
        <v>621154</v>
      </c>
      <c r="E296" s="160">
        <f>INDEX(Data[],MATCH($A296,Data[Dist],0),MATCH(E$6,Data[#Headers],0))</f>
        <v>621154</v>
      </c>
      <c r="F296" s="160">
        <f>INDEX(Data[],MATCH($A296,Data[Dist],0),MATCH(F$6,Data[#Headers],0))</f>
        <v>621155</v>
      </c>
      <c r="G296" s="22">
        <f>INDEX(Data[],MATCH($A296,Data[Dist],0),MATCH(G$6,Data[#Headers],0))</f>
        <v>1874568</v>
      </c>
      <c r="H296" s="22">
        <f>INDEX(Data[],MATCH($A296,Data[Dist],0),MATCH(H$6,Data[#Headers],0))-G296</f>
        <v>4373995</v>
      </c>
      <c r="I296" s="25"/>
      <c r="J296" s="22">
        <f>INDEX(Notes!$I$2:$N$11,MATCH(Notes!$B$2,Notes!$I$2:$I$11,0),4)*$C296</f>
        <v>1874568</v>
      </c>
      <c r="K296" s="22">
        <f>INDEX(Notes!$I$2:$N$11,MATCH(Notes!$B$2,Notes!$I$2:$I$11,0),5)*$D296</f>
        <v>0</v>
      </c>
      <c r="L296" s="22">
        <f>INDEX(Notes!$I$2:$N$11,MATCH(Notes!$B$2,Notes!$I$2:$I$11,0),6)*$E296</f>
        <v>0</v>
      </c>
      <c r="M296" s="22">
        <f>IF(Notes!$B$2="June",'Payment Total'!$F296,0)</f>
        <v>0</v>
      </c>
      <c r="N296" s="22">
        <f t="shared" si="16"/>
        <v>0</v>
      </c>
      <c r="P296" s="26" t="s">
        <v>1132</v>
      </c>
      <c r="Q296" s="26">
        <v>624856</v>
      </c>
      <c r="R296" s="21" t="str">
        <f t="shared" si="17"/>
        <v>6592</v>
      </c>
      <c r="S296" s="44" t="str">
        <f t="shared" si="18"/>
        <v>6592</v>
      </c>
      <c r="T296" s="45">
        <f t="shared" si="19"/>
        <v>0</v>
      </c>
      <c r="V296" s="45"/>
    </row>
    <row r="297" spans="1:22" s="26" customFormat="1" ht="12.75" x14ac:dyDescent="0.2">
      <c r="A297" s="20" t="str">
        <f>Data!B292</f>
        <v>6615</v>
      </c>
      <c r="B297" s="21" t="str">
        <f>INDEX(Data[],MATCH($A297,Data[Dist],0),MATCH(B$6,Data[#Headers],0))</f>
        <v>Van Meter</v>
      </c>
      <c r="C297" s="22">
        <f>INDEX(Data[],MATCH($A297,Data[Dist],0),MATCH(C$6,Data[#Headers],0))</f>
        <v>598679</v>
      </c>
      <c r="D297" s="160">
        <f>INDEX(Data[],MATCH($A297,Data[Dist],0),MATCH(D$6,Data[#Headers],0))</f>
        <v>595255</v>
      </c>
      <c r="E297" s="160">
        <f>INDEX(Data[],MATCH($A297,Data[Dist],0),MATCH(E$6,Data[#Headers],0))</f>
        <v>595255</v>
      </c>
      <c r="F297" s="160">
        <f>INDEX(Data[],MATCH($A297,Data[Dist],0),MATCH(F$6,Data[#Headers],0))</f>
        <v>595254</v>
      </c>
      <c r="G297" s="22">
        <f>INDEX(Data[],MATCH($A297,Data[Dist],0),MATCH(G$6,Data[#Headers],0))</f>
        <v>1796037</v>
      </c>
      <c r="H297" s="22">
        <f>INDEX(Data[],MATCH($A297,Data[Dist],0),MATCH(H$6,Data[#Headers],0))-G297</f>
        <v>4190755</v>
      </c>
      <c r="I297" s="25"/>
      <c r="J297" s="22">
        <f>INDEX(Notes!$I$2:$N$11,MATCH(Notes!$B$2,Notes!$I$2:$I$11,0),4)*$C297</f>
        <v>1796037</v>
      </c>
      <c r="K297" s="22">
        <f>INDEX(Notes!$I$2:$N$11,MATCH(Notes!$B$2,Notes!$I$2:$I$11,0),5)*$D297</f>
        <v>0</v>
      </c>
      <c r="L297" s="22">
        <f>INDEX(Notes!$I$2:$N$11,MATCH(Notes!$B$2,Notes!$I$2:$I$11,0),6)*$E297</f>
        <v>0</v>
      </c>
      <c r="M297" s="22">
        <f>IF(Notes!$B$2="June",'Payment Total'!$F297,0)</f>
        <v>0</v>
      </c>
      <c r="N297" s="22">
        <f t="shared" si="16"/>
        <v>0</v>
      </c>
      <c r="P297" s="26" t="s">
        <v>1133</v>
      </c>
      <c r="Q297" s="26">
        <v>598679</v>
      </c>
      <c r="R297" s="21" t="str">
        <f t="shared" si="17"/>
        <v>6615</v>
      </c>
      <c r="S297" s="44" t="str">
        <f t="shared" si="18"/>
        <v>6615</v>
      </c>
      <c r="T297" s="45">
        <f t="shared" si="19"/>
        <v>0</v>
      </c>
      <c r="V297" s="45"/>
    </row>
    <row r="298" spans="1:22" s="26" customFormat="1" ht="12.75" x14ac:dyDescent="0.2">
      <c r="A298" s="20" t="str">
        <f>Data!B293</f>
        <v>6651</v>
      </c>
      <c r="B298" s="21" t="str">
        <f>INDEX(Data[],MATCH($A298,Data[Dist],0),MATCH(B$6,Data[#Headers],0))</f>
        <v>Villisca</v>
      </c>
      <c r="C298" s="22">
        <f>INDEX(Data[],MATCH($A298,Data[Dist],0),MATCH(C$6,Data[#Headers],0))</f>
        <v>208812</v>
      </c>
      <c r="D298" s="160">
        <f>INDEX(Data[],MATCH($A298,Data[Dist],0),MATCH(D$6,Data[#Headers],0))</f>
        <v>207620</v>
      </c>
      <c r="E298" s="160">
        <f>INDEX(Data[],MATCH($A298,Data[Dist],0),MATCH(E$6,Data[#Headers],0))</f>
        <v>207621</v>
      </c>
      <c r="F298" s="160">
        <f>INDEX(Data[],MATCH($A298,Data[Dist],0),MATCH(F$6,Data[#Headers],0))</f>
        <v>207619</v>
      </c>
      <c r="G298" s="22">
        <f>INDEX(Data[],MATCH($A298,Data[Dist],0),MATCH(G$6,Data[#Headers],0))</f>
        <v>626436</v>
      </c>
      <c r="H298" s="22">
        <f>INDEX(Data[],MATCH($A298,Data[Dist],0),MATCH(H$6,Data[#Headers],0))-G298</f>
        <v>1461680</v>
      </c>
      <c r="I298" s="25"/>
      <c r="J298" s="22">
        <f>INDEX(Notes!$I$2:$N$11,MATCH(Notes!$B$2,Notes!$I$2:$I$11,0),4)*$C298</f>
        <v>626436</v>
      </c>
      <c r="K298" s="22">
        <f>INDEX(Notes!$I$2:$N$11,MATCH(Notes!$B$2,Notes!$I$2:$I$11,0),5)*$D298</f>
        <v>0</v>
      </c>
      <c r="L298" s="22">
        <f>INDEX(Notes!$I$2:$N$11,MATCH(Notes!$B$2,Notes!$I$2:$I$11,0),6)*$E298</f>
        <v>0</v>
      </c>
      <c r="M298" s="22">
        <f>IF(Notes!$B$2="June",'Payment Total'!$F298,0)</f>
        <v>0</v>
      </c>
      <c r="N298" s="22">
        <f t="shared" si="16"/>
        <v>0</v>
      </c>
      <c r="P298" s="26" t="s">
        <v>1134</v>
      </c>
      <c r="Q298" s="26">
        <v>208812</v>
      </c>
      <c r="R298" s="21" t="str">
        <f t="shared" si="17"/>
        <v>6651</v>
      </c>
      <c r="S298" s="44" t="str">
        <f t="shared" si="18"/>
        <v>6651</v>
      </c>
      <c r="T298" s="45">
        <f t="shared" si="19"/>
        <v>0</v>
      </c>
      <c r="V298" s="45"/>
    </row>
    <row r="299" spans="1:22" s="26" customFormat="1" ht="12.75" x14ac:dyDescent="0.2">
      <c r="A299" s="20" t="str">
        <f>Data!B294</f>
        <v>6660</v>
      </c>
      <c r="B299" s="21" t="str">
        <f>INDEX(Data[],MATCH($A299,Data[Dist],0),MATCH(B$6,Data[#Headers],0))</f>
        <v>Vinton-Shellsburg</v>
      </c>
      <c r="C299" s="22">
        <f>INDEX(Data[],MATCH($A299,Data[Dist],0),MATCH(C$6,Data[#Headers],0))</f>
        <v>1175198</v>
      </c>
      <c r="D299" s="160">
        <f>INDEX(Data[],MATCH($A299,Data[Dist],0),MATCH(D$6,Data[#Headers],0))</f>
        <v>1168991</v>
      </c>
      <c r="E299" s="160">
        <f>INDEX(Data[],MATCH($A299,Data[Dist],0),MATCH(E$6,Data[#Headers],0))</f>
        <v>1168990</v>
      </c>
      <c r="F299" s="160">
        <f>INDEX(Data[],MATCH($A299,Data[Dist],0),MATCH(F$6,Data[#Headers],0))</f>
        <v>1168991</v>
      </c>
      <c r="G299" s="22">
        <f>INDEX(Data[],MATCH($A299,Data[Dist],0),MATCH(G$6,Data[#Headers],0))</f>
        <v>3525594</v>
      </c>
      <c r="H299" s="22">
        <f>INDEX(Data[],MATCH($A299,Data[Dist],0),MATCH(H$6,Data[#Headers],0))-G299</f>
        <v>8226387</v>
      </c>
      <c r="I299" s="25"/>
      <c r="J299" s="22">
        <f>INDEX(Notes!$I$2:$N$11,MATCH(Notes!$B$2,Notes!$I$2:$I$11,0),4)*$C299</f>
        <v>3525594</v>
      </c>
      <c r="K299" s="22">
        <f>INDEX(Notes!$I$2:$N$11,MATCH(Notes!$B$2,Notes!$I$2:$I$11,0),5)*$D299</f>
        <v>0</v>
      </c>
      <c r="L299" s="22">
        <f>INDEX(Notes!$I$2:$N$11,MATCH(Notes!$B$2,Notes!$I$2:$I$11,0),6)*$E299</f>
        <v>0</v>
      </c>
      <c r="M299" s="22">
        <f>IF(Notes!$B$2="June",'Payment Total'!$F299,0)</f>
        <v>0</v>
      </c>
      <c r="N299" s="22">
        <f t="shared" si="16"/>
        <v>0</v>
      </c>
      <c r="P299" s="26" t="s">
        <v>1135</v>
      </c>
      <c r="Q299" s="26">
        <v>1175198</v>
      </c>
      <c r="R299" s="21" t="str">
        <f t="shared" si="17"/>
        <v>6660</v>
      </c>
      <c r="S299" s="44" t="str">
        <f t="shared" si="18"/>
        <v>6660</v>
      </c>
      <c r="T299" s="45">
        <f t="shared" si="19"/>
        <v>0</v>
      </c>
      <c r="V299" s="45"/>
    </row>
    <row r="300" spans="1:22" s="26" customFormat="1" ht="12.75" x14ac:dyDescent="0.2">
      <c r="A300" s="20" t="str">
        <f>Data!B295</f>
        <v>6700</v>
      </c>
      <c r="B300" s="21" t="str">
        <f>INDEX(Data[],MATCH($A300,Data[Dist],0),MATCH(B$6,Data[#Headers],0))</f>
        <v>Waco</v>
      </c>
      <c r="C300" s="22">
        <f>INDEX(Data[],MATCH($A300,Data[Dist],0),MATCH(C$6,Data[#Headers],0))</f>
        <v>378067</v>
      </c>
      <c r="D300" s="160">
        <f>INDEX(Data[],MATCH($A300,Data[Dist],0),MATCH(D$6,Data[#Headers],0))</f>
        <v>376193</v>
      </c>
      <c r="E300" s="160">
        <f>INDEX(Data[],MATCH($A300,Data[Dist],0),MATCH(E$6,Data[#Headers],0))</f>
        <v>376193</v>
      </c>
      <c r="F300" s="160">
        <f>INDEX(Data[],MATCH($A300,Data[Dist],0),MATCH(F$6,Data[#Headers],0))</f>
        <v>376194</v>
      </c>
      <c r="G300" s="22">
        <f>INDEX(Data[],MATCH($A300,Data[Dist],0),MATCH(G$6,Data[#Headers],0))</f>
        <v>1134201</v>
      </c>
      <c r="H300" s="22">
        <f>INDEX(Data[],MATCH($A300,Data[Dist],0),MATCH(H$6,Data[#Headers],0))-G300</f>
        <v>2646468</v>
      </c>
      <c r="I300" s="25"/>
      <c r="J300" s="22">
        <f>INDEX(Notes!$I$2:$N$11,MATCH(Notes!$B$2,Notes!$I$2:$I$11,0),4)*$C300</f>
        <v>1134201</v>
      </c>
      <c r="K300" s="22">
        <f>INDEX(Notes!$I$2:$N$11,MATCH(Notes!$B$2,Notes!$I$2:$I$11,0),5)*$D300</f>
        <v>0</v>
      </c>
      <c r="L300" s="22">
        <f>INDEX(Notes!$I$2:$N$11,MATCH(Notes!$B$2,Notes!$I$2:$I$11,0),6)*$E300</f>
        <v>0</v>
      </c>
      <c r="M300" s="22">
        <f>IF(Notes!$B$2="June",'Payment Total'!$F300,0)</f>
        <v>0</v>
      </c>
      <c r="N300" s="22">
        <f t="shared" si="16"/>
        <v>0</v>
      </c>
      <c r="P300" s="26" t="s">
        <v>1136</v>
      </c>
      <c r="Q300" s="26">
        <v>378067</v>
      </c>
      <c r="R300" s="21" t="str">
        <f t="shared" si="17"/>
        <v>6700</v>
      </c>
      <c r="S300" s="44" t="str">
        <f t="shared" si="18"/>
        <v>6700</v>
      </c>
      <c r="T300" s="45">
        <f t="shared" si="19"/>
        <v>0</v>
      </c>
      <c r="V300" s="45"/>
    </row>
    <row r="301" spans="1:22" s="26" customFormat="1" ht="12.75" x14ac:dyDescent="0.2">
      <c r="A301" s="20" t="str">
        <f>Data!B296</f>
        <v>6741</v>
      </c>
      <c r="B301" s="21" t="str">
        <f>INDEX(Data[],MATCH($A301,Data[Dist],0),MATCH(B$6,Data[#Headers],0))</f>
        <v>East Sac County</v>
      </c>
      <c r="C301" s="22">
        <f>INDEX(Data[],MATCH($A301,Data[Dist],0),MATCH(C$6,Data[#Headers],0))</f>
        <v>513664</v>
      </c>
      <c r="D301" s="160">
        <f>INDEX(Data[],MATCH($A301,Data[Dist],0),MATCH(D$6,Data[#Headers],0))</f>
        <v>510466</v>
      </c>
      <c r="E301" s="160">
        <f>INDEX(Data[],MATCH($A301,Data[Dist],0),MATCH(E$6,Data[#Headers],0))</f>
        <v>510466</v>
      </c>
      <c r="F301" s="160">
        <f>INDEX(Data[],MATCH($A301,Data[Dist],0),MATCH(F$6,Data[#Headers],0))</f>
        <v>510464</v>
      </c>
      <c r="G301" s="22">
        <f>INDEX(Data[],MATCH($A301,Data[Dist],0),MATCH(G$6,Data[#Headers],0))</f>
        <v>1540992</v>
      </c>
      <c r="H301" s="22">
        <f>INDEX(Data[],MATCH($A301,Data[Dist],0),MATCH(H$6,Data[#Headers],0))-G301</f>
        <v>3595649</v>
      </c>
      <c r="I301" s="25"/>
      <c r="J301" s="22">
        <f>INDEX(Notes!$I$2:$N$11,MATCH(Notes!$B$2,Notes!$I$2:$I$11,0),4)*$C301</f>
        <v>1540992</v>
      </c>
      <c r="K301" s="22">
        <f>INDEX(Notes!$I$2:$N$11,MATCH(Notes!$B$2,Notes!$I$2:$I$11,0),5)*$D301</f>
        <v>0</v>
      </c>
      <c r="L301" s="22">
        <f>INDEX(Notes!$I$2:$N$11,MATCH(Notes!$B$2,Notes!$I$2:$I$11,0),6)*$E301</f>
        <v>0</v>
      </c>
      <c r="M301" s="22">
        <f>IF(Notes!$B$2="June",'Payment Total'!$F301,0)</f>
        <v>0</v>
      </c>
      <c r="N301" s="22">
        <f t="shared" si="16"/>
        <v>0</v>
      </c>
      <c r="P301" s="26" t="s">
        <v>1137</v>
      </c>
      <c r="Q301" s="26">
        <v>513664</v>
      </c>
      <c r="R301" s="21" t="str">
        <f t="shared" si="17"/>
        <v>6741</v>
      </c>
      <c r="S301" s="44" t="str">
        <f t="shared" si="18"/>
        <v>6741</v>
      </c>
      <c r="T301" s="45">
        <f t="shared" si="19"/>
        <v>0</v>
      </c>
      <c r="V301" s="45"/>
    </row>
    <row r="302" spans="1:22" s="26" customFormat="1" ht="12.75" x14ac:dyDescent="0.2">
      <c r="A302" s="20" t="str">
        <f>Data!B297</f>
        <v>6759</v>
      </c>
      <c r="B302" s="21" t="str">
        <f>INDEX(Data[],MATCH($A302,Data[Dist],0),MATCH(B$6,Data[#Headers],0))</f>
        <v>Wapello</v>
      </c>
      <c r="C302" s="22">
        <f>INDEX(Data[],MATCH($A302,Data[Dist],0),MATCH(C$6,Data[#Headers],0))</f>
        <v>374319</v>
      </c>
      <c r="D302" s="160">
        <f>INDEX(Data[],MATCH($A302,Data[Dist],0),MATCH(D$6,Data[#Headers],0))</f>
        <v>372273</v>
      </c>
      <c r="E302" s="160">
        <f>INDEX(Data[],MATCH($A302,Data[Dist],0),MATCH(E$6,Data[#Headers],0))</f>
        <v>372272</v>
      </c>
      <c r="F302" s="160">
        <f>INDEX(Data[],MATCH($A302,Data[Dist],0),MATCH(F$6,Data[#Headers],0))</f>
        <v>372273</v>
      </c>
      <c r="G302" s="22">
        <f>INDEX(Data[],MATCH($A302,Data[Dist],0),MATCH(G$6,Data[#Headers],0))</f>
        <v>1122957</v>
      </c>
      <c r="H302" s="22">
        <f>INDEX(Data[],MATCH($A302,Data[Dist],0),MATCH(H$6,Data[#Headers],0))-G302</f>
        <v>2620229</v>
      </c>
      <c r="I302" s="25"/>
      <c r="J302" s="22">
        <f>INDEX(Notes!$I$2:$N$11,MATCH(Notes!$B$2,Notes!$I$2:$I$11,0),4)*$C302</f>
        <v>1122957</v>
      </c>
      <c r="K302" s="22">
        <f>INDEX(Notes!$I$2:$N$11,MATCH(Notes!$B$2,Notes!$I$2:$I$11,0),5)*$D302</f>
        <v>0</v>
      </c>
      <c r="L302" s="22">
        <f>INDEX(Notes!$I$2:$N$11,MATCH(Notes!$B$2,Notes!$I$2:$I$11,0),6)*$E302</f>
        <v>0</v>
      </c>
      <c r="M302" s="22">
        <f>IF(Notes!$B$2="June",'Payment Total'!$F302,0)</f>
        <v>0</v>
      </c>
      <c r="N302" s="22">
        <f t="shared" si="16"/>
        <v>0</v>
      </c>
      <c r="P302" s="26" t="s">
        <v>1138</v>
      </c>
      <c r="Q302" s="26">
        <v>374319</v>
      </c>
      <c r="R302" s="21" t="str">
        <f t="shared" si="17"/>
        <v>6759</v>
      </c>
      <c r="S302" s="44" t="str">
        <f t="shared" si="18"/>
        <v>6759</v>
      </c>
      <c r="T302" s="45">
        <f t="shared" si="19"/>
        <v>0</v>
      </c>
      <c r="V302" s="45"/>
    </row>
    <row r="303" spans="1:22" s="26" customFormat="1" ht="12.75" x14ac:dyDescent="0.2">
      <c r="A303" s="20" t="str">
        <f>Data!B298</f>
        <v>6762</v>
      </c>
      <c r="B303" s="21" t="str">
        <f>INDEX(Data[],MATCH($A303,Data[Dist],0),MATCH(B$6,Data[#Headers],0))</f>
        <v>Wapsie Valley</v>
      </c>
      <c r="C303" s="22">
        <f>INDEX(Data[],MATCH($A303,Data[Dist],0),MATCH(C$6,Data[#Headers],0))</f>
        <v>480127</v>
      </c>
      <c r="D303" s="160">
        <f>INDEX(Data[],MATCH($A303,Data[Dist],0),MATCH(D$6,Data[#Headers],0))</f>
        <v>477609</v>
      </c>
      <c r="E303" s="160">
        <f>INDEX(Data[],MATCH($A303,Data[Dist],0),MATCH(E$6,Data[#Headers],0))</f>
        <v>477609</v>
      </c>
      <c r="F303" s="160">
        <f>INDEX(Data[],MATCH($A303,Data[Dist],0),MATCH(F$6,Data[#Headers],0))</f>
        <v>477610</v>
      </c>
      <c r="G303" s="22">
        <f>INDEX(Data[],MATCH($A303,Data[Dist],0),MATCH(G$6,Data[#Headers],0))</f>
        <v>1440381</v>
      </c>
      <c r="H303" s="22">
        <f>INDEX(Data[],MATCH($A303,Data[Dist],0),MATCH(H$6,Data[#Headers],0))-G303</f>
        <v>3360889</v>
      </c>
      <c r="I303" s="25"/>
      <c r="J303" s="22">
        <f>INDEX(Notes!$I$2:$N$11,MATCH(Notes!$B$2,Notes!$I$2:$I$11,0),4)*$C303</f>
        <v>1440381</v>
      </c>
      <c r="K303" s="22">
        <f>INDEX(Notes!$I$2:$N$11,MATCH(Notes!$B$2,Notes!$I$2:$I$11,0),5)*$D303</f>
        <v>0</v>
      </c>
      <c r="L303" s="22">
        <f>INDEX(Notes!$I$2:$N$11,MATCH(Notes!$B$2,Notes!$I$2:$I$11,0),6)*$E303</f>
        <v>0</v>
      </c>
      <c r="M303" s="22">
        <f>IF(Notes!$B$2="June",'Payment Total'!$F303,0)</f>
        <v>0</v>
      </c>
      <c r="N303" s="22">
        <f>SUM(J303:M303)-G303</f>
        <v>0</v>
      </c>
      <c r="P303" s="26" t="s">
        <v>1139</v>
      </c>
      <c r="Q303" s="26">
        <v>480127</v>
      </c>
      <c r="R303" s="21" t="str">
        <f t="shared" si="17"/>
        <v>6762</v>
      </c>
      <c r="S303" s="44" t="str">
        <f t="shared" si="18"/>
        <v>6762</v>
      </c>
      <c r="T303" s="45">
        <f t="shared" si="19"/>
        <v>0</v>
      </c>
      <c r="V303" s="45"/>
    </row>
    <row r="304" spans="1:22" s="26" customFormat="1" ht="12.75" x14ac:dyDescent="0.2">
      <c r="A304" s="20" t="str">
        <f>Data!B299</f>
        <v>6768</v>
      </c>
      <c r="B304" s="21" t="str">
        <f>INDEX(Data[],MATCH($A304,Data[Dist],0),MATCH(B$6,Data[#Headers],0))</f>
        <v>Washington</v>
      </c>
      <c r="C304" s="22">
        <f>INDEX(Data[],MATCH($A304,Data[Dist],0),MATCH(C$6,Data[#Headers],0))</f>
        <v>1246420</v>
      </c>
      <c r="D304" s="160">
        <f>INDEX(Data[],MATCH($A304,Data[Dist],0),MATCH(D$6,Data[#Headers],0))</f>
        <v>1240195</v>
      </c>
      <c r="E304" s="160">
        <f>INDEX(Data[],MATCH($A304,Data[Dist],0),MATCH(E$6,Data[#Headers],0))</f>
        <v>1240196</v>
      </c>
      <c r="F304" s="160">
        <f>INDEX(Data[],MATCH($A304,Data[Dist],0),MATCH(F$6,Data[#Headers],0))</f>
        <v>1240194</v>
      </c>
      <c r="G304" s="22">
        <f>INDEX(Data[],MATCH($A304,Data[Dist],0),MATCH(G$6,Data[#Headers],0))</f>
        <v>3739260</v>
      </c>
      <c r="H304" s="22">
        <f>INDEX(Data[],MATCH($A304,Data[Dist],0),MATCH(H$6,Data[#Headers],0))-G304</f>
        <v>8724941</v>
      </c>
      <c r="I304" s="25"/>
      <c r="J304" s="22">
        <f>INDEX(Notes!$I$2:$N$11,MATCH(Notes!$B$2,Notes!$I$2:$I$11,0),4)*$C304</f>
        <v>3739260</v>
      </c>
      <c r="K304" s="22">
        <f>INDEX(Notes!$I$2:$N$11,MATCH(Notes!$B$2,Notes!$I$2:$I$11,0),5)*$D304</f>
        <v>0</v>
      </c>
      <c r="L304" s="22">
        <f>INDEX(Notes!$I$2:$N$11,MATCH(Notes!$B$2,Notes!$I$2:$I$11,0),6)*$E304</f>
        <v>0</v>
      </c>
      <c r="M304" s="22">
        <f>IF(Notes!$B$2="June",'Payment Total'!$F304,0)</f>
        <v>0</v>
      </c>
      <c r="N304" s="22">
        <f t="shared" si="16"/>
        <v>0</v>
      </c>
      <c r="P304" s="26" t="s">
        <v>1140</v>
      </c>
      <c r="Q304" s="26">
        <v>1246420</v>
      </c>
      <c r="R304" s="21" t="str">
        <f t="shared" si="17"/>
        <v>6768</v>
      </c>
      <c r="S304" s="44" t="str">
        <f t="shared" si="18"/>
        <v>6768</v>
      </c>
      <c r="T304" s="45">
        <f t="shared" si="19"/>
        <v>0</v>
      </c>
      <c r="V304" s="45"/>
    </row>
    <row r="305" spans="1:22" s="26" customFormat="1" ht="12.75" x14ac:dyDescent="0.2">
      <c r="A305" s="20" t="str">
        <f>Data!B300</f>
        <v>6795</v>
      </c>
      <c r="B305" s="21" t="str">
        <f>INDEX(Data[],MATCH($A305,Data[Dist],0),MATCH(B$6,Data[#Headers],0))</f>
        <v>Waterloo</v>
      </c>
      <c r="C305" s="22">
        <f>INDEX(Data[],MATCH($A305,Data[Dist],0),MATCH(C$6,Data[#Headers],0))</f>
        <v>9286259</v>
      </c>
      <c r="D305" s="160">
        <f>INDEX(Data[],MATCH($A305,Data[Dist],0),MATCH(D$6,Data[#Headers],0))</f>
        <v>9245403</v>
      </c>
      <c r="E305" s="160">
        <f>INDEX(Data[],MATCH($A305,Data[Dist],0),MATCH(E$6,Data[#Headers],0))</f>
        <v>9245402</v>
      </c>
      <c r="F305" s="160">
        <f>INDEX(Data[],MATCH($A305,Data[Dist],0),MATCH(F$6,Data[#Headers],0))</f>
        <v>9245403</v>
      </c>
      <c r="G305" s="22">
        <f>INDEX(Data[],MATCH($A305,Data[Dist],0),MATCH(G$6,Data[#Headers],0))</f>
        <v>27858777</v>
      </c>
      <c r="H305" s="22">
        <f>INDEX(Data[],MATCH($A305,Data[Dist],0),MATCH(H$6,Data[#Headers],0))-G305</f>
        <v>65003817</v>
      </c>
      <c r="I305" s="25"/>
      <c r="J305" s="22">
        <f>INDEX(Notes!$I$2:$N$11,MATCH(Notes!$B$2,Notes!$I$2:$I$11,0),4)*$C305</f>
        <v>27858777</v>
      </c>
      <c r="K305" s="22">
        <f>INDEX(Notes!$I$2:$N$11,MATCH(Notes!$B$2,Notes!$I$2:$I$11,0),5)*$D305</f>
        <v>0</v>
      </c>
      <c r="L305" s="22">
        <f>INDEX(Notes!$I$2:$N$11,MATCH(Notes!$B$2,Notes!$I$2:$I$11,0),6)*$E305</f>
        <v>0</v>
      </c>
      <c r="M305" s="22">
        <f>IF(Notes!$B$2="June",'Payment Total'!$F305,0)</f>
        <v>0</v>
      </c>
      <c r="N305" s="22">
        <f t="shared" si="16"/>
        <v>0</v>
      </c>
      <c r="P305" s="26" t="s">
        <v>1141</v>
      </c>
      <c r="Q305" s="26">
        <v>9286259</v>
      </c>
      <c r="R305" s="21" t="str">
        <f t="shared" si="17"/>
        <v>6795</v>
      </c>
      <c r="S305" s="44" t="str">
        <f t="shared" si="18"/>
        <v>6795</v>
      </c>
      <c r="T305" s="45">
        <f t="shared" si="19"/>
        <v>0</v>
      </c>
      <c r="V305" s="45"/>
    </row>
    <row r="306" spans="1:22" s="26" customFormat="1" ht="12.75" x14ac:dyDescent="0.2">
      <c r="A306" s="20" t="str">
        <f>Data!B301</f>
        <v>6822</v>
      </c>
      <c r="B306" s="21" t="str">
        <f>INDEX(Data[],MATCH($A306,Data[Dist],0),MATCH(B$6,Data[#Headers],0))</f>
        <v>Waukee</v>
      </c>
      <c r="C306" s="22">
        <f>INDEX(Data[],MATCH($A306,Data[Dist],0),MATCH(C$6,Data[#Headers],0))</f>
        <v>8301855</v>
      </c>
      <c r="D306" s="160">
        <f>INDEX(Data[],MATCH($A306,Data[Dist],0),MATCH(D$6,Data[#Headers],0))</f>
        <v>8251497</v>
      </c>
      <c r="E306" s="160">
        <f>INDEX(Data[],MATCH($A306,Data[Dist],0),MATCH(E$6,Data[#Headers],0))</f>
        <v>8251497</v>
      </c>
      <c r="F306" s="160">
        <f>INDEX(Data[],MATCH($A306,Data[Dist],0),MATCH(F$6,Data[#Headers],0))</f>
        <v>8251496</v>
      </c>
      <c r="G306" s="22">
        <f>INDEX(Data[],MATCH($A306,Data[Dist],0),MATCH(G$6,Data[#Headers],0))</f>
        <v>24905565</v>
      </c>
      <c r="H306" s="22">
        <f>INDEX(Data[],MATCH($A306,Data[Dist],0),MATCH(H$6,Data[#Headers],0))-G306</f>
        <v>58112982</v>
      </c>
      <c r="I306" s="25"/>
      <c r="J306" s="22">
        <f>INDEX(Notes!$I$2:$N$11,MATCH(Notes!$B$2,Notes!$I$2:$I$11,0),4)*$C306</f>
        <v>24905565</v>
      </c>
      <c r="K306" s="22">
        <f>INDEX(Notes!$I$2:$N$11,MATCH(Notes!$B$2,Notes!$I$2:$I$11,0),5)*$D306</f>
        <v>0</v>
      </c>
      <c r="L306" s="22">
        <f>INDEX(Notes!$I$2:$N$11,MATCH(Notes!$B$2,Notes!$I$2:$I$11,0),6)*$E306</f>
        <v>0</v>
      </c>
      <c r="M306" s="22">
        <f>IF(Notes!$B$2="June",'Payment Total'!$F306,0)</f>
        <v>0</v>
      </c>
      <c r="N306" s="22">
        <f t="shared" si="16"/>
        <v>0</v>
      </c>
      <c r="P306" s="26" t="s">
        <v>1142</v>
      </c>
      <c r="Q306" s="26">
        <v>8301855</v>
      </c>
      <c r="R306" s="21" t="str">
        <f t="shared" si="17"/>
        <v>6822</v>
      </c>
      <c r="S306" s="44" t="str">
        <f t="shared" si="18"/>
        <v>6822</v>
      </c>
      <c r="T306" s="45">
        <f t="shared" si="19"/>
        <v>0</v>
      </c>
      <c r="V306" s="45"/>
    </row>
    <row r="307" spans="1:22" s="26" customFormat="1" ht="12.75" x14ac:dyDescent="0.2">
      <c r="A307" s="20" t="str">
        <f>Data!B302</f>
        <v>6840</v>
      </c>
      <c r="B307" s="21" t="str">
        <f>INDEX(Data[],MATCH($A307,Data[Dist],0),MATCH(B$6,Data[#Headers],0))</f>
        <v>Waverly-Shell Rock</v>
      </c>
      <c r="C307" s="22">
        <f>INDEX(Data[],MATCH($A307,Data[Dist],0),MATCH(C$6,Data[#Headers],0))</f>
        <v>1570468</v>
      </c>
      <c r="D307" s="160">
        <f>INDEX(Data[],MATCH($A307,Data[Dist],0),MATCH(D$6,Data[#Headers],0))</f>
        <v>1562055</v>
      </c>
      <c r="E307" s="160">
        <f>INDEX(Data[],MATCH($A307,Data[Dist],0),MATCH(E$6,Data[#Headers],0))</f>
        <v>1562054</v>
      </c>
      <c r="F307" s="160">
        <f>INDEX(Data[],MATCH($A307,Data[Dist],0),MATCH(F$6,Data[#Headers],0))</f>
        <v>1562055</v>
      </c>
      <c r="G307" s="22">
        <f>INDEX(Data[],MATCH($A307,Data[Dist],0),MATCH(G$6,Data[#Headers],0))</f>
        <v>4711404</v>
      </c>
      <c r="H307" s="22">
        <f>INDEX(Data[],MATCH($A307,Data[Dist],0),MATCH(H$6,Data[#Headers],0))-G307</f>
        <v>10993279</v>
      </c>
      <c r="I307" s="25"/>
      <c r="J307" s="22">
        <f>INDEX(Notes!$I$2:$N$11,MATCH(Notes!$B$2,Notes!$I$2:$I$11,0),4)*$C307</f>
        <v>4711404</v>
      </c>
      <c r="K307" s="22">
        <f>INDEX(Notes!$I$2:$N$11,MATCH(Notes!$B$2,Notes!$I$2:$I$11,0),5)*$D307</f>
        <v>0</v>
      </c>
      <c r="L307" s="22">
        <f>INDEX(Notes!$I$2:$N$11,MATCH(Notes!$B$2,Notes!$I$2:$I$11,0),6)*$E307</f>
        <v>0</v>
      </c>
      <c r="M307" s="22">
        <f>IF(Notes!$B$2="June",'Payment Total'!$F307,0)</f>
        <v>0</v>
      </c>
      <c r="N307" s="22">
        <f t="shared" si="16"/>
        <v>0</v>
      </c>
      <c r="P307" s="26" t="s">
        <v>1143</v>
      </c>
      <c r="Q307" s="26">
        <v>1570468</v>
      </c>
      <c r="R307" s="21" t="str">
        <f t="shared" si="17"/>
        <v>6840</v>
      </c>
      <c r="S307" s="44" t="str">
        <f t="shared" si="18"/>
        <v>6840</v>
      </c>
      <c r="T307" s="45">
        <f t="shared" si="19"/>
        <v>0</v>
      </c>
      <c r="V307" s="45"/>
    </row>
    <row r="308" spans="1:22" s="26" customFormat="1" ht="12.75" x14ac:dyDescent="0.2">
      <c r="A308" s="20" t="str">
        <f>Data!B303</f>
        <v>6854</v>
      </c>
      <c r="B308" s="21" t="str">
        <f>INDEX(Data[],MATCH($A308,Data[Dist],0),MATCH(B$6,Data[#Headers],0))</f>
        <v>Wayne</v>
      </c>
      <c r="C308" s="22">
        <f>INDEX(Data[],MATCH($A308,Data[Dist],0),MATCH(C$6,Data[#Headers],0))</f>
        <v>366243</v>
      </c>
      <c r="D308" s="160">
        <f>INDEX(Data[],MATCH($A308,Data[Dist],0),MATCH(D$6,Data[#Headers],0))</f>
        <v>364044</v>
      </c>
      <c r="E308" s="160">
        <f>INDEX(Data[],MATCH($A308,Data[Dist],0),MATCH(E$6,Data[#Headers],0))</f>
        <v>364044</v>
      </c>
      <c r="F308" s="160">
        <f>INDEX(Data[],MATCH($A308,Data[Dist],0),MATCH(F$6,Data[#Headers],0))</f>
        <v>364043</v>
      </c>
      <c r="G308" s="22">
        <f>INDEX(Data[],MATCH($A308,Data[Dist],0),MATCH(G$6,Data[#Headers],0))</f>
        <v>1098729</v>
      </c>
      <c r="H308" s="22">
        <f>INDEX(Data[],MATCH($A308,Data[Dist],0),MATCH(H$6,Data[#Headers],0))-G308</f>
        <v>2563702</v>
      </c>
      <c r="I308" s="25"/>
      <c r="J308" s="22">
        <f>INDEX(Notes!$I$2:$N$11,MATCH(Notes!$B$2,Notes!$I$2:$I$11,0),4)*$C308</f>
        <v>1098729</v>
      </c>
      <c r="K308" s="22">
        <f>INDEX(Notes!$I$2:$N$11,MATCH(Notes!$B$2,Notes!$I$2:$I$11,0),5)*$D308</f>
        <v>0</v>
      </c>
      <c r="L308" s="22">
        <f>INDEX(Notes!$I$2:$N$11,MATCH(Notes!$B$2,Notes!$I$2:$I$11,0),6)*$E308</f>
        <v>0</v>
      </c>
      <c r="M308" s="22">
        <f>IF(Notes!$B$2="June",'Payment Total'!$F308,0)</f>
        <v>0</v>
      </c>
      <c r="N308" s="22">
        <f t="shared" si="16"/>
        <v>0</v>
      </c>
      <c r="P308" s="26" t="s">
        <v>1144</v>
      </c>
      <c r="Q308" s="26">
        <v>366243</v>
      </c>
      <c r="R308" s="21" t="str">
        <f t="shared" si="17"/>
        <v>6854</v>
      </c>
      <c r="S308" s="44" t="str">
        <f t="shared" si="18"/>
        <v>6854</v>
      </c>
      <c r="T308" s="45">
        <f t="shared" si="19"/>
        <v>0</v>
      </c>
      <c r="V308" s="45"/>
    </row>
    <row r="309" spans="1:22" s="26" customFormat="1" ht="12.75" x14ac:dyDescent="0.2">
      <c r="A309" s="20" t="str">
        <f>Data!B304</f>
        <v>6867</v>
      </c>
      <c r="B309" s="21" t="str">
        <f>INDEX(Data[],MATCH($A309,Data[Dist],0),MATCH(B$6,Data[#Headers],0))</f>
        <v>Webster City</v>
      </c>
      <c r="C309" s="22">
        <f>INDEX(Data[],MATCH($A309,Data[Dist],0),MATCH(C$6,Data[#Headers],0))</f>
        <v>1179684</v>
      </c>
      <c r="D309" s="160">
        <f>INDEX(Data[],MATCH($A309,Data[Dist],0),MATCH(D$6,Data[#Headers],0))</f>
        <v>1173063</v>
      </c>
      <c r="E309" s="160">
        <f>INDEX(Data[],MATCH($A309,Data[Dist],0),MATCH(E$6,Data[#Headers],0))</f>
        <v>1173064</v>
      </c>
      <c r="F309" s="160">
        <f>INDEX(Data[],MATCH($A309,Data[Dist],0),MATCH(F$6,Data[#Headers],0))</f>
        <v>1173062</v>
      </c>
      <c r="G309" s="22">
        <f>INDEX(Data[],MATCH($A309,Data[Dist],0),MATCH(G$6,Data[#Headers],0))</f>
        <v>3539052</v>
      </c>
      <c r="H309" s="22">
        <f>INDEX(Data[],MATCH($A309,Data[Dist],0),MATCH(H$6,Data[#Headers],0))-G309</f>
        <v>8257784</v>
      </c>
      <c r="I309" s="25"/>
      <c r="J309" s="22">
        <f>INDEX(Notes!$I$2:$N$11,MATCH(Notes!$B$2,Notes!$I$2:$I$11,0),4)*$C309</f>
        <v>3539052</v>
      </c>
      <c r="K309" s="22">
        <f>INDEX(Notes!$I$2:$N$11,MATCH(Notes!$B$2,Notes!$I$2:$I$11,0),5)*$D309</f>
        <v>0</v>
      </c>
      <c r="L309" s="22">
        <f>INDEX(Notes!$I$2:$N$11,MATCH(Notes!$B$2,Notes!$I$2:$I$11,0),6)*$E309</f>
        <v>0</v>
      </c>
      <c r="M309" s="22">
        <f>IF(Notes!$B$2="June",'Payment Total'!$F309,0)</f>
        <v>0</v>
      </c>
      <c r="N309" s="22">
        <f t="shared" si="16"/>
        <v>0</v>
      </c>
      <c r="P309" s="26" t="s">
        <v>1145</v>
      </c>
      <c r="Q309" s="26">
        <v>1179684</v>
      </c>
      <c r="R309" s="21" t="str">
        <f t="shared" si="17"/>
        <v>6867</v>
      </c>
      <c r="S309" s="44" t="str">
        <f t="shared" si="18"/>
        <v>6867</v>
      </c>
      <c r="T309" s="45">
        <f t="shared" si="19"/>
        <v>0</v>
      </c>
      <c r="V309" s="45"/>
    </row>
    <row r="310" spans="1:22" s="26" customFormat="1" ht="12.75" x14ac:dyDescent="0.2">
      <c r="A310" s="20" t="str">
        <f>Data!B305</f>
        <v>6921</v>
      </c>
      <c r="B310" s="21" t="str">
        <f>INDEX(Data[],MATCH($A310,Data[Dist],0),MATCH(B$6,Data[#Headers],0))</f>
        <v>West Bend-Mallard</v>
      </c>
      <c r="C310" s="22">
        <f>INDEX(Data[],MATCH($A310,Data[Dist],0),MATCH(C$6,Data[#Headers],0))</f>
        <v>172217</v>
      </c>
      <c r="D310" s="160">
        <f>INDEX(Data[],MATCH($A310,Data[Dist],0),MATCH(D$6,Data[#Headers],0))</f>
        <v>170961</v>
      </c>
      <c r="E310" s="160">
        <f>INDEX(Data[],MATCH($A310,Data[Dist],0),MATCH(E$6,Data[#Headers],0))</f>
        <v>170961</v>
      </c>
      <c r="F310" s="160">
        <f>INDEX(Data[],MATCH($A310,Data[Dist],0),MATCH(F$6,Data[#Headers],0))</f>
        <v>170961</v>
      </c>
      <c r="G310" s="22">
        <f>INDEX(Data[],MATCH($A310,Data[Dist],0),MATCH(G$6,Data[#Headers],0))</f>
        <v>516651</v>
      </c>
      <c r="H310" s="22">
        <f>INDEX(Data[],MATCH($A310,Data[Dist],0),MATCH(H$6,Data[#Headers],0))-G310</f>
        <v>1205519</v>
      </c>
      <c r="I310" s="25"/>
      <c r="J310" s="22">
        <f>INDEX(Notes!$I$2:$N$11,MATCH(Notes!$B$2,Notes!$I$2:$I$11,0),4)*$C310</f>
        <v>516651</v>
      </c>
      <c r="K310" s="22">
        <f>INDEX(Notes!$I$2:$N$11,MATCH(Notes!$B$2,Notes!$I$2:$I$11,0),5)*$D310</f>
        <v>0</v>
      </c>
      <c r="L310" s="22">
        <f>INDEX(Notes!$I$2:$N$11,MATCH(Notes!$B$2,Notes!$I$2:$I$11,0),6)*$E310</f>
        <v>0</v>
      </c>
      <c r="M310" s="22">
        <f>IF(Notes!$B$2="June",'Payment Total'!$F310,0)</f>
        <v>0</v>
      </c>
      <c r="N310" s="22">
        <f t="shared" si="16"/>
        <v>0</v>
      </c>
      <c r="P310" s="26" t="s">
        <v>1146</v>
      </c>
      <c r="Q310" s="26">
        <v>172217</v>
      </c>
      <c r="R310" s="21" t="str">
        <f t="shared" si="17"/>
        <v>6921</v>
      </c>
      <c r="S310" s="44" t="str">
        <f t="shared" si="18"/>
        <v>6921</v>
      </c>
      <c r="T310" s="45">
        <f t="shared" si="19"/>
        <v>0</v>
      </c>
      <c r="V310" s="45"/>
    </row>
    <row r="311" spans="1:22" s="26" customFormat="1" ht="12.75" x14ac:dyDescent="0.2">
      <c r="A311" s="20" t="str">
        <f>Data!B306</f>
        <v>6930</v>
      </c>
      <c r="B311" s="21" t="str">
        <f>INDEX(Data[],MATCH($A311,Data[Dist],0),MATCH(B$6,Data[#Headers],0))</f>
        <v>West Branch</v>
      </c>
      <c r="C311" s="22">
        <f>INDEX(Data[],MATCH($A311,Data[Dist],0),MATCH(C$6,Data[#Headers],0))</f>
        <v>497628</v>
      </c>
      <c r="D311" s="160">
        <f>INDEX(Data[],MATCH($A311,Data[Dist],0),MATCH(D$6,Data[#Headers],0))</f>
        <v>494619</v>
      </c>
      <c r="E311" s="160">
        <f>INDEX(Data[],MATCH($A311,Data[Dist],0),MATCH(E$6,Data[#Headers],0))</f>
        <v>494619</v>
      </c>
      <c r="F311" s="160">
        <f>INDEX(Data[],MATCH($A311,Data[Dist],0),MATCH(F$6,Data[#Headers],0))</f>
        <v>494619</v>
      </c>
      <c r="G311" s="22">
        <f>INDEX(Data[],MATCH($A311,Data[Dist],0),MATCH(G$6,Data[#Headers],0))</f>
        <v>1492884</v>
      </c>
      <c r="H311" s="22">
        <f>INDEX(Data[],MATCH($A311,Data[Dist],0),MATCH(H$6,Data[#Headers],0))-G311</f>
        <v>3483394</v>
      </c>
      <c r="I311" s="25"/>
      <c r="J311" s="22">
        <f>INDEX(Notes!$I$2:$N$11,MATCH(Notes!$B$2,Notes!$I$2:$I$11,0),4)*$C311</f>
        <v>1492884</v>
      </c>
      <c r="K311" s="22">
        <f>INDEX(Notes!$I$2:$N$11,MATCH(Notes!$B$2,Notes!$I$2:$I$11,0),5)*$D311</f>
        <v>0</v>
      </c>
      <c r="L311" s="22">
        <f>INDEX(Notes!$I$2:$N$11,MATCH(Notes!$B$2,Notes!$I$2:$I$11,0),6)*$E311</f>
        <v>0</v>
      </c>
      <c r="M311" s="22">
        <f>IF(Notes!$B$2="June",'Payment Total'!$F311,0)</f>
        <v>0</v>
      </c>
      <c r="N311" s="22">
        <f t="shared" si="16"/>
        <v>0</v>
      </c>
      <c r="P311" s="26" t="s">
        <v>1147</v>
      </c>
      <c r="Q311" s="26">
        <v>497628</v>
      </c>
      <c r="R311" s="21" t="str">
        <f t="shared" si="17"/>
        <v>6930</v>
      </c>
      <c r="S311" s="44" t="str">
        <f t="shared" si="18"/>
        <v>6930</v>
      </c>
      <c r="T311" s="45">
        <f t="shared" si="19"/>
        <v>0</v>
      </c>
      <c r="V311" s="45"/>
    </row>
    <row r="312" spans="1:22" s="26" customFormat="1" ht="12.75" x14ac:dyDescent="0.2">
      <c r="A312" s="20" t="str">
        <f>Data!B307</f>
        <v>6937</v>
      </c>
      <c r="B312" s="21" t="str">
        <f>INDEX(Data[],MATCH($A312,Data[Dist],0),MATCH(B$6,Data[#Headers],0))</f>
        <v>West Burlington</v>
      </c>
      <c r="C312" s="22">
        <f>INDEX(Data[],MATCH($A312,Data[Dist],0),MATCH(C$6,Data[#Headers],0))</f>
        <v>280478</v>
      </c>
      <c r="D312" s="160">
        <f>INDEX(Data[],MATCH($A312,Data[Dist],0),MATCH(D$6,Data[#Headers],0))</f>
        <v>278928</v>
      </c>
      <c r="E312" s="160">
        <f>INDEX(Data[],MATCH($A312,Data[Dist],0),MATCH(E$6,Data[#Headers],0))</f>
        <v>278928</v>
      </c>
      <c r="F312" s="160">
        <f>INDEX(Data[],MATCH($A312,Data[Dist],0),MATCH(F$6,Data[#Headers],0))</f>
        <v>278929</v>
      </c>
      <c r="G312" s="22">
        <f>INDEX(Data[],MATCH($A312,Data[Dist],0),MATCH(G$6,Data[#Headers],0))</f>
        <v>841434</v>
      </c>
      <c r="H312" s="22">
        <f>INDEX(Data[],MATCH($A312,Data[Dist],0),MATCH(H$6,Data[#Headers],0))-G312</f>
        <v>1963350</v>
      </c>
      <c r="I312" s="25"/>
      <c r="J312" s="22">
        <f>INDEX(Notes!$I$2:$N$11,MATCH(Notes!$B$2,Notes!$I$2:$I$11,0),4)*$C312</f>
        <v>841434</v>
      </c>
      <c r="K312" s="22">
        <f>INDEX(Notes!$I$2:$N$11,MATCH(Notes!$B$2,Notes!$I$2:$I$11,0),5)*$D312</f>
        <v>0</v>
      </c>
      <c r="L312" s="22">
        <f>INDEX(Notes!$I$2:$N$11,MATCH(Notes!$B$2,Notes!$I$2:$I$11,0),6)*$E312</f>
        <v>0</v>
      </c>
      <c r="M312" s="22">
        <f>IF(Notes!$B$2="June",'Payment Total'!$F312,0)</f>
        <v>0</v>
      </c>
      <c r="N312" s="22">
        <f t="shared" si="16"/>
        <v>0</v>
      </c>
      <c r="P312" s="26" t="s">
        <v>1148</v>
      </c>
      <c r="Q312" s="26">
        <v>280478</v>
      </c>
      <c r="R312" s="21" t="str">
        <f t="shared" si="17"/>
        <v>6937</v>
      </c>
      <c r="S312" s="44" t="str">
        <f t="shared" si="18"/>
        <v>6937</v>
      </c>
      <c r="T312" s="45">
        <f t="shared" si="19"/>
        <v>0</v>
      </c>
      <c r="V312" s="45"/>
    </row>
    <row r="313" spans="1:22" s="26" customFormat="1" ht="12.75" x14ac:dyDescent="0.2">
      <c r="A313" s="20" t="str">
        <f>Data!B308</f>
        <v>6943</v>
      </c>
      <c r="B313" s="21" t="str">
        <f>INDEX(Data[],MATCH($A313,Data[Dist],0),MATCH(B$6,Data[#Headers],0))</f>
        <v>West Central</v>
      </c>
      <c r="C313" s="22">
        <f>INDEX(Data[],MATCH($A313,Data[Dist],0),MATCH(C$6,Data[#Headers],0))</f>
        <v>162710</v>
      </c>
      <c r="D313" s="160">
        <f>INDEX(Data[],MATCH($A313,Data[Dist],0),MATCH(D$6,Data[#Headers],0))</f>
        <v>161683</v>
      </c>
      <c r="E313" s="160">
        <f>INDEX(Data[],MATCH($A313,Data[Dist],0),MATCH(E$6,Data[#Headers],0))</f>
        <v>161682</v>
      </c>
      <c r="F313" s="160">
        <f>INDEX(Data[],MATCH($A313,Data[Dist],0),MATCH(F$6,Data[#Headers],0))</f>
        <v>161683</v>
      </c>
      <c r="G313" s="22">
        <f>INDEX(Data[],MATCH($A313,Data[Dist],0),MATCH(G$6,Data[#Headers],0))</f>
        <v>488130</v>
      </c>
      <c r="H313" s="22">
        <f>INDEX(Data[],MATCH($A313,Data[Dist],0),MATCH(H$6,Data[#Headers],0))-G313</f>
        <v>1138966</v>
      </c>
      <c r="I313" s="25"/>
      <c r="J313" s="22">
        <f>INDEX(Notes!$I$2:$N$11,MATCH(Notes!$B$2,Notes!$I$2:$I$11,0),4)*$C313</f>
        <v>488130</v>
      </c>
      <c r="K313" s="22">
        <f>INDEX(Notes!$I$2:$N$11,MATCH(Notes!$B$2,Notes!$I$2:$I$11,0),5)*$D313</f>
        <v>0</v>
      </c>
      <c r="L313" s="22">
        <f>INDEX(Notes!$I$2:$N$11,MATCH(Notes!$B$2,Notes!$I$2:$I$11,0),6)*$E313</f>
        <v>0</v>
      </c>
      <c r="M313" s="22">
        <f>IF(Notes!$B$2="June",'Payment Total'!$F313,0)</f>
        <v>0</v>
      </c>
      <c r="N313" s="22">
        <f t="shared" si="16"/>
        <v>0</v>
      </c>
      <c r="P313" s="26" t="s">
        <v>1149</v>
      </c>
      <c r="Q313" s="26">
        <v>162710</v>
      </c>
      <c r="R313" s="21" t="str">
        <f t="shared" si="17"/>
        <v>6943</v>
      </c>
      <c r="S313" s="44" t="str">
        <f t="shared" si="18"/>
        <v>6943</v>
      </c>
      <c r="T313" s="45">
        <f t="shared" si="19"/>
        <v>0</v>
      </c>
      <c r="V313" s="45"/>
    </row>
    <row r="314" spans="1:22" s="26" customFormat="1" ht="12.75" x14ac:dyDescent="0.2">
      <c r="A314" s="20" t="str">
        <f>Data!B309</f>
        <v>6950</v>
      </c>
      <c r="B314" s="21" t="str">
        <f>INDEX(Data[],MATCH($A314,Data[Dist],0),MATCH(B$6,Data[#Headers],0))</f>
        <v>West Delaware Co</v>
      </c>
      <c r="C314" s="22">
        <f>INDEX(Data[],MATCH($A314,Data[Dist],0),MATCH(C$6,Data[#Headers],0))</f>
        <v>893554</v>
      </c>
      <c r="D314" s="160">
        <f>INDEX(Data[],MATCH($A314,Data[Dist],0),MATCH(D$6,Data[#Headers],0))</f>
        <v>888334</v>
      </c>
      <c r="E314" s="160">
        <f>INDEX(Data[],MATCH($A314,Data[Dist],0),MATCH(E$6,Data[#Headers],0))</f>
        <v>888334</v>
      </c>
      <c r="F314" s="160">
        <f>INDEX(Data[],MATCH($A314,Data[Dist],0),MATCH(F$6,Data[#Headers],0))</f>
        <v>888332</v>
      </c>
      <c r="G314" s="22">
        <f>INDEX(Data[],MATCH($A314,Data[Dist],0),MATCH(G$6,Data[#Headers],0))</f>
        <v>2680662</v>
      </c>
      <c r="H314" s="22">
        <f>INDEX(Data[],MATCH($A314,Data[Dist],0),MATCH(H$6,Data[#Headers],0))-G314</f>
        <v>6254876</v>
      </c>
      <c r="I314" s="25"/>
      <c r="J314" s="22">
        <f>INDEX(Notes!$I$2:$N$11,MATCH(Notes!$B$2,Notes!$I$2:$I$11,0),4)*$C314</f>
        <v>2680662</v>
      </c>
      <c r="K314" s="22">
        <f>INDEX(Notes!$I$2:$N$11,MATCH(Notes!$B$2,Notes!$I$2:$I$11,0),5)*$D314</f>
        <v>0</v>
      </c>
      <c r="L314" s="22">
        <f>INDEX(Notes!$I$2:$N$11,MATCH(Notes!$B$2,Notes!$I$2:$I$11,0),6)*$E314</f>
        <v>0</v>
      </c>
      <c r="M314" s="22">
        <f>IF(Notes!$B$2="June",'Payment Total'!$F314,0)</f>
        <v>0</v>
      </c>
      <c r="N314" s="22">
        <f t="shared" si="16"/>
        <v>0</v>
      </c>
      <c r="P314" s="26" t="s">
        <v>1150</v>
      </c>
      <c r="Q314" s="26">
        <v>893554</v>
      </c>
      <c r="R314" s="21" t="str">
        <f t="shared" si="17"/>
        <v>6950</v>
      </c>
      <c r="S314" s="44" t="str">
        <f t="shared" si="18"/>
        <v>6950</v>
      </c>
      <c r="T314" s="45">
        <f t="shared" si="19"/>
        <v>0</v>
      </c>
      <c r="V314" s="45"/>
    </row>
    <row r="315" spans="1:22" s="26" customFormat="1" ht="12.75" x14ac:dyDescent="0.2">
      <c r="A315" s="20" t="str">
        <f>Data!B310</f>
        <v>6957</v>
      </c>
      <c r="B315" s="21" t="str">
        <f>INDEX(Data[],MATCH($A315,Data[Dist],0),MATCH(B$6,Data[#Headers],0))</f>
        <v>West Des Moines</v>
      </c>
      <c r="C315" s="22">
        <f>INDEX(Data[],MATCH($A315,Data[Dist],0),MATCH(C$6,Data[#Headers],0))</f>
        <v>5105829</v>
      </c>
      <c r="D315" s="160">
        <f>INDEX(Data[],MATCH($A315,Data[Dist],0),MATCH(D$6,Data[#Headers],0))</f>
        <v>5072605</v>
      </c>
      <c r="E315" s="160">
        <f>INDEX(Data[],MATCH($A315,Data[Dist],0),MATCH(E$6,Data[#Headers],0))</f>
        <v>5072605</v>
      </c>
      <c r="F315" s="160">
        <f>INDEX(Data[],MATCH($A315,Data[Dist],0),MATCH(F$6,Data[#Headers],0))</f>
        <v>5072604</v>
      </c>
      <c r="G315" s="22">
        <f>INDEX(Data[],MATCH($A315,Data[Dist],0),MATCH(G$6,Data[#Headers],0))</f>
        <v>15317487</v>
      </c>
      <c r="H315" s="22">
        <f>INDEX(Data[],MATCH($A315,Data[Dist],0),MATCH(H$6,Data[#Headers],0))-G315</f>
        <v>35740806</v>
      </c>
      <c r="I315" s="25"/>
      <c r="J315" s="22">
        <f>INDEX(Notes!$I$2:$N$11,MATCH(Notes!$B$2,Notes!$I$2:$I$11,0),4)*$C315</f>
        <v>15317487</v>
      </c>
      <c r="K315" s="22">
        <f>INDEX(Notes!$I$2:$N$11,MATCH(Notes!$B$2,Notes!$I$2:$I$11,0),5)*$D315</f>
        <v>0</v>
      </c>
      <c r="L315" s="22">
        <f>INDEX(Notes!$I$2:$N$11,MATCH(Notes!$B$2,Notes!$I$2:$I$11,0),6)*$E315</f>
        <v>0</v>
      </c>
      <c r="M315" s="22">
        <f>IF(Notes!$B$2="June",'Payment Total'!$F315,0)</f>
        <v>0</v>
      </c>
      <c r="N315" s="22">
        <f t="shared" si="16"/>
        <v>0</v>
      </c>
      <c r="P315" s="26" t="s">
        <v>1151</v>
      </c>
      <c r="Q315" s="26">
        <v>5105829</v>
      </c>
      <c r="R315" s="21" t="str">
        <f t="shared" si="17"/>
        <v>6957</v>
      </c>
      <c r="S315" s="44" t="str">
        <f t="shared" si="18"/>
        <v>6957</v>
      </c>
      <c r="T315" s="45">
        <f t="shared" si="19"/>
        <v>0</v>
      </c>
      <c r="V315" s="45"/>
    </row>
    <row r="316" spans="1:22" s="26" customFormat="1" ht="12.75" x14ac:dyDescent="0.2">
      <c r="A316" s="20" t="str">
        <f>Data!B311</f>
        <v>6961</v>
      </c>
      <c r="B316" s="21" t="str">
        <f>INDEX(Data[],MATCH($A316,Data[Dist],0),MATCH(B$6,Data[#Headers],0))</f>
        <v>Western Dubuque Co</v>
      </c>
      <c r="C316" s="22">
        <f>INDEX(Data[],MATCH($A316,Data[Dist],0),MATCH(C$6,Data[#Headers],0))</f>
        <v>2047802</v>
      </c>
      <c r="D316" s="160">
        <f>INDEX(Data[],MATCH($A316,Data[Dist],0),MATCH(D$6,Data[#Headers],0))</f>
        <v>2035551</v>
      </c>
      <c r="E316" s="160">
        <f>INDEX(Data[],MATCH($A316,Data[Dist],0),MATCH(E$6,Data[#Headers],0))</f>
        <v>2035550</v>
      </c>
      <c r="F316" s="160">
        <f>INDEX(Data[],MATCH($A316,Data[Dist],0),MATCH(F$6,Data[#Headers],0))</f>
        <v>2035551</v>
      </c>
      <c r="G316" s="22">
        <f>INDEX(Data[],MATCH($A316,Data[Dist],0),MATCH(G$6,Data[#Headers],0))</f>
        <v>6143406</v>
      </c>
      <c r="H316" s="22">
        <f>INDEX(Data[],MATCH($A316,Data[Dist],0),MATCH(H$6,Data[#Headers],0))-G316</f>
        <v>14334614</v>
      </c>
      <c r="I316" s="25"/>
      <c r="J316" s="22">
        <f>INDEX(Notes!$I$2:$N$11,MATCH(Notes!$B$2,Notes!$I$2:$I$11,0),4)*$C316</f>
        <v>6143406</v>
      </c>
      <c r="K316" s="22">
        <f>INDEX(Notes!$I$2:$N$11,MATCH(Notes!$B$2,Notes!$I$2:$I$11,0),5)*$D316</f>
        <v>0</v>
      </c>
      <c r="L316" s="22">
        <f>INDEX(Notes!$I$2:$N$11,MATCH(Notes!$B$2,Notes!$I$2:$I$11,0),6)*$E316</f>
        <v>0</v>
      </c>
      <c r="M316" s="22">
        <f>IF(Notes!$B$2="June",'Payment Total'!$F316,0)</f>
        <v>0</v>
      </c>
      <c r="N316" s="22">
        <f t="shared" si="16"/>
        <v>0</v>
      </c>
      <c r="P316" s="26" t="s">
        <v>1152</v>
      </c>
      <c r="Q316" s="26">
        <v>2047802</v>
      </c>
      <c r="R316" s="21" t="str">
        <f t="shared" si="17"/>
        <v>6961</v>
      </c>
      <c r="S316" s="44" t="str">
        <f t="shared" si="18"/>
        <v>6961</v>
      </c>
      <c r="T316" s="45">
        <f t="shared" si="19"/>
        <v>0</v>
      </c>
      <c r="V316" s="45"/>
    </row>
    <row r="317" spans="1:22" s="26" customFormat="1" ht="12.75" x14ac:dyDescent="0.2">
      <c r="A317" s="20" t="str">
        <f>Data!B312</f>
        <v>6969</v>
      </c>
      <c r="B317" s="21" t="str">
        <f>INDEX(Data[],MATCH($A317,Data[Dist],0),MATCH(B$6,Data[#Headers],0))</f>
        <v>West Harrison</v>
      </c>
      <c r="C317" s="22">
        <f>INDEX(Data[],MATCH($A317,Data[Dist],0),MATCH(C$6,Data[#Headers],0))</f>
        <v>199580</v>
      </c>
      <c r="D317" s="160">
        <f>INDEX(Data[],MATCH($A317,Data[Dist],0),MATCH(D$6,Data[#Headers],0))</f>
        <v>198216</v>
      </c>
      <c r="E317" s="160">
        <f>INDEX(Data[],MATCH($A317,Data[Dist],0),MATCH(E$6,Data[#Headers],0))</f>
        <v>198216</v>
      </c>
      <c r="F317" s="160">
        <f>INDEX(Data[],MATCH($A317,Data[Dist],0),MATCH(F$6,Data[#Headers],0))</f>
        <v>198216</v>
      </c>
      <c r="G317" s="22">
        <f>INDEX(Data[],MATCH($A317,Data[Dist],0),MATCH(G$6,Data[#Headers],0))</f>
        <v>598740</v>
      </c>
      <c r="H317" s="22">
        <f>INDEX(Data[],MATCH($A317,Data[Dist],0),MATCH(H$6,Data[#Headers],0))-G317</f>
        <v>1397060</v>
      </c>
      <c r="I317" s="25"/>
      <c r="J317" s="22">
        <f>INDEX(Notes!$I$2:$N$11,MATCH(Notes!$B$2,Notes!$I$2:$I$11,0),4)*$C317</f>
        <v>598740</v>
      </c>
      <c r="K317" s="22">
        <f>INDEX(Notes!$I$2:$N$11,MATCH(Notes!$B$2,Notes!$I$2:$I$11,0),5)*$D317</f>
        <v>0</v>
      </c>
      <c r="L317" s="22">
        <f>INDEX(Notes!$I$2:$N$11,MATCH(Notes!$B$2,Notes!$I$2:$I$11,0),6)*$E317</f>
        <v>0</v>
      </c>
      <c r="M317" s="22">
        <f>IF(Notes!$B$2="June",'Payment Total'!$F317,0)</f>
        <v>0</v>
      </c>
      <c r="N317" s="22">
        <f>SUM(J317:M317)-G317</f>
        <v>0</v>
      </c>
      <c r="P317" s="26" t="s">
        <v>1153</v>
      </c>
      <c r="Q317" s="26">
        <v>199580</v>
      </c>
      <c r="R317" s="21" t="str">
        <f t="shared" si="17"/>
        <v>6969</v>
      </c>
      <c r="S317" s="44" t="str">
        <f t="shared" si="18"/>
        <v>6969</v>
      </c>
      <c r="T317" s="45">
        <f t="shared" si="19"/>
        <v>0</v>
      </c>
      <c r="V317" s="45"/>
    </row>
    <row r="318" spans="1:22" s="26" customFormat="1" ht="12.75" x14ac:dyDescent="0.2">
      <c r="A318" s="20" t="str">
        <f>Data!B313</f>
        <v>6975</v>
      </c>
      <c r="B318" s="21" t="str">
        <f>INDEX(Data[],MATCH($A318,Data[Dist],0),MATCH(B$6,Data[#Headers],0))</f>
        <v>West Liberty</v>
      </c>
      <c r="C318" s="22">
        <f>INDEX(Data[],MATCH($A318,Data[Dist],0),MATCH(C$6,Data[#Headers],0))</f>
        <v>981665</v>
      </c>
      <c r="D318" s="160">
        <f>INDEX(Data[],MATCH($A318,Data[Dist],0),MATCH(D$6,Data[#Headers],0))</f>
        <v>976936</v>
      </c>
      <c r="E318" s="160">
        <f>INDEX(Data[],MATCH($A318,Data[Dist],0),MATCH(E$6,Data[#Headers],0))</f>
        <v>976937</v>
      </c>
      <c r="F318" s="160">
        <f>INDEX(Data[],MATCH($A318,Data[Dist],0),MATCH(F$6,Data[#Headers],0))</f>
        <v>976935</v>
      </c>
      <c r="G318" s="22">
        <f>INDEX(Data[],MATCH($A318,Data[Dist],0),MATCH(G$6,Data[#Headers],0))</f>
        <v>2944995</v>
      </c>
      <c r="H318" s="22">
        <f>INDEX(Data[],MATCH($A318,Data[Dist],0),MATCH(H$6,Data[#Headers],0))-G318</f>
        <v>6871653</v>
      </c>
      <c r="I318" s="25"/>
      <c r="J318" s="22">
        <f>INDEX(Notes!$I$2:$N$11,MATCH(Notes!$B$2,Notes!$I$2:$I$11,0),4)*$C318</f>
        <v>2944995</v>
      </c>
      <c r="K318" s="22">
        <f>INDEX(Notes!$I$2:$N$11,MATCH(Notes!$B$2,Notes!$I$2:$I$11,0),5)*$D318</f>
        <v>0</v>
      </c>
      <c r="L318" s="22">
        <f>INDEX(Notes!$I$2:$N$11,MATCH(Notes!$B$2,Notes!$I$2:$I$11,0),6)*$E318</f>
        <v>0</v>
      </c>
      <c r="M318" s="22">
        <f>IF(Notes!$B$2="June",'Payment Total'!$F318,0)</f>
        <v>0</v>
      </c>
      <c r="N318" s="22">
        <f t="shared" si="16"/>
        <v>0</v>
      </c>
      <c r="P318" s="26" t="s">
        <v>1154</v>
      </c>
      <c r="Q318" s="26">
        <v>981665</v>
      </c>
      <c r="R318" s="21" t="str">
        <f t="shared" si="17"/>
        <v>6975</v>
      </c>
      <c r="S318" s="44" t="str">
        <f t="shared" si="18"/>
        <v>6975</v>
      </c>
      <c r="T318" s="45">
        <f t="shared" si="19"/>
        <v>0</v>
      </c>
      <c r="V318" s="45"/>
    </row>
    <row r="319" spans="1:22" s="26" customFormat="1" ht="12.75" x14ac:dyDescent="0.2">
      <c r="A319" s="20" t="str">
        <f>Data!B314</f>
        <v>6983</v>
      </c>
      <c r="B319" s="21" t="str">
        <f>INDEX(Data[],MATCH($A319,Data[Dist],0),MATCH(B$6,Data[#Headers],0))</f>
        <v>West Lyon</v>
      </c>
      <c r="C319" s="22">
        <f>INDEX(Data[],MATCH($A319,Data[Dist],0),MATCH(C$6,Data[#Headers],0))</f>
        <v>563573</v>
      </c>
      <c r="D319" s="160">
        <f>INDEX(Data[],MATCH($A319,Data[Dist],0),MATCH(D$6,Data[#Headers],0))</f>
        <v>559981</v>
      </c>
      <c r="E319" s="160">
        <f>INDEX(Data[],MATCH($A319,Data[Dist],0),MATCH(E$6,Data[#Headers],0))</f>
        <v>559981</v>
      </c>
      <c r="F319" s="160">
        <f>INDEX(Data[],MATCH($A319,Data[Dist],0),MATCH(F$6,Data[#Headers],0))</f>
        <v>559982</v>
      </c>
      <c r="G319" s="22">
        <f>INDEX(Data[],MATCH($A319,Data[Dist],0),MATCH(G$6,Data[#Headers],0))</f>
        <v>1690719</v>
      </c>
      <c r="H319" s="22">
        <f>INDEX(Data[],MATCH($A319,Data[Dist],0),MATCH(H$6,Data[#Headers],0))-G319</f>
        <v>3945015</v>
      </c>
      <c r="I319" s="25"/>
      <c r="J319" s="22">
        <f>INDEX(Notes!$I$2:$N$11,MATCH(Notes!$B$2,Notes!$I$2:$I$11,0),4)*$C319</f>
        <v>1690719</v>
      </c>
      <c r="K319" s="22">
        <f>INDEX(Notes!$I$2:$N$11,MATCH(Notes!$B$2,Notes!$I$2:$I$11,0),5)*$D319</f>
        <v>0</v>
      </c>
      <c r="L319" s="22">
        <f>INDEX(Notes!$I$2:$N$11,MATCH(Notes!$B$2,Notes!$I$2:$I$11,0),6)*$E319</f>
        <v>0</v>
      </c>
      <c r="M319" s="22">
        <f>IF(Notes!$B$2="June",'Payment Total'!$F319,0)</f>
        <v>0</v>
      </c>
      <c r="N319" s="22">
        <f t="shared" si="16"/>
        <v>0</v>
      </c>
      <c r="P319" s="26" t="s">
        <v>1155</v>
      </c>
      <c r="Q319" s="26">
        <v>563573</v>
      </c>
      <c r="R319" s="21" t="str">
        <f t="shared" si="17"/>
        <v>6983</v>
      </c>
      <c r="S319" s="44" t="str">
        <f t="shared" si="18"/>
        <v>6983</v>
      </c>
      <c r="T319" s="45">
        <f t="shared" si="19"/>
        <v>0</v>
      </c>
      <c r="V319" s="45"/>
    </row>
    <row r="320" spans="1:22" s="26" customFormat="1" ht="12.75" x14ac:dyDescent="0.2">
      <c r="A320" s="20" t="str">
        <f>Data!B315</f>
        <v>6985</v>
      </c>
      <c r="B320" s="21" t="str">
        <f>INDEX(Data[],MATCH($A320,Data[Dist],0),MATCH(B$6,Data[#Headers],0))</f>
        <v>West Marshall</v>
      </c>
      <c r="C320" s="22">
        <f>INDEX(Data[],MATCH($A320,Data[Dist],0),MATCH(C$6,Data[#Headers],0))</f>
        <v>520864</v>
      </c>
      <c r="D320" s="160">
        <f>INDEX(Data[],MATCH($A320,Data[Dist],0),MATCH(D$6,Data[#Headers],0))</f>
        <v>517852</v>
      </c>
      <c r="E320" s="160">
        <f>INDEX(Data[],MATCH($A320,Data[Dist],0),MATCH(E$6,Data[#Headers],0))</f>
        <v>517852</v>
      </c>
      <c r="F320" s="160">
        <f>INDEX(Data[],MATCH($A320,Data[Dist],0),MATCH(F$6,Data[#Headers],0))</f>
        <v>517851</v>
      </c>
      <c r="G320" s="22">
        <f>INDEX(Data[],MATCH($A320,Data[Dist],0),MATCH(G$6,Data[#Headers],0))</f>
        <v>1562592</v>
      </c>
      <c r="H320" s="22">
        <f>INDEX(Data[],MATCH($A320,Data[Dist],0),MATCH(H$6,Data[#Headers],0))-G320</f>
        <v>3646046</v>
      </c>
      <c r="I320" s="25"/>
      <c r="J320" s="22">
        <f>INDEX(Notes!$I$2:$N$11,MATCH(Notes!$B$2,Notes!$I$2:$I$11,0),4)*$C320</f>
        <v>1562592</v>
      </c>
      <c r="K320" s="22">
        <f>INDEX(Notes!$I$2:$N$11,MATCH(Notes!$B$2,Notes!$I$2:$I$11,0),5)*$D320</f>
        <v>0</v>
      </c>
      <c r="L320" s="22">
        <f>INDEX(Notes!$I$2:$N$11,MATCH(Notes!$B$2,Notes!$I$2:$I$11,0),6)*$E320</f>
        <v>0</v>
      </c>
      <c r="M320" s="22">
        <f>IF(Notes!$B$2="June",'Payment Total'!$F320,0)</f>
        <v>0</v>
      </c>
      <c r="N320" s="22">
        <f t="shared" si="16"/>
        <v>0</v>
      </c>
      <c r="P320" s="26" t="s">
        <v>1156</v>
      </c>
      <c r="Q320" s="26">
        <v>520864</v>
      </c>
      <c r="R320" s="21" t="str">
        <f t="shared" si="17"/>
        <v>6985</v>
      </c>
      <c r="S320" s="44" t="str">
        <f t="shared" si="18"/>
        <v>6985</v>
      </c>
      <c r="T320" s="45">
        <f t="shared" si="19"/>
        <v>0</v>
      </c>
      <c r="V320" s="45"/>
    </row>
    <row r="321" spans="1:22" s="26" customFormat="1" ht="12.75" x14ac:dyDescent="0.2">
      <c r="A321" s="20" t="str">
        <f>Data!B316</f>
        <v>6987</v>
      </c>
      <c r="B321" s="21" t="str">
        <f>INDEX(Data[],MATCH($A321,Data[Dist],0),MATCH(B$6,Data[#Headers],0))</f>
        <v>West Monona</v>
      </c>
      <c r="C321" s="22">
        <f>INDEX(Data[],MATCH($A321,Data[Dist],0),MATCH(C$6,Data[#Headers],0))</f>
        <v>402218</v>
      </c>
      <c r="D321" s="160">
        <f>INDEX(Data[],MATCH($A321,Data[Dist],0),MATCH(D$6,Data[#Headers],0))</f>
        <v>399915</v>
      </c>
      <c r="E321" s="160">
        <f>INDEX(Data[],MATCH($A321,Data[Dist],0),MATCH(E$6,Data[#Headers],0))</f>
        <v>399915</v>
      </c>
      <c r="F321" s="160">
        <f>INDEX(Data[],MATCH($A321,Data[Dist],0),MATCH(F$6,Data[#Headers],0))</f>
        <v>399913</v>
      </c>
      <c r="G321" s="22">
        <f>INDEX(Data[],MATCH($A321,Data[Dist],0),MATCH(G$6,Data[#Headers],0))</f>
        <v>1206654</v>
      </c>
      <c r="H321" s="22">
        <f>INDEX(Data[],MATCH($A321,Data[Dist],0),MATCH(H$6,Data[#Headers],0))-G321</f>
        <v>2815529</v>
      </c>
      <c r="I321" s="25"/>
      <c r="J321" s="22">
        <f>INDEX(Notes!$I$2:$N$11,MATCH(Notes!$B$2,Notes!$I$2:$I$11,0),4)*$C321</f>
        <v>1206654</v>
      </c>
      <c r="K321" s="22">
        <f>INDEX(Notes!$I$2:$N$11,MATCH(Notes!$B$2,Notes!$I$2:$I$11,0),5)*$D321</f>
        <v>0</v>
      </c>
      <c r="L321" s="22">
        <f>INDEX(Notes!$I$2:$N$11,MATCH(Notes!$B$2,Notes!$I$2:$I$11,0),6)*$E321</f>
        <v>0</v>
      </c>
      <c r="M321" s="22">
        <f>IF(Notes!$B$2="June",'Payment Total'!$F321,0)</f>
        <v>0</v>
      </c>
      <c r="N321" s="22">
        <f t="shared" si="16"/>
        <v>0</v>
      </c>
      <c r="P321" s="26" t="s">
        <v>1157</v>
      </c>
      <c r="Q321" s="26">
        <v>402218</v>
      </c>
      <c r="R321" s="21" t="str">
        <f t="shared" si="17"/>
        <v>6987</v>
      </c>
      <c r="S321" s="44" t="str">
        <f t="shared" si="18"/>
        <v>6987</v>
      </c>
      <c r="T321" s="45">
        <f t="shared" si="19"/>
        <v>0</v>
      </c>
      <c r="V321" s="45"/>
    </row>
    <row r="322" spans="1:22" s="26" customFormat="1" ht="12.75" x14ac:dyDescent="0.2">
      <c r="A322" s="20" t="str">
        <f>Data!B317</f>
        <v>6990</v>
      </c>
      <c r="B322" s="21" t="str">
        <f>INDEX(Data[],MATCH($A322,Data[Dist],0),MATCH(B$6,Data[#Headers],0))</f>
        <v>West Sioux</v>
      </c>
      <c r="C322" s="22">
        <f>INDEX(Data[],MATCH($A322,Data[Dist],0),MATCH(C$6,Data[#Headers],0))</f>
        <v>643721</v>
      </c>
      <c r="D322" s="160">
        <f>INDEX(Data[],MATCH($A322,Data[Dist],0),MATCH(D$6,Data[#Headers],0))</f>
        <v>640678</v>
      </c>
      <c r="E322" s="160">
        <f>INDEX(Data[],MATCH($A322,Data[Dist],0),MATCH(E$6,Data[#Headers],0))</f>
        <v>640678</v>
      </c>
      <c r="F322" s="160">
        <f>INDEX(Data[],MATCH($A322,Data[Dist],0),MATCH(F$6,Data[#Headers],0))</f>
        <v>640676</v>
      </c>
      <c r="G322" s="22">
        <f>INDEX(Data[],MATCH($A322,Data[Dist],0),MATCH(G$6,Data[#Headers],0))</f>
        <v>1931163</v>
      </c>
      <c r="H322" s="22">
        <f>INDEX(Data[],MATCH($A322,Data[Dist],0),MATCH(H$6,Data[#Headers],0))-G322</f>
        <v>4506050</v>
      </c>
      <c r="I322" s="25"/>
      <c r="J322" s="22">
        <f>INDEX(Notes!$I$2:$N$11,MATCH(Notes!$B$2,Notes!$I$2:$I$11,0),4)*$C322</f>
        <v>1931163</v>
      </c>
      <c r="K322" s="22">
        <f>INDEX(Notes!$I$2:$N$11,MATCH(Notes!$B$2,Notes!$I$2:$I$11,0),5)*$D322</f>
        <v>0</v>
      </c>
      <c r="L322" s="22">
        <f>INDEX(Notes!$I$2:$N$11,MATCH(Notes!$B$2,Notes!$I$2:$I$11,0),6)*$E322</f>
        <v>0</v>
      </c>
      <c r="M322" s="22">
        <f>IF(Notes!$B$2="June",'Payment Total'!$F322,0)</f>
        <v>0</v>
      </c>
      <c r="N322" s="22">
        <f t="shared" si="16"/>
        <v>0</v>
      </c>
      <c r="P322" s="26" t="s">
        <v>1158</v>
      </c>
      <c r="Q322" s="26">
        <v>643721</v>
      </c>
      <c r="R322" s="21" t="str">
        <f t="shared" si="17"/>
        <v>6990</v>
      </c>
      <c r="S322" s="44" t="str">
        <f t="shared" si="18"/>
        <v>6990</v>
      </c>
      <c r="T322" s="45">
        <f t="shared" si="19"/>
        <v>0</v>
      </c>
      <c r="V322" s="45"/>
    </row>
    <row r="323" spans="1:22" s="26" customFormat="1" ht="12.75" x14ac:dyDescent="0.2">
      <c r="A323" s="20" t="str">
        <f>Data!B318</f>
        <v>6992</v>
      </c>
      <c r="B323" s="21" t="str">
        <f>INDEX(Data[],MATCH($A323,Data[Dist],0),MATCH(B$6,Data[#Headers],0))</f>
        <v>Westwood</v>
      </c>
      <c r="C323" s="22">
        <f>INDEX(Data[],MATCH($A323,Data[Dist],0),MATCH(C$6,Data[#Headers],0))</f>
        <v>276369</v>
      </c>
      <c r="D323" s="160">
        <f>INDEX(Data[],MATCH($A323,Data[Dist],0),MATCH(D$6,Data[#Headers],0))</f>
        <v>274334</v>
      </c>
      <c r="E323" s="160">
        <f>INDEX(Data[],MATCH($A323,Data[Dist],0),MATCH(E$6,Data[#Headers],0))</f>
        <v>274334</v>
      </c>
      <c r="F323" s="160">
        <f>INDEX(Data[],MATCH($A323,Data[Dist],0),MATCH(F$6,Data[#Headers],0))</f>
        <v>274332</v>
      </c>
      <c r="G323" s="22">
        <f>INDEX(Data[],MATCH($A323,Data[Dist],0),MATCH(G$6,Data[#Headers],0))</f>
        <v>829107</v>
      </c>
      <c r="H323" s="22">
        <f>INDEX(Data[],MATCH($A323,Data[Dist],0),MATCH(H$6,Data[#Headers],0))-G323</f>
        <v>1934584</v>
      </c>
      <c r="I323" s="25"/>
      <c r="J323" s="22">
        <f>INDEX(Notes!$I$2:$N$11,MATCH(Notes!$B$2,Notes!$I$2:$I$11,0),4)*$C323</f>
        <v>829107</v>
      </c>
      <c r="K323" s="22">
        <f>INDEX(Notes!$I$2:$N$11,MATCH(Notes!$B$2,Notes!$I$2:$I$11,0),5)*$D323</f>
        <v>0</v>
      </c>
      <c r="L323" s="22">
        <f>INDEX(Notes!$I$2:$N$11,MATCH(Notes!$B$2,Notes!$I$2:$I$11,0),6)*$E323</f>
        <v>0</v>
      </c>
      <c r="M323" s="22">
        <f>IF(Notes!$B$2="June",'Payment Total'!$F323,0)</f>
        <v>0</v>
      </c>
      <c r="N323" s="22">
        <f t="shared" si="16"/>
        <v>0</v>
      </c>
      <c r="P323" s="26" t="s">
        <v>1159</v>
      </c>
      <c r="Q323" s="26">
        <v>276369</v>
      </c>
      <c r="R323" s="21" t="str">
        <f t="shared" si="17"/>
        <v>6992</v>
      </c>
      <c r="S323" s="44" t="str">
        <f t="shared" si="18"/>
        <v>6992</v>
      </c>
      <c r="T323" s="45">
        <f t="shared" si="19"/>
        <v>0</v>
      </c>
      <c r="V323" s="45"/>
    </row>
    <row r="324" spans="1:22" s="26" customFormat="1" ht="12.75" x14ac:dyDescent="0.2">
      <c r="A324" s="20" t="str">
        <f>Data!B319</f>
        <v>7002</v>
      </c>
      <c r="B324" s="21" t="str">
        <f>INDEX(Data[],MATCH($A324,Data[Dist],0),MATCH(B$6,Data[#Headers],0))</f>
        <v>Whiting</v>
      </c>
      <c r="C324" s="22">
        <f>INDEX(Data[],MATCH($A324,Data[Dist],0),MATCH(C$6,Data[#Headers],0))</f>
        <v>105220</v>
      </c>
      <c r="D324" s="160">
        <f>INDEX(Data[],MATCH($A324,Data[Dist],0),MATCH(D$6,Data[#Headers],0))</f>
        <v>104514</v>
      </c>
      <c r="E324" s="160">
        <f>INDEX(Data[],MATCH($A324,Data[Dist],0),MATCH(E$6,Data[#Headers],0))</f>
        <v>104514</v>
      </c>
      <c r="F324" s="160">
        <f>INDEX(Data[],MATCH($A324,Data[Dist],0),MATCH(F$6,Data[#Headers],0))</f>
        <v>104513</v>
      </c>
      <c r="G324" s="22">
        <f>INDEX(Data[],MATCH($A324,Data[Dist],0),MATCH(G$6,Data[#Headers],0))</f>
        <v>315660</v>
      </c>
      <c r="H324" s="22">
        <f>INDEX(Data[],MATCH($A324,Data[Dist],0),MATCH(H$6,Data[#Headers],0))-G324</f>
        <v>736539</v>
      </c>
      <c r="I324" s="25"/>
      <c r="J324" s="22">
        <f>INDEX(Notes!$I$2:$N$11,MATCH(Notes!$B$2,Notes!$I$2:$I$11,0),4)*$C324</f>
        <v>315660</v>
      </c>
      <c r="K324" s="22">
        <f>INDEX(Notes!$I$2:$N$11,MATCH(Notes!$B$2,Notes!$I$2:$I$11,0),5)*$D324</f>
        <v>0</v>
      </c>
      <c r="L324" s="22">
        <f>INDEX(Notes!$I$2:$N$11,MATCH(Notes!$B$2,Notes!$I$2:$I$11,0),6)*$E324</f>
        <v>0</v>
      </c>
      <c r="M324" s="22">
        <f>IF(Notes!$B$2="June",'Payment Total'!$F324,0)</f>
        <v>0</v>
      </c>
      <c r="N324" s="22">
        <f t="shared" si="16"/>
        <v>0</v>
      </c>
      <c r="P324" s="26" t="s">
        <v>1160</v>
      </c>
      <c r="Q324" s="26">
        <v>105220</v>
      </c>
      <c r="R324" s="21" t="str">
        <f t="shared" si="17"/>
        <v>7002</v>
      </c>
      <c r="S324" s="44" t="str">
        <f t="shared" si="18"/>
        <v>7002</v>
      </c>
      <c r="T324" s="45">
        <f t="shared" si="19"/>
        <v>0</v>
      </c>
      <c r="V324" s="45"/>
    </row>
    <row r="325" spans="1:22" s="26" customFormat="1" ht="12.75" x14ac:dyDescent="0.2">
      <c r="A325" s="20" t="str">
        <f>Data!B320</f>
        <v>7029</v>
      </c>
      <c r="B325" s="21" t="str">
        <f>INDEX(Data[],MATCH($A325,Data[Dist],0),MATCH(B$6,Data[#Headers],0))</f>
        <v>Williamsburg</v>
      </c>
      <c r="C325" s="22">
        <f>INDEX(Data[],MATCH($A325,Data[Dist],0),MATCH(C$6,Data[#Headers],0))</f>
        <v>781131</v>
      </c>
      <c r="D325" s="160">
        <f>INDEX(Data[],MATCH($A325,Data[Dist],0),MATCH(D$6,Data[#Headers],0))</f>
        <v>776689</v>
      </c>
      <c r="E325" s="160">
        <f>INDEX(Data[],MATCH($A325,Data[Dist],0),MATCH(E$6,Data[#Headers],0))</f>
        <v>776689</v>
      </c>
      <c r="F325" s="160">
        <f>INDEX(Data[],MATCH($A325,Data[Dist],0),MATCH(F$6,Data[#Headers],0))</f>
        <v>776688</v>
      </c>
      <c r="G325" s="22">
        <f>INDEX(Data[],MATCH($A325,Data[Dist],0),MATCH(G$6,Data[#Headers],0))</f>
        <v>2343393</v>
      </c>
      <c r="H325" s="22">
        <f>INDEX(Data[],MATCH($A325,Data[Dist],0),MATCH(H$6,Data[#Headers],0))-G325</f>
        <v>5467914</v>
      </c>
      <c r="I325" s="25"/>
      <c r="J325" s="22">
        <f>INDEX(Notes!$I$2:$N$11,MATCH(Notes!$B$2,Notes!$I$2:$I$11,0),4)*$C325</f>
        <v>2343393</v>
      </c>
      <c r="K325" s="22">
        <f>INDEX(Notes!$I$2:$N$11,MATCH(Notes!$B$2,Notes!$I$2:$I$11,0),5)*$D325</f>
        <v>0</v>
      </c>
      <c r="L325" s="22">
        <f>INDEX(Notes!$I$2:$N$11,MATCH(Notes!$B$2,Notes!$I$2:$I$11,0),6)*$E325</f>
        <v>0</v>
      </c>
      <c r="M325" s="22">
        <f>IF(Notes!$B$2="June",'Payment Total'!$F325,0)</f>
        <v>0</v>
      </c>
      <c r="N325" s="22">
        <f t="shared" si="16"/>
        <v>0</v>
      </c>
      <c r="P325" s="26" t="s">
        <v>1161</v>
      </c>
      <c r="Q325" s="26">
        <v>781131</v>
      </c>
      <c r="R325" s="21" t="str">
        <f t="shared" si="17"/>
        <v>7029</v>
      </c>
      <c r="S325" s="44" t="str">
        <f t="shared" si="18"/>
        <v>7029</v>
      </c>
      <c r="T325" s="45">
        <f t="shared" si="19"/>
        <v>0</v>
      </c>
      <c r="V325" s="45"/>
    </row>
    <row r="326" spans="1:22" s="26" customFormat="1" ht="12.75" x14ac:dyDescent="0.2">
      <c r="A326" s="20" t="str">
        <f>Data!B321</f>
        <v>7038</v>
      </c>
      <c r="B326" s="21" t="str">
        <f>INDEX(Data[],MATCH($A326,Data[Dist],0),MATCH(B$6,Data[#Headers],0))</f>
        <v>Wilton</v>
      </c>
      <c r="C326" s="22">
        <f>INDEX(Data[],MATCH($A326,Data[Dist],0),MATCH(C$6,Data[#Headers],0))</f>
        <v>628581</v>
      </c>
      <c r="D326" s="160">
        <f>INDEX(Data[],MATCH($A326,Data[Dist],0),MATCH(D$6,Data[#Headers],0))</f>
        <v>625319</v>
      </c>
      <c r="E326" s="160">
        <f>INDEX(Data[],MATCH($A326,Data[Dist],0),MATCH(E$6,Data[#Headers],0))</f>
        <v>625319</v>
      </c>
      <c r="F326" s="160">
        <f>INDEX(Data[],MATCH($A326,Data[Dist],0),MATCH(F$6,Data[#Headers],0))</f>
        <v>625319</v>
      </c>
      <c r="G326" s="22">
        <f>INDEX(Data[],MATCH($A326,Data[Dist],0),MATCH(G$6,Data[#Headers],0))</f>
        <v>1885743</v>
      </c>
      <c r="H326" s="22">
        <f>INDEX(Data[],MATCH($A326,Data[Dist],0),MATCH(H$6,Data[#Headers],0))-G326</f>
        <v>4400063</v>
      </c>
      <c r="I326" s="25"/>
      <c r="J326" s="22">
        <f>INDEX(Notes!$I$2:$N$11,MATCH(Notes!$B$2,Notes!$I$2:$I$11,0),4)*$C326</f>
        <v>1885743</v>
      </c>
      <c r="K326" s="22">
        <f>INDEX(Notes!$I$2:$N$11,MATCH(Notes!$B$2,Notes!$I$2:$I$11,0),5)*$D326</f>
        <v>0</v>
      </c>
      <c r="L326" s="22">
        <f>INDEX(Notes!$I$2:$N$11,MATCH(Notes!$B$2,Notes!$I$2:$I$11,0),6)*$E326</f>
        <v>0</v>
      </c>
      <c r="M326" s="22">
        <f>IF(Notes!$B$2="June",'Payment Total'!$F326,0)</f>
        <v>0</v>
      </c>
      <c r="N326" s="22">
        <f t="shared" si="16"/>
        <v>0</v>
      </c>
      <c r="P326" s="26" t="s">
        <v>1162</v>
      </c>
      <c r="Q326" s="26">
        <v>628581</v>
      </c>
      <c r="R326" s="21" t="str">
        <f t="shared" si="17"/>
        <v>7038</v>
      </c>
      <c r="S326" s="44" t="str">
        <f t="shared" si="18"/>
        <v>7038</v>
      </c>
      <c r="T326" s="45">
        <f t="shared" si="19"/>
        <v>0</v>
      </c>
      <c r="V326" s="45"/>
    </row>
    <row r="327" spans="1:22" s="26" customFormat="1" ht="12.75" x14ac:dyDescent="0.2">
      <c r="A327" s="20" t="str">
        <f>Data!B322</f>
        <v>7047</v>
      </c>
      <c r="B327" s="21" t="str">
        <f>INDEX(Data[],MATCH($A327,Data[Dist],0),MATCH(B$6,Data[#Headers],0))</f>
        <v>Winfield-Mt Union</v>
      </c>
      <c r="C327" s="22">
        <f>INDEX(Data[],MATCH($A327,Data[Dist],0),MATCH(C$6,Data[#Headers],0))</f>
        <v>218248</v>
      </c>
      <c r="D327" s="160">
        <f>INDEX(Data[],MATCH($A327,Data[Dist],0),MATCH(D$6,Data[#Headers],0))</f>
        <v>217075</v>
      </c>
      <c r="E327" s="160">
        <f>INDEX(Data[],MATCH($A327,Data[Dist],0),MATCH(E$6,Data[#Headers],0))</f>
        <v>217075</v>
      </c>
      <c r="F327" s="160">
        <f>INDEX(Data[],MATCH($A327,Data[Dist],0),MATCH(F$6,Data[#Headers],0))</f>
        <v>217075</v>
      </c>
      <c r="G327" s="22">
        <f>INDEX(Data[],MATCH($A327,Data[Dist],0),MATCH(G$6,Data[#Headers],0))</f>
        <v>654744</v>
      </c>
      <c r="H327" s="22">
        <f>INDEX(Data[],MATCH($A327,Data[Dist],0),MATCH(H$6,Data[#Headers],0))-G327</f>
        <v>1527731</v>
      </c>
      <c r="I327" s="25"/>
      <c r="J327" s="22">
        <f>INDEX(Notes!$I$2:$N$11,MATCH(Notes!$B$2,Notes!$I$2:$I$11,0),4)*$C327</f>
        <v>654744</v>
      </c>
      <c r="K327" s="22">
        <f>INDEX(Notes!$I$2:$N$11,MATCH(Notes!$B$2,Notes!$I$2:$I$11,0),5)*$D327</f>
        <v>0</v>
      </c>
      <c r="L327" s="22">
        <f>INDEX(Notes!$I$2:$N$11,MATCH(Notes!$B$2,Notes!$I$2:$I$11,0),6)*$E327</f>
        <v>0</v>
      </c>
      <c r="M327" s="22">
        <f>IF(Notes!$B$2="June",'Payment Total'!$F327,0)</f>
        <v>0</v>
      </c>
      <c r="N327" s="22">
        <f t="shared" si="16"/>
        <v>0</v>
      </c>
      <c r="P327" s="26" t="s">
        <v>1163</v>
      </c>
      <c r="Q327" s="26">
        <v>218248</v>
      </c>
      <c r="R327" s="21" t="str">
        <f t="shared" si="17"/>
        <v>7047</v>
      </c>
      <c r="S327" s="44" t="str">
        <f t="shared" si="18"/>
        <v>7047</v>
      </c>
      <c r="T327" s="45">
        <f t="shared" si="19"/>
        <v>0</v>
      </c>
      <c r="V327" s="45"/>
    </row>
    <row r="328" spans="1:22" s="26" customFormat="1" ht="12.75" x14ac:dyDescent="0.2">
      <c r="A328" s="20" t="str">
        <f>Data!B323</f>
        <v>7056</v>
      </c>
      <c r="B328" s="21" t="str">
        <f>INDEX(Data[],MATCH($A328,Data[Dist],0),MATCH(B$6,Data[#Headers],0))</f>
        <v>Winterset</v>
      </c>
      <c r="C328" s="22">
        <f>INDEX(Data[],MATCH($A328,Data[Dist],0),MATCH(C$6,Data[#Headers],0))</f>
        <v>1181654</v>
      </c>
      <c r="D328" s="160">
        <f>INDEX(Data[],MATCH($A328,Data[Dist],0),MATCH(D$6,Data[#Headers],0))</f>
        <v>1175272</v>
      </c>
      <c r="E328" s="160">
        <f>INDEX(Data[],MATCH($A328,Data[Dist],0),MATCH(E$6,Data[#Headers],0))</f>
        <v>1175272</v>
      </c>
      <c r="F328" s="160">
        <f>INDEX(Data[],MATCH($A328,Data[Dist],0),MATCH(F$6,Data[#Headers],0))</f>
        <v>1175270</v>
      </c>
      <c r="G328" s="22">
        <f>INDEX(Data[],MATCH($A328,Data[Dist],0),MATCH(G$6,Data[#Headers],0))</f>
        <v>3544962</v>
      </c>
      <c r="H328" s="22">
        <f>INDEX(Data[],MATCH($A328,Data[Dist],0),MATCH(H$6,Data[#Headers],0))-G328</f>
        <v>8271582</v>
      </c>
      <c r="I328" s="25"/>
      <c r="J328" s="22">
        <f>INDEX(Notes!$I$2:$N$11,MATCH(Notes!$B$2,Notes!$I$2:$I$11,0),4)*$C328</f>
        <v>3544962</v>
      </c>
      <c r="K328" s="22">
        <f>INDEX(Notes!$I$2:$N$11,MATCH(Notes!$B$2,Notes!$I$2:$I$11,0),5)*$D328</f>
        <v>0</v>
      </c>
      <c r="L328" s="22">
        <f>INDEX(Notes!$I$2:$N$11,MATCH(Notes!$B$2,Notes!$I$2:$I$11,0),6)*$E328</f>
        <v>0</v>
      </c>
      <c r="M328" s="22">
        <f>IF(Notes!$B$2="June",'Payment Total'!$F328,0)</f>
        <v>0</v>
      </c>
      <c r="N328" s="22">
        <f t="shared" ref="N328:N331" si="20">SUM(J328:M328)-G328</f>
        <v>0</v>
      </c>
      <c r="P328" s="26" t="s">
        <v>1164</v>
      </c>
      <c r="Q328" s="26">
        <v>1181654</v>
      </c>
      <c r="R328" s="21" t="str">
        <f t="shared" ref="R328:R331" si="21">TEXT(P328/10000,"0000")</f>
        <v>7056</v>
      </c>
      <c r="S328" s="44" t="str">
        <f t="shared" ref="S328:S331" si="22">IF(R328="1968","3582",IF(R328="5160","5319",IF(R328="5510","4824",IF(R328="6536","1935",IF(R328="6035","6048",IF(R328="5325","5323",IF(R328="6099","5157",R328)))))))</f>
        <v>7056</v>
      </c>
      <c r="T328" s="45">
        <f t="shared" ref="T328:T331" si="23">INDEX($A$7:$H$331,MATCH($S328,$A$7:$A$331,0),3)-Q328</f>
        <v>0</v>
      </c>
      <c r="V328" s="45"/>
    </row>
    <row r="329" spans="1:22" s="26" customFormat="1" ht="12.75" x14ac:dyDescent="0.2">
      <c r="A329" s="20" t="str">
        <f>Data!B324</f>
        <v>7092</v>
      </c>
      <c r="B329" s="21" t="str">
        <f>INDEX(Data[],MATCH($A329,Data[Dist],0),MATCH(B$6,Data[#Headers],0))</f>
        <v>Woodbine</v>
      </c>
      <c r="C329" s="22">
        <f>INDEX(Data[],MATCH($A329,Data[Dist],0),MATCH(C$6,Data[#Headers],0))</f>
        <v>325298</v>
      </c>
      <c r="D329" s="160">
        <f>INDEX(Data[],MATCH($A329,Data[Dist],0),MATCH(D$6,Data[#Headers],0))</f>
        <v>323515</v>
      </c>
      <c r="E329" s="160">
        <f>INDEX(Data[],MATCH($A329,Data[Dist],0),MATCH(E$6,Data[#Headers],0))</f>
        <v>323515</v>
      </c>
      <c r="F329" s="160">
        <f>INDEX(Data[],MATCH($A329,Data[Dist],0),MATCH(F$6,Data[#Headers],0))</f>
        <v>323513</v>
      </c>
      <c r="G329" s="22">
        <f>INDEX(Data[],MATCH($A329,Data[Dist],0),MATCH(G$6,Data[#Headers],0))</f>
        <v>975894</v>
      </c>
      <c r="H329" s="22">
        <f>INDEX(Data[],MATCH($A329,Data[Dist],0),MATCH(H$6,Data[#Headers],0))-G329</f>
        <v>2277090</v>
      </c>
      <c r="I329" s="25"/>
      <c r="J329" s="22">
        <f>INDEX(Notes!$I$2:$N$11,MATCH(Notes!$B$2,Notes!$I$2:$I$11,0),4)*$C329</f>
        <v>975894</v>
      </c>
      <c r="K329" s="22">
        <f>INDEX(Notes!$I$2:$N$11,MATCH(Notes!$B$2,Notes!$I$2:$I$11,0),5)*$D329</f>
        <v>0</v>
      </c>
      <c r="L329" s="22">
        <f>INDEX(Notes!$I$2:$N$11,MATCH(Notes!$B$2,Notes!$I$2:$I$11,0),6)*$E329</f>
        <v>0</v>
      </c>
      <c r="M329" s="22">
        <f>IF(Notes!$B$2="June",'Payment Total'!$F329,0)</f>
        <v>0</v>
      </c>
      <c r="N329" s="22">
        <f t="shared" si="20"/>
        <v>0</v>
      </c>
      <c r="P329" s="26" t="s">
        <v>1165</v>
      </c>
      <c r="Q329" s="26">
        <v>325298</v>
      </c>
      <c r="R329" s="21" t="str">
        <f t="shared" si="21"/>
        <v>7092</v>
      </c>
      <c r="S329" s="44" t="str">
        <f t="shared" si="22"/>
        <v>7092</v>
      </c>
      <c r="T329" s="45">
        <f t="shared" si="23"/>
        <v>0</v>
      </c>
      <c r="V329" s="45"/>
    </row>
    <row r="330" spans="1:22" s="26" customFormat="1" ht="12.75" x14ac:dyDescent="0.2">
      <c r="A330" s="20" t="str">
        <f>Data!B325</f>
        <v>7098</v>
      </c>
      <c r="B330" s="21" t="str">
        <f>INDEX(Data[],MATCH($A330,Data[Dist],0),MATCH(B$6,Data[#Headers],0))</f>
        <v>Woodbury Central</v>
      </c>
      <c r="C330" s="22">
        <f>INDEX(Data[],MATCH($A330,Data[Dist],0),MATCH(C$6,Data[#Headers],0))</f>
        <v>365205</v>
      </c>
      <c r="D330" s="160">
        <f>INDEX(Data[],MATCH($A330,Data[Dist],0),MATCH(D$6,Data[#Headers],0))</f>
        <v>363227</v>
      </c>
      <c r="E330" s="160">
        <f>INDEX(Data[],MATCH($A330,Data[Dist],0),MATCH(E$6,Data[#Headers],0))</f>
        <v>363227</v>
      </c>
      <c r="F330" s="160">
        <f>INDEX(Data[],MATCH($A330,Data[Dist],0),MATCH(F$6,Data[#Headers],0))</f>
        <v>363226</v>
      </c>
      <c r="G330" s="22">
        <f>INDEX(Data[],MATCH($A330,Data[Dist],0),MATCH(G$6,Data[#Headers],0))</f>
        <v>1095615</v>
      </c>
      <c r="H330" s="22">
        <f>INDEX(Data[],MATCH($A330,Data[Dist],0),MATCH(H$6,Data[#Headers],0))-G330</f>
        <v>2556430</v>
      </c>
      <c r="I330" s="25"/>
      <c r="J330" s="22">
        <f>INDEX(Notes!$I$2:$N$11,MATCH(Notes!$B$2,Notes!$I$2:$I$11,0),4)*$C330</f>
        <v>1095615</v>
      </c>
      <c r="K330" s="22">
        <f>INDEX(Notes!$I$2:$N$11,MATCH(Notes!$B$2,Notes!$I$2:$I$11,0),5)*$D330</f>
        <v>0</v>
      </c>
      <c r="L330" s="22">
        <f>INDEX(Notes!$I$2:$N$11,MATCH(Notes!$B$2,Notes!$I$2:$I$11,0),6)*$E330</f>
        <v>0</v>
      </c>
      <c r="M330" s="22">
        <f>IF(Notes!$B$2="June",'Payment Total'!$F330,0)</f>
        <v>0</v>
      </c>
      <c r="N330" s="22">
        <f t="shared" si="20"/>
        <v>0</v>
      </c>
      <c r="P330" s="26" t="s">
        <v>1166</v>
      </c>
      <c r="Q330" s="26">
        <v>365205</v>
      </c>
      <c r="R330" s="21" t="str">
        <f t="shared" si="21"/>
        <v>7098</v>
      </c>
      <c r="S330" s="44" t="str">
        <f t="shared" si="22"/>
        <v>7098</v>
      </c>
      <c r="T330" s="45">
        <f t="shared" si="23"/>
        <v>0</v>
      </c>
      <c r="V330" s="45"/>
    </row>
    <row r="331" spans="1:22" s="26" customFormat="1" ht="12.75" x14ac:dyDescent="0.2">
      <c r="A331" s="20" t="str">
        <f>Data!B326</f>
        <v>7110</v>
      </c>
      <c r="B331" s="21" t="str">
        <f>INDEX(Data[],MATCH($A331,Data[Dist],0),MATCH(B$6,Data[#Headers],0))</f>
        <v>Woodward-Granger</v>
      </c>
      <c r="C331" s="22">
        <f>INDEX(Data[],MATCH($A331,Data[Dist],0),MATCH(C$6,Data[#Headers],0))</f>
        <v>740964</v>
      </c>
      <c r="D331" s="160">
        <f>INDEX(Data[],MATCH($A331,Data[Dist],0),MATCH(D$6,Data[#Headers],0))</f>
        <v>736894</v>
      </c>
      <c r="E331" s="160">
        <f>INDEX(Data[],MATCH($A331,Data[Dist],0),MATCH(E$6,Data[#Headers],0))</f>
        <v>736894</v>
      </c>
      <c r="F331" s="160">
        <f>INDEX(Data[],MATCH($A331,Data[Dist],0),MATCH(F$6,Data[#Headers],0))</f>
        <v>736894</v>
      </c>
      <c r="G331" s="22">
        <f>INDEX(Data[],MATCH($A331,Data[Dist],0),MATCH(G$6,Data[#Headers],0))</f>
        <v>2222892</v>
      </c>
      <c r="H331" s="22">
        <f>INDEX(Data[],MATCH($A331,Data[Dist],0),MATCH(H$6,Data[#Headers],0))-G331</f>
        <v>5186743</v>
      </c>
      <c r="I331" s="25"/>
      <c r="J331" s="22">
        <f>INDEX(Notes!$I$2:$N$11,MATCH(Notes!$B$2,Notes!$I$2:$I$11,0),4)*$C331</f>
        <v>2222892</v>
      </c>
      <c r="K331" s="22">
        <f>INDEX(Notes!$I$2:$N$11,MATCH(Notes!$B$2,Notes!$I$2:$I$11,0),5)*$D331</f>
        <v>0</v>
      </c>
      <c r="L331" s="22">
        <f>INDEX(Notes!$I$2:$N$11,MATCH(Notes!$B$2,Notes!$I$2:$I$11,0),6)*$E331</f>
        <v>0</v>
      </c>
      <c r="M331" s="22">
        <f>IF(Notes!$B$2="June",'Payment Total'!$F331,0)</f>
        <v>0</v>
      </c>
      <c r="N331" s="22">
        <f t="shared" si="20"/>
        <v>0</v>
      </c>
      <c r="P331" s="26" t="s">
        <v>1167</v>
      </c>
      <c r="Q331" s="26">
        <v>740964</v>
      </c>
      <c r="R331" s="21" t="str">
        <f t="shared" si="21"/>
        <v>7110</v>
      </c>
      <c r="S331" s="44" t="str">
        <f t="shared" si="22"/>
        <v>7110</v>
      </c>
      <c r="T331" s="45">
        <f t="shared" si="23"/>
        <v>0</v>
      </c>
      <c r="V331" s="45"/>
    </row>
    <row r="332" spans="1:22" s="21" customFormat="1" ht="13.5" thickBot="1" x14ac:dyDescent="0.25">
      <c r="A332" s="23"/>
      <c r="C332" s="24">
        <f t="shared" ref="C332:H332" si="24">SUM(C7:C331)</f>
        <v>347378462</v>
      </c>
      <c r="D332" s="161">
        <f t="shared" si="24"/>
        <v>345516078</v>
      </c>
      <c r="E332" s="161">
        <f t="shared" si="24"/>
        <v>345516077</v>
      </c>
      <c r="F332" s="161">
        <f t="shared" si="24"/>
        <v>345515901</v>
      </c>
      <c r="G332" s="24">
        <f t="shared" si="24"/>
        <v>1042135386</v>
      </c>
      <c r="H332" s="24">
        <f t="shared" si="24"/>
        <v>2431649112</v>
      </c>
      <c r="Q332" s="21">
        <f>SUM(Q7:Q331)</f>
        <v>347378462</v>
      </c>
      <c r="T332" s="44"/>
    </row>
    <row r="333" spans="1:22" s="21" customFormat="1" ht="13.5" thickTop="1" x14ac:dyDescent="0.2">
      <c r="A333" s="23"/>
      <c r="C333" s="22"/>
      <c r="D333" s="160"/>
      <c r="E333" s="160"/>
      <c r="F333" s="160"/>
      <c r="G333" s="22"/>
      <c r="H333" s="22"/>
      <c r="T333" s="44"/>
    </row>
    <row r="334" spans="1:22" s="26" customFormat="1" x14ac:dyDescent="0.2">
      <c r="A334" s="25"/>
      <c r="C334" s="27"/>
      <c r="D334" s="162"/>
      <c r="E334" s="162"/>
      <c r="F334" s="162"/>
      <c r="G334" s="27"/>
      <c r="H334" s="27"/>
      <c r="T334" s="65"/>
    </row>
    <row r="335" spans="1:22" s="26" customFormat="1" x14ac:dyDescent="0.2">
      <c r="A335" s="25"/>
      <c r="C335" s="27"/>
      <c r="D335" s="162"/>
      <c r="E335" s="162"/>
      <c r="F335" s="162"/>
      <c r="G335" s="27"/>
      <c r="H335" s="27"/>
      <c r="T335" s="65"/>
    </row>
    <row r="336" spans="1:22" s="26" customFormat="1" x14ac:dyDescent="0.2">
      <c r="A336" s="25"/>
      <c r="C336" s="27"/>
      <c r="D336" s="162"/>
      <c r="E336" s="162"/>
      <c r="F336" s="162"/>
      <c r="G336" s="27"/>
      <c r="H336" s="27"/>
      <c r="T336" s="65"/>
    </row>
    <row r="337" spans="1:20" s="26" customFormat="1" x14ac:dyDescent="0.2">
      <c r="A337" s="25"/>
      <c r="C337" s="27"/>
      <c r="D337" s="162"/>
      <c r="E337" s="162"/>
      <c r="F337" s="162"/>
      <c r="G337" s="27"/>
      <c r="H337" s="27"/>
      <c r="T337" s="65"/>
    </row>
    <row r="338" spans="1:20" s="26" customFormat="1" x14ac:dyDescent="0.2">
      <c r="A338" s="25"/>
      <c r="C338" s="27"/>
      <c r="D338" s="162"/>
      <c r="E338" s="162"/>
      <c r="F338" s="162"/>
      <c r="G338" s="27"/>
      <c r="H338" s="27"/>
      <c r="T338" s="65"/>
    </row>
    <row r="339" spans="1:20" s="26" customFormat="1" x14ac:dyDescent="0.2">
      <c r="A339" s="25"/>
      <c r="C339" s="27"/>
      <c r="D339" s="162"/>
      <c r="E339" s="162"/>
      <c r="F339" s="162"/>
      <c r="G339" s="27"/>
      <c r="H339" s="27"/>
      <c r="T339" s="65"/>
    </row>
    <row r="340" spans="1:20" s="26" customFormat="1" x14ac:dyDescent="0.2">
      <c r="A340" s="25"/>
      <c r="C340" s="27"/>
      <c r="D340" s="162"/>
      <c r="E340" s="162"/>
      <c r="F340" s="162"/>
      <c r="G340" s="27"/>
      <c r="H340" s="27"/>
      <c r="T340" s="65"/>
    </row>
    <row r="341" spans="1:20" s="26" customFormat="1" x14ac:dyDescent="0.2">
      <c r="A341" s="25"/>
      <c r="C341" s="27"/>
      <c r="D341" s="162"/>
      <c r="E341" s="162"/>
      <c r="F341" s="162"/>
      <c r="G341" s="27"/>
      <c r="H341" s="27"/>
      <c r="T341" s="65"/>
    </row>
    <row r="342" spans="1:20" s="26" customFormat="1" x14ac:dyDescent="0.2">
      <c r="A342" s="25"/>
      <c r="C342" s="27"/>
      <c r="D342" s="162"/>
      <c r="E342" s="162"/>
      <c r="F342" s="162"/>
      <c r="G342" s="27"/>
      <c r="H342" s="27"/>
      <c r="T342" s="65"/>
    </row>
    <row r="343" spans="1:20" s="26" customFormat="1" x14ac:dyDescent="0.2">
      <c r="A343" s="25"/>
      <c r="C343" s="27"/>
      <c r="D343" s="162"/>
      <c r="E343" s="162"/>
      <c r="F343" s="162"/>
      <c r="G343" s="27"/>
      <c r="H343" s="27"/>
      <c r="T343" s="65"/>
    </row>
  </sheetData>
  <sheetProtection sheet="1" formatCells="0" formatColumns="0" formatRows="0"/>
  <mergeCells count="13">
    <mergeCell ref="V2:Y5"/>
    <mergeCell ref="A3:B3"/>
    <mergeCell ref="C3:H3"/>
    <mergeCell ref="A1:H1"/>
    <mergeCell ref="A2:H2"/>
    <mergeCell ref="S2:S5"/>
    <mergeCell ref="J2:J5"/>
    <mergeCell ref="K2:K5"/>
    <mergeCell ref="L2:L5"/>
    <mergeCell ref="N2:N5"/>
    <mergeCell ref="J1:N1"/>
    <mergeCell ref="T1:T5"/>
    <mergeCell ref="M2:M5"/>
  </mergeCells>
  <pageMargins left="1" right="0.45" top="0.7" bottom="0.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X332"/>
  <sheetViews>
    <sheetView tabSelected="1" workbookViewId="0">
      <pane xSplit="2" ySplit="4" topLeftCell="C299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3" customWidth="1"/>
    <col min="2" max="2" width="24.5703125" style="21" bestFit="1" customWidth="1"/>
    <col min="3" max="8" width="15.140625" style="22" customWidth="1"/>
    <col min="9" max="9" width="16" style="59" bestFit="1" customWidth="1"/>
    <col min="10" max="10" width="9.140625" style="21" hidden="1" customWidth="1"/>
    <col min="11" max="11" width="20.5703125" style="69" hidden="1" customWidth="1"/>
    <col min="12" max="15" width="9.140625" style="58" hidden="1" customWidth="1"/>
    <col min="16" max="20" width="9.140625" style="156" hidden="1" customWidth="1"/>
    <col min="21" max="21" width="15.140625" style="156" hidden="1" customWidth="1"/>
    <col min="22" max="23" width="9.140625" style="156" hidden="1" customWidth="1"/>
    <col min="24" max="24" width="9.140625" style="21" hidden="1" customWidth="1"/>
    <col min="25" max="16384" width="9.140625" style="21"/>
  </cols>
  <sheetData>
    <row r="1" spans="1:24" s="14" customFormat="1" ht="17.25" customHeight="1" x14ac:dyDescent="0.3">
      <c r="A1" s="223" t="str">
        <f>CONCATENATE("FY ",Notes!$B$1," Budget for State Payments to School Districts (",Notes!$B$2," by Source)")</f>
        <v>FY 2024 Budget for State Payments to School Districts (November by Source)</v>
      </c>
      <c r="B1" s="223"/>
      <c r="C1" s="223"/>
      <c r="D1" s="223"/>
      <c r="E1" s="223"/>
      <c r="F1" s="223"/>
      <c r="G1" s="223"/>
      <c r="H1" s="223"/>
      <c r="I1" s="223"/>
      <c r="K1" s="67"/>
      <c r="L1" s="219" t="s">
        <v>801</v>
      </c>
      <c r="M1" s="219"/>
      <c r="N1" s="219"/>
      <c r="O1" s="219"/>
      <c r="P1" s="153"/>
      <c r="Q1" s="153"/>
      <c r="R1" s="153"/>
      <c r="S1" s="153"/>
      <c r="T1" s="153"/>
      <c r="U1" s="153"/>
      <c r="V1" s="153"/>
      <c r="W1" s="153"/>
    </row>
    <row r="2" spans="1:24" s="14" customFormat="1" x14ac:dyDescent="0.2">
      <c r="A2" s="13"/>
      <c r="B2" s="49"/>
      <c r="C2" s="50" t="s">
        <v>7</v>
      </c>
      <c r="D2" s="51" t="s">
        <v>8</v>
      </c>
      <c r="E2" s="51" t="s">
        <v>9</v>
      </c>
      <c r="F2" s="51" t="s">
        <v>10</v>
      </c>
      <c r="G2" s="51" t="s">
        <v>13</v>
      </c>
      <c r="H2" s="51" t="s">
        <v>14</v>
      </c>
      <c r="I2" s="52" t="s">
        <v>15</v>
      </c>
      <c r="K2" s="67"/>
      <c r="L2" s="219"/>
      <c r="M2" s="219"/>
      <c r="N2" s="219"/>
      <c r="O2" s="219"/>
      <c r="P2" s="153"/>
      <c r="Q2" s="153"/>
      <c r="R2" s="153"/>
      <c r="S2" s="153"/>
      <c r="T2" s="153"/>
      <c r="U2" s="153"/>
      <c r="V2" s="153"/>
      <c r="W2" s="153"/>
    </row>
    <row r="3" spans="1:24" s="14" customFormat="1" x14ac:dyDescent="0.2">
      <c r="A3" s="13"/>
      <c r="C3" s="53"/>
      <c r="D3" s="53"/>
      <c r="E3" s="54"/>
      <c r="F3" s="53"/>
      <c r="G3" s="53"/>
      <c r="H3" s="54"/>
      <c r="I3" s="55" t="s">
        <v>16</v>
      </c>
      <c r="K3" s="67"/>
      <c r="L3" s="219"/>
      <c r="M3" s="219"/>
      <c r="N3" s="219"/>
      <c r="O3" s="219"/>
      <c r="P3" s="153" t="s">
        <v>755</v>
      </c>
      <c r="Q3" s="153" t="s">
        <v>707</v>
      </c>
      <c r="R3" s="153" t="s">
        <v>361</v>
      </c>
      <c r="S3" s="153" t="s">
        <v>362</v>
      </c>
      <c r="T3" s="153" t="s">
        <v>754</v>
      </c>
      <c r="U3" s="153" t="s">
        <v>756</v>
      </c>
      <c r="V3" s="153"/>
      <c r="W3" s="153"/>
    </row>
    <row r="4" spans="1:24" s="14" customFormat="1" ht="38.25" x14ac:dyDescent="0.2">
      <c r="A4" s="13"/>
      <c r="C4" s="33" t="s">
        <v>755</v>
      </c>
      <c r="D4" s="33" t="s">
        <v>707</v>
      </c>
      <c r="E4" s="34" t="s">
        <v>361</v>
      </c>
      <c r="F4" s="33" t="s">
        <v>362</v>
      </c>
      <c r="G4" s="33" t="s">
        <v>754</v>
      </c>
      <c r="H4" s="34" t="s">
        <v>756</v>
      </c>
      <c r="I4" s="34" t="s">
        <v>359</v>
      </c>
      <c r="K4" s="68" t="s">
        <v>743</v>
      </c>
      <c r="L4" s="219"/>
      <c r="M4" s="219"/>
      <c r="N4" s="219"/>
      <c r="O4" s="219"/>
      <c r="P4" s="153" t="s">
        <v>771</v>
      </c>
      <c r="Q4" s="153"/>
      <c r="R4" s="153"/>
      <c r="S4" s="153"/>
      <c r="T4" s="153"/>
      <c r="U4" s="153"/>
      <c r="V4" s="153"/>
      <c r="W4" s="153"/>
    </row>
    <row r="5" spans="1:24" s="14" customFormat="1" hidden="1" x14ac:dyDescent="0.2">
      <c r="A5" s="17"/>
      <c r="B5" s="18" t="str">
        <f>Data[[#Headers],[Label]]</f>
        <v>Label</v>
      </c>
      <c r="C5" s="56"/>
      <c r="D5" s="56"/>
      <c r="E5" s="56"/>
      <c r="F5" s="56"/>
      <c r="G5" s="56"/>
      <c r="H5" s="56"/>
      <c r="I5" s="57" t="str">
        <f>CONCATENATE(Notes!$B$2," Payment")</f>
        <v>November Payment</v>
      </c>
      <c r="K5" s="67" t="s">
        <v>744</v>
      </c>
      <c r="L5" s="38"/>
      <c r="M5" s="38"/>
      <c r="N5" s="38"/>
      <c r="O5" s="38"/>
      <c r="P5" s="153"/>
      <c r="Q5" s="153"/>
      <c r="R5" s="153"/>
      <c r="S5" s="153"/>
      <c r="T5" s="153"/>
      <c r="U5" s="153"/>
      <c r="V5" s="153"/>
      <c r="W5" s="153"/>
    </row>
    <row r="6" spans="1:24" x14ac:dyDescent="0.2">
      <c r="A6" s="23" t="str">
        <f>Data!B2</f>
        <v>0009</v>
      </c>
      <c r="B6" s="21" t="str">
        <f>INDEX(Data[],MATCH($A6,Data[Dist],0),MATCH(B$5,Data[#Headers],0))</f>
        <v>AGWSR</v>
      </c>
      <c r="C6" s="22">
        <f>IF(Notes!$B$2="June",ROUND('Budget by Source'!C6/10,0)+P6,ROUND('Budget by Source'!C6/10,0))</f>
        <v>17484</v>
      </c>
      <c r="D6" s="22">
        <f>IF(Notes!$B$2="June",ROUND('Budget by Source'!D6/10,0)+Q6,ROUND('Budget by Source'!D6/10,0))</f>
        <v>46843</v>
      </c>
      <c r="E6" s="22">
        <f>IF(Notes!$B$2="June",ROUND('Budget by Source'!E6/10,0)+R6,ROUND('Budget by Source'!E6/10,0))</f>
        <v>4571</v>
      </c>
      <c r="F6" s="22">
        <f>IF(Notes!$B$2="June",ROUND('Budget by Source'!F6/10,0)+S6,ROUND('Budget by Source'!F6/10,0))</f>
        <v>5081</v>
      </c>
      <c r="G6" s="22">
        <f>IF(Notes!$B$2="June",ROUND('Budget by Source'!G6/10,0)+T6,ROUND('Budget by Source'!G6/10,0))</f>
        <v>25296</v>
      </c>
      <c r="H6" s="22">
        <f>I6-SUM(C6:G6)</f>
        <v>289979</v>
      </c>
      <c r="I6" s="22">
        <f>INDEX(Data[],MATCH($A6,Data[Dist],0),MATCH(I$5,Data[#Headers],0))</f>
        <v>389254</v>
      </c>
      <c r="K6" s="69">
        <f>INDEX('Payment Total'!$A$7:$H$331,MATCH('Payment by Source'!$A6,'Payment Total'!$A$7:$A$331,0),3)-I6</f>
        <v>0</v>
      </c>
      <c r="P6" s="154">
        <f>INDEX('Budget by Source'!$A$6:$I$330,MATCH('Payment by Source'!$A6,'Budget by Source'!$A$6:$A$330,0),MATCH(P$3,'Budget by Source'!$A$5:$I$5,0))-(ROUND(INDEX('Budget by Source'!$A$6:$I$330,MATCH('Payment by Source'!$A6,'Budget by Source'!$A$6:$A$330,0),MATCH(P$3,'Budget by Source'!$A$5:$I$5,0))/10,0)*10)</f>
        <v>2</v>
      </c>
      <c r="Q6" s="154">
        <f>INDEX('Budget by Source'!$A$6:$I$330,MATCH('Payment by Source'!$A6,'Budget by Source'!$A$6:$A$330,0),MATCH(Q$3,'Budget by Source'!$A$5:$I$5,0))-(ROUND(INDEX('Budget by Source'!$A$6:$I$330,MATCH('Payment by Source'!$A6,'Budget by Source'!$A$6:$A$330,0),MATCH(Q$3,'Budget by Source'!$A$5:$I$5,0))/10,0)*10)</f>
        <v>4</v>
      </c>
      <c r="R6" s="154">
        <f>INDEX('Budget by Source'!$A$6:$I$330,MATCH('Payment by Source'!$A6,'Budget by Source'!$A$6:$A$330,0),MATCH(R$3,'Budget by Source'!$A$5:$I$5,0))-(ROUND(INDEX('Budget by Source'!$A$6:$I$330,MATCH('Payment by Source'!$A6,'Budget by Source'!$A$6:$A$330,0),MATCH(R$3,'Budget by Source'!$A$5:$I$5,0))/10,0)*10)</f>
        <v>-3</v>
      </c>
      <c r="S6" s="154">
        <f>INDEX('Budget by Source'!$A$6:$I$330,MATCH('Payment by Source'!$A6,'Budget by Source'!$A$6:$A$330,0),MATCH(S$3,'Budget by Source'!$A$5:$I$5,0))-(ROUND(INDEX('Budget by Source'!$A$6:$I$330,MATCH('Payment by Source'!$A6,'Budget by Source'!$A$6:$A$330,0),MATCH(S$3,'Budget by Source'!$A$5:$I$5,0))/10,0)*10)</f>
        <v>4</v>
      </c>
      <c r="T6" s="154">
        <f>INDEX('Budget by Source'!$A$6:$I$330,MATCH('Payment by Source'!$A6,'Budget by Source'!$A$6:$A$330,0),MATCH(T$3,'Budget by Source'!$A$5:$I$5,0))-(ROUND(INDEX('Budget by Source'!$A$6:$I$330,MATCH('Payment by Source'!$A6,'Budget by Source'!$A$6:$A$330,0),MATCH(T$3,'Budget by Source'!$A$5:$I$5,0))/10,0)*10)</f>
        <v>-1</v>
      </c>
      <c r="U6" s="155">
        <f>INDEX('Budget by Source'!$A$6:$I$330,MATCH('Payment by Source'!$A6,'Budget by Source'!$A$6:$A$330,0),MATCH(U$3,'Budget by Source'!$A$5:$I$5,0))</f>
        <v>2899779</v>
      </c>
      <c r="V6" s="152">
        <f>ROUND(U6/10,0)</f>
        <v>289978</v>
      </c>
      <c r="W6" s="152">
        <f>V6*10</f>
        <v>2899780</v>
      </c>
      <c r="X6" s="22"/>
    </row>
    <row r="7" spans="1:24" x14ac:dyDescent="0.2">
      <c r="A7" s="23" t="str">
        <f>Data!B3</f>
        <v>0018</v>
      </c>
      <c r="B7" s="21" t="str">
        <f>INDEX(Data[],MATCH($A7,Data[Dist],0),MATCH(B$5,Data[#Headers],0))</f>
        <v>Adair-Casey</v>
      </c>
      <c r="C7" s="22">
        <f>IF(Notes!$B$2="June",ROUND('Budget by Source'!C7/10,0)+P7,ROUND('Budget by Source'!C7/10,0))</f>
        <v>6842</v>
      </c>
      <c r="D7" s="22">
        <f>IF(Notes!$B$2="June",ROUND('Budget by Source'!D7/10,0)+Q7,ROUND('Budget by Source'!D7/10,0))</f>
        <v>21664</v>
      </c>
      <c r="E7" s="22">
        <f>IF(Notes!$B$2="June",ROUND('Budget by Source'!E7/10,0)+R7,ROUND('Budget by Source'!E7/10,0))</f>
        <v>2416</v>
      </c>
      <c r="F7" s="22">
        <f>IF(Notes!$B$2="June",ROUND('Budget by Source'!F7/10,0)+S7,ROUND('Budget by Source'!F7/10,0))</f>
        <v>2191</v>
      </c>
      <c r="G7" s="22">
        <f>IF(Notes!$B$2="June",ROUND('Budget by Source'!G7/10,0)+T7,ROUND('Budget by Source'!G7/10,0))</f>
        <v>11288</v>
      </c>
      <c r="H7" s="22">
        <f t="shared" ref="H7:H70" si="0">I7-SUM(C7:G7)</f>
        <v>148990</v>
      </c>
      <c r="I7" s="22">
        <f>INDEX(Data[],MATCH($A7,Data[Dist],0),MATCH(I$5,Data[#Headers],0))</f>
        <v>193391</v>
      </c>
      <c r="K7" s="69">
        <f>INDEX('Payment Total'!$A$7:$H$331,MATCH('Payment by Source'!$A7,'Payment Total'!$A$7:$A$331,0),3)-I7</f>
        <v>0</v>
      </c>
      <c r="P7" s="154">
        <f>INDEX('Budget by Source'!$A$6:$I$330,MATCH('Payment by Source'!$A7,'Budget by Source'!$A$6:$A$330,0),MATCH(P$3,'Budget by Source'!$A$5:$I$5,0))-(ROUND(INDEX('Budget by Source'!$A$6:$I$330,MATCH('Payment by Source'!$A7,'Budget by Source'!$A$6:$A$330,0),MATCH(P$3,'Budget by Source'!$A$5:$I$5,0))/10,0)*10)</f>
        <v>-4</v>
      </c>
      <c r="Q7" s="154">
        <f>INDEX('Budget by Source'!$A$6:$I$330,MATCH('Payment by Source'!$A7,'Budget by Source'!$A$6:$A$330,0),MATCH(Q$3,'Budget by Source'!$A$5:$I$5,0))-(ROUND(INDEX('Budget by Source'!$A$6:$I$330,MATCH('Payment by Source'!$A7,'Budget by Source'!$A$6:$A$330,0),MATCH(Q$3,'Budget by Source'!$A$5:$I$5,0))/10,0)*10)</f>
        <v>3</v>
      </c>
      <c r="R7" s="154">
        <f>INDEX('Budget by Source'!$A$6:$I$330,MATCH('Payment by Source'!$A7,'Budget by Source'!$A$6:$A$330,0),MATCH(R$3,'Budget by Source'!$A$5:$I$5,0))-(ROUND(INDEX('Budget by Source'!$A$6:$I$330,MATCH('Payment by Source'!$A7,'Budget by Source'!$A$6:$A$330,0),MATCH(R$3,'Budget by Source'!$A$5:$I$5,0))/10,0)*10)</f>
        <v>-5</v>
      </c>
      <c r="S7" s="154">
        <f>INDEX('Budget by Source'!$A$6:$I$330,MATCH('Payment by Source'!$A7,'Budget by Source'!$A$6:$A$330,0),MATCH(S$3,'Budget by Source'!$A$5:$I$5,0))-(ROUND(INDEX('Budget by Source'!$A$6:$I$330,MATCH('Payment by Source'!$A7,'Budget by Source'!$A$6:$A$330,0),MATCH(S$3,'Budget by Source'!$A$5:$I$5,0))/10,0)*10)</f>
        <v>-3</v>
      </c>
      <c r="T7" s="154">
        <f>INDEX('Budget by Source'!$A$6:$I$330,MATCH('Payment by Source'!$A7,'Budget by Source'!$A$6:$A$330,0),MATCH(T$3,'Budget by Source'!$A$5:$I$5,0))-(ROUND(INDEX('Budget by Source'!$A$6:$I$330,MATCH('Payment by Source'!$A7,'Budget by Source'!$A$6:$A$330,0),MATCH(T$3,'Budget by Source'!$A$5:$I$5,0))/10,0)*10)</f>
        <v>1</v>
      </c>
      <c r="U7" s="155">
        <f>INDEX('Budget by Source'!$A$6:$I$330,MATCH('Payment by Source'!$A7,'Budget by Source'!$A$6:$A$330,0),MATCH(U$3,'Budget by Source'!$A$5:$I$5,0))</f>
        <v>1489909</v>
      </c>
      <c r="V7" s="152">
        <f t="shared" ref="V7:V70" si="1">ROUND(U7/10,0)</f>
        <v>148991</v>
      </c>
      <c r="W7" s="152">
        <f t="shared" ref="W7:W70" si="2">V7*10</f>
        <v>1489910</v>
      </c>
    </row>
    <row r="8" spans="1:24" x14ac:dyDescent="0.2">
      <c r="A8" s="23" t="str">
        <f>Data!B4</f>
        <v>0027</v>
      </c>
      <c r="B8" s="21" t="str">
        <f>INDEX(Data[],MATCH($A8,Data[Dist],0),MATCH(B$5,Data[#Headers],0))</f>
        <v>Adel-Desoto-Minburn</v>
      </c>
      <c r="C8" s="22">
        <f>IF(Notes!$B$2="June",ROUND('Budget by Source'!C8/10,0)+P8,ROUND('Budget by Source'!C8/10,0))</f>
        <v>12923</v>
      </c>
      <c r="D8" s="22">
        <f>IF(Notes!$B$2="June",ROUND('Budget by Source'!D8/10,0)+Q8,ROUND('Budget by Source'!D8/10,0))</f>
        <v>141909</v>
      </c>
      <c r="E8" s="22">
        <f>IF(Notes!$B$2="June",ROUND('Budget by Source'!E8/10,0)+R8,ROUND('Budget by Source'!E8/10,0))</f>
        <v>16139</v>
      </c>
      <c r="F8" s="22">
        <f>IF(Notes!$B$2="June",ROUND('Budget by Source'!F8/10,0)+S8,ROUND('Budget by Source'!F8/10,0))</f>
        <v>15436</v>
      </c>
      <c r="G8" s="22">
        <f>IF(Notes!$B$2="June",ROUND('Budget by Source'!G8/10,0)+T8,ROUND('Budget by Source'!G8/10,0))</f>
        <v>78530</v>
      </c>
      <c r="H8" s="22">
        <f t="shared" si="0"/>
        <v>1293186</v>
      </c>
      <c r="I8" s="22">
        <f>INDEX(Data[],MATCH($A8,Data[Dist],0),MATCH(I$5,Data[#Headers],0))</f>
        <v>1558123</v>
      </c>
      <c r="K8" s="69">
        <f>INDEX('Payment Total'!$A$7:$H$331,MATCH('Payment by Source'!$A8,'Payment Total'!$A$7:$A$331,0),3)-I8</f>
        <v>0</v>
      </c>
      <c r="P8" s="154">
        <f>INDEX('Budget by Source'!$A$6:$I$330,MATCH('Payment by Source'!$A8,'Budget by Source'!$A$6:$A$330,0),MATCH(P$3,'Budget by Source'!$A$5:$I$5,0))-(ROUND(INDEX('Budget by Source'!$A$6:$I$330,MATCH('Payment by Source'!$A8,'Budget by Source'!$A$6:$A$330,0),MATCH(P$3,'Budget by Source'!$A$5:$I$5,0))/10,0)*10)</f>
        <v>1</v>
      </c>
      <c r="Q8" s="154">
        <f>INDEX('Budget by Source'!$A$6:$I$330,MATCH('Payment by Source'!$A8,'Budget by Source'!$A$6:$A$330,0),MATCH(Q$3,'Budget by Source'!$A$5:$I$5,0))-(ROUND(INDEX('Budget by Source'!$A$6:$I$330,MATCH('Payment by Source'!$A8,'Budget by Source'!$A$6:$A$330,0),MATCH(Q$3,'Budget by Source'!$A$5:$I$5,0))/10,0)*10)</f>
        <v>4</v>
      </c>
      <c r="R8" s="154">
        <f>INDEX('Budget by Source'!$A$6:$I$330,MATCH('Payment by Source'!$A8,'Budget by Source'!$A$6:$A$330,0),MATCH(R$3,'Budget by Source'!$A$5:$I$5,0))-(ROUND(INDEX('Budget by Source'!$A$6:$I$330,MATCH('Payment by Source'!$A8,'Budget by Source'!$A$6:$A$330,0),MATCH(R$3,'Budget by Source'!$A$5:$I$5,0))/10,0)*10)</f>
        <v>4</v>
      </c>
      <c r="S8" s="154">
        <f>INDEX('Budget by Source'!$A$6:$I$330,MATCH('Payment by Source'!$A8,'Budget by Source'!$A$6:$A$330,0),MATCH(S$3,'Budget by Source'!$A$5:$I$5,0))-(ROUND(INDEX('Budget by Source'!$A$6:$I$330,MATCH('Payment by Source'!$A8,'Budget by Source'!$A$6:$A$330,0),MATCH(S$3,'Budget by Source'!$A$5:$I$5,0))/10,0)*10)</f>
        <v>2</v>
      </c>
      <c r="T8" s="154">
        <f>INDEX('Budget by Source'!$A$6:$I$330,MATCH('Payment by Source'!$A8,'Budget by Source'!$A$6:$A$330,0),MATCH(T$3,'Budget by Source'!$A$5:$I$5,0))-(ROUND(INDEX('Budget by Source'!$A$6:$I$330,MATCH('Payment by Source'!$A8,'Budget by Source'!$A$6:$A$330,0),MATCH(T$3,'Budget by Source'!$A$5:$I$5,0))/10,0)*10)</f>
        <v>1</v>
      </c>
      <c r="U8" s="155">
        <f>INDEX('Budget by Source'!$A$6:$I$330,MATCH('Payment by Source'!$A8,'Budget by Source'!$A$6:$A$330,0),MATCH(U$3,'Budget by Source'!$A$5:$I$5,0))</f>
        <v>12931847</v>
      </c>
      <c r="V8" s="152">
        <f t="shared" si="1"/>
        <v>1293185</v>
      </c>
      <c r="W8" s="152">
        <f t="shared" si="2"/>
        <v>12931850</v>
      </c>
    </row>
    <row r="9" spans="1:24" x14ac:dyDescent="0.2">
      <c r="A9" s="23" t="str">
        <f>Data!B5</f>
        <v>0063</v>
      </c>
      <c r="B9" s="21" t="str">
        <f>INDEX(Data[],MATCH($A9,Data[Dist],0),MATCH(B$5,Data[#Headers],0))</f>
        <v>Akron-Westfield</v>
      </c>
      <c r="C9" s="22">
        <f>IF(Notes!$B$2="June",ROUND('Budget by Source'!C9/10,0)+P9,ROUND('Budget by Source'!C9/10,0))</f>
        <v>9122</v>
      </c>
      <c r="D9" s="22">
        <f>IF(Notes!$B$2="June",ROUND('Budget by Source'!D9/10,0)+Q9,ROUND('Budget by Source'!D9/10,0))</f>
        <v>38665</v>
      </c>
      <c r="E9" s="22">
        <f>IF(Notes!$B$2="June",ROUND('Budget by Source'!E9/10,0)+R9,ROUND('Budget by Source'!E9/10,0))</f>
        <v>4325</v>
      </c>
      <c r="F9" s="22">
        <f>IF(Notes!$B$2="June",ROUND('Budget by Source'!F9/10,0)+S9,ROUND('Budget by Source'!F9/10,0))</f>
        <v>4423</v>
      </c>
      <c r="G9" s="22">
        <f>IF(Notes!$B$2="June",ROUND('Budget by Source'!G9/10,0)+T9,ROUND('Budget by Source'!G9/10,0))</f>
        <v>20461</v>
      </c>
      <c r="H9" s="22">
        <f t="shared" si="0"/>
        <v>321626</v>
      </c>
      <c r="I9" s="22">
        <f>INDEX(Data[],MATCH($A9,Data[Dist],0),MATCH(I$5,Data[#Headers],0))</f>
        <v>398622</v>
      </c>
      <c r="K9" s="69">
        <f>INDEX('Payment Total'!$A$7:$H$331,MATCH('Payment by Source'!$A9,'Payment Total'!$A$7:$A$331,0),3)-I9</f>
        <v>0</v>
      </c>
      <c r="P9" s="154">
        <f>INDEX('Budget by Source'!$A$6:$I$330,MATCH('Payment by Source'!$A9,'Budget by Source'!$A$6:$A$330,0),MATCH(P$3,'Budget by Source'!$A$5:$I$5,0))-(ROUND(INDEX('Budget by Source'!$A$6:$I$330,MATCH('Payment by Source'!$A9,'Budget by Source'!$A$6:$A$330,0),MATCH(P$3,'Budget by Source'!$A$5:$I$5,0))/10,0)*10)</f>
        <v>2</v>
      </c>
      <c r="Q9" s="154">
        <f>INDEX('Budget by Source'!$A$6:$I$330,MATCH('Payment by Source'!$A9,'Budget by Source'!$A$6:$A$330,0),MATCH(Q$3,'Budget by Source'!$A$5:$I$5,0))-(ROUND(INDEX('Budget by Source'!$A$6:$I$330,MATCH('Payment by Source'!$A9,'Budget by Source'!$A$6:$A$330,0),MATCH(Q$3,'Budget by Source'!$A$5:$I$5,0))/10,0)*10)</f>
        <v>-3</v>
      </c>
      <c r="R9" s="154">
        <f>INDEX('Budget by Source'!$A$6:$I$330,MATCH('Payment by Source'!$A9,'Budget by Source'!$A$6:$A$330,0),MATCH(R$3,'Budget by Source'!$A$5:$I$5,0))-(ROUND(INDEX('Budget by Source'!$A$6:$I$330,MATCH('Payment by Source'!$A9,'Budget by Source'!$A$6:$A$330,0),MATCH(R$3,'Budget by Source'!$A$5:$I$5,0))/10,0)*10)</f>
        <v>-5</v>
      </c>
      <c r="S9" s="154">
        <f>INDEX('Budget by Source'!$A$6:$I$330,MATCH('Payment by Source'!$A9,'Budget by Source'!$A$6:$A$330,0),MATCH(S$3,'Budget by Source'!$A$5:$I$5,0))-(ROUND(INDEX('Budget by Source'!$A$6:$I$330,MATCH('Payment by Source'!$A9,'Budget by Source'!$A$6:$A$330,0),MATCH(S$3,'Budget by Source'!$A$5:$I$5,0))/10,0)*10)</f>
        <v>-3</v>
      </c>
      <c r="T9" s="154">
        <f>INDEX('Budget by Source'!$A$6:$I$330,MATCH('Payment by Source'!$A9,'Budget by Source'!$A$6:$A$330,0),MATCH(T$3,'Budget by Source'!$A$5:$I$5,0))-(ROUND(INDEX('Budget by Source'!$A$6:$I$330,MATCH('Payment by Source'!$A9,'Budget by Source'!$A$6:$A$330,0),MATCH(T$3,'Budget by Source'!$A$5:$I$5,0))/10,0)*10)</f>
        <v>-2</v>
      </c>
      <c r="U9" s="155">
        <f>INDEX('Budget by Source'!$A$6:$I$330,MATCH('Payment by Source'!$A9,'Budget by Source'!$A$6:$A$330,0),MATCH(U$3,'Budget by Source'!$A$5:$I$5,0))</f>
        <v>3216273</v>
      </c>
      <c r="V9" s="152">
        <f t="shared" si="1"/>
        <v>321627</v>
      </c>
      <c r="W9" s="152">
        <f t="shared" si="2"/>
        <v>3216270</v>
      </c>
    </row>
    <row r="10" spans="1:24" x14ac:dyDescent="0.2">
      <c r="A10" s="23" t="str">
        <f>Data!B6</f>
        <v>0072</v>
      </c>
      <c r="B10" s="21" t="str">
        <f>INDEX(Data[],MATCH($A10,Data[Dist],0),MATCH(B$5,Data[#Headers],0))</f>
        <v>Albert City-Truesdale</v>
      </c>
      <c r="C10" s="22">
        <f>IF(Notes!$B$2="June",ROUND('Budget by Source'!C10/10,0)+P10,ROUND('Budget by Source'!C10/10,0))</f>
        <v>4561</v>
      </c>
      <c r="D10" s="22">
        <f>IF(Notes!$B$2="June",ROUND('Budget by Source'!D10/10,0)+Q10,ROUND('Budget by Source'!D10/10,0))</f>
        <v>12038</v>
      </c>
      <c r="E10" s="22">
        <f>IF(Notes!$B$2="June",ROUND('Budget by Source'!E10/10,0)+R10,ROUND('Budget by Source'!E10/10,0))</f>
        <v>1114</v>
      </c>
      <c r="F10" s="22">
        <f>IF(Notes!$B$2="June",ROUND('Budget by Source'!F10/10,0)+S10,ROUND('Budget by Source'!F10/10,0))</f>
        <v>1065</v>
      </c>
      <c r="G10" s="22">
        <f>IF(Notes!$B$2="June",ROUND('Budget by Source'!G10/10,0)+T10,ROUND('Budget by Source'!G10/10,0))</f>
        <v>7724</v>
      </c>
      <c r="H10" s="22">
        <f t="shared" si="0"/>
        <v>75861</v>
      </c>
      <c r="I10" s="22">
        <f>INDEX(Data[],MATCH($A10,Data[Dist],0),MATCH(I$5,Data[#Headers],0))</f>
        <v>102363</v>
      </c>
      <c r="K10" s="69">
        <f>INDEX('Payment Total'!$A$7:$H$331,MATCH('Payment by Source'!$A10,'Payment Total'!$A$7:$A$331,0),3)-I10</f>
        <v>0</v>
      </c>
      <c r="P10" s="154">
        <f>INDEX('Budget by Source'!$A$6:$I$330,MATCH('Payment by Source'!$A10,'Budget by Source'!$A$6:$A$330,0),MATCH(P$3,'Budget by Source'!$A$5:$I$5,0))-(ROUND(INDEX('Budget by Source'!$A$6:$I$330,MATCH('Payment by Source'!$A10,'Budget by Source'!$A$6:$A$330,0),MATCH(P$3,'Budget by Source'!$A$5:$I$5,0))/10,0)*10)</f>
        <v>1</v>
      </c>
      <c r="Q10" s="154">
        <f>INDEX('Budget by Source'!$A$6:$I$330,MATCH('Payment by Source'!$A10,'Budget by Source'!$A$6:$A$330,0),MATCH(Q$3,'Budget by Source'!$A$5:$I$5,0))-(ROUND(INDEX('Budget by Source'!$A$6:$I$330,MATCH('Payment by Source'!$A10,'Budget by Source'!$A$6:$A$330,0),MATCH(Q$3,'Budget by Source'!$A$5:$I$5,0))/10,0)*10)</f>
        <v>2</v>
      </c>
      <c r="R10" s="154">
        <f>INDEX('Budget by Source'!$A$6:$I$330,MATCH('Payment by Source'!$A10,'Budget by Source'!$A$6:$A$330,0),MATCH(R$3,'Budget by Source'!$A$5:$I$5,0))-(ROUND(INDEX('Budget by Source'!$A$6:$I$330,MATCH('Payment by Source'!$A10,'Budget by Source'!$A$6:$A$330,0),MATCH(R$3,'Budget by Source'!$A$5:$I$5,0))/10,0)*10)</f>
        <v>2</v>
      </c>
      <c r="S10" s="154">
        <f>INDEX('Budget by Source'!$A$6:$I$330,MATCH('Payment by Source'!$A10,'Budget by Source'!$A$6:$A$330,0),MATCH(S$3,'Budget by Source'!$A$5:$I$5,0))-(ROUND(INDEX('Budget by Source'!$A$6:$I$330,MATCH('Payment by Source'!$A10,'Budget by Source'!$A$6:$A$330,0),MATCH(S$3,'Budget by Source'!$A$5:$I$5,0))/10,0)*10)</f>
        <v>2</v>
      </c>
      <c r="T10" s="154">
        <f>INDEX('Budget by Source'!$A$6:$I$330,MATCH('Payment by Source'!$A10,'Budget by Source'!$A$6:$A$330,0),MATCH(T$3,'Budget by Source'!$A$5:$I$5,0))-(ROUND(INDEX('Budget by Source'!$A$6:$I$330,MATCH('Payment by Source'!$A10,'Budget by Source'!$A$6:$A$330,0),MATCH(T$3,'Budget by Source'!$A$5:$I$5,0))/10,0)*10)</f>
        <v>4</v>
      </c>
      <c r="U10" s="155">
        <f>INDEX('Budget by Source'!$A$6:$I$330,MATCH('Payment by Source'!$A10,'Budget by Source'!$A$6:$A$330,0),MATCH(U$3,'Budget by Source'!$A$5:$I$5,0))</f>
        <v>758600</v>
      </c>
      <c r="V10" s="152">
        <f t="shared" si="1"/>
        <v>75860</v>
      </c>
      <c r="W10" s="152">
        <f t="shared" si="2"/>
        <v>758600</v>
      </c>
    </row>
    <row r="11" spans="1:24" x14ac:dyDescent="0.2">
      <c r="A11" s="23" t="str">
        <f>Data!B7</f>
        <v>0081</v>
      </c>
      <c r="B11" s="21" t="str">
        <f>INDEX(Data[],MATCH($A11,Data[Dist],0),MATCH(B$5,Data[#Headers],0))</f>
        <v>Albia</v>
      </c>
      <c r="C11" s="22">
        <f>IF(Notes!$B$2="June",ROUND('Budget by Source'!C11/10,0)+P11,ROUND('Budget by Source'!C11/10,0))</f>
        <v>19385</v>
      </c>
      <c r="D11" s="22">
        <f>IF(Notes!$B$2="June",ROUND('Budget by Source'!D11/10,0)+Q11,ROUND('Budget by Source'!D11/10,0))</f>
        <v>71044</v>
      </c>
      <c r="E11" s="22">
        <f>IF(Notes!$B$2="June",ROUND('Budget by Source'!E11/10,0)+R11,ROUND('Budget by Source'!E11/10,0))</f>
        <v>8039</v>
      </c>
      <c r="F11" s="22">
        <f>IF(Notes!$B$2="June",ROUND('Budget by Source'!F11/10,0)+S11,ROUND('Budget by Source'!F11/10,0))</f>
        <v>8210</v>
      </c>
      <c r="G11" s="22">
        <f>IF(Notes!$B$2="June",ROUND('Budget by Source'!G11/10,0)+T11,ROUND('Budget by Source'!G11/10,0))</f>
        <v>40886</v>
      </c>
      <c r="H11" s="22">
        <f t="shared" si="0"/>
        <v>679286</v>
      </c>
      <c r="I11" s="22">
        <f>INDEX(Data[],MATCH($A11,Data[Dist],0),MATCH(I$5,Data[#Headers],0))</f>
        <v>826850</v>
      </c>
      <c r="K11" s="69">
        <f>INDEX('Payment Total'!$A$7:$H$331,MATCH('Payment by Source'!$A11,'Payment Total'!$A$7:$A$331,0),3)-I11</f>
        <v>0</v>
      </c>
      <c r="P11" s="154">
        <f>INDEX('Budget by Source'!$A$6:$I$330,MATCH('Payment by Source'!$A11,'Budget by Source'!$A$6:$A$330,0),MATCH(P$3,'Budget by Source'!$A$5:$I$5,0))-(ROUND(INDEX('Budget by Source'!$A$6:$I$330,MATCH('Payment by Source'!$A11,'Budget by Source'!$A$6:$A$330,0),MATCH(P$3,'Budget by Source'!$A$5:$I$5,0))/10,0)*10)</f>
        <v>-3</v>
      </c>
      <c r="Q11" s="154">
        <f>INDEX('Budget by Source'!$A$6:$I$330,MATCH('Payment by Source'!$A11,'Budget by Source'!$A$6:$A$330,0),MATCH(Q$3,'Budget by Source'!$A$5:$I$5,0))-(ROUND(INDEX('Budget by Source'!$A$6:$I$330,MATCH('Payment by Source'!$A11,'Budget by Source'!$A$6:$A$330,0),MATCH(Q$3,'Budget by Source'!$A$5:$I$5,0))/10,0)*10)</f>
        <v>-1</v>
      </c>
      <c r="R11" s="154">
        <f>INDEX('Budget by Source'!$A$6:$I$330,MATCH('Payment by Source'!$A11,'Budget by Source'!$A$6:$A$330,0),MATCH(R$3,'Budget by Source'!$A$5:$I$5,0))-(ROUND(INDEX('Budget by Source'!$A$6:$I$330,MATCH('Payment by Source'!$A11,'Budget by Source'!$A$6:$A$330,0),MATCH(R$3,'Budget by Source'!$A$5:$I$5,0))/10,0)*10)</f>
        <v>-1</v>
      </c>
      <c r="S11" s="154">
        <f>INDEX('Budget by Source'!$A$6:$I$330,MATCH('Payment by Source'!$A11,'Budget by Source'!$A$6:$A$330,0),MATCH(S$3,'Budget by Source'!$A$5:$I$5,0))-(ROUND(INDEX('Budget by Source'!$A$6:$I$330,MATCH('Payment by Source'!$A11,'Budget by Source'!$A$6:$A$330,0),MATCH(S$3,'Budget by Source'!$A$5:$I$5,0))/10,0)*10)</f>
        <v>3</v>
      </c>
      <c r="T11" s="154">
        <f>INDEX('Budget by Source'!$A$6:$I$330,MATCH('Payment by Source'!$A11,'Budget by Source'!$A$6:$A$330,0),MATCH(T$3,'Budget by Source'!$A$5:$I$5,0))-(ROUND(INDEX('Budget by Source'!$A$6:$I$330,MATCH('Payment by Source'!$A11,'Budget by Source'!$A$6:$A$330,0),MATCH(T$3,'Budget by Source'!$A$5:$I$5,0))/10,0)*10)</f>
        <v>-2</v>
      </c>
      <c r="U11" s="155">
        <f>INDEX('Budget by Source'!$A$6:$I$330,MATCH('Payment by Source'!$A11,'Budget by Source'!$A$6:$A$330,0),MATCH(U$3,'Budget by Source'!$A$5:$I$5,0))</f>
        <v>6792864</v>
      </c>
      <c r="V11" s="152">
        <f t="shared" si="1"/>
        <v>679286</v>
      </c>
      <c r="W11" s="152">
        <f t="shared" si="2"/>
        <v>6792860</v>
      </c>
    </row>
    <row r="12" spans="1:24" x14ac:dyDescent="0.2">
      <c r="A12" s="23" t="str">
        <f>Data!B8</f>
        <v>0099</v>
      </c>
      <c r="B12" s="21" t="str">
        <f>INDEX(Data[],MATCH($A12,Data[Dist],0),MATCH(B$5,Data[#Headers],0))</f>
        <v>Alburnett</v>
      </c>
      <c r="C12" s="22">
        <f>IF(Notes!$B$2="June",ROUND('Budget by Source'!C12/10,0)+P12,ROUND('Budget by Source'!C12/10,0))</f>
        <v>12163</v>
      </c>
      <c r="D12" s="22">
        <f>IF(Notes!$B$2="June",ROUND('Budget by Source'!D12/10,0)+Q12,ROUND('Budget by Source'!D12/10,0))</f>
        <v>34855</v>
      </c>
      <c r="E12" s="22">
        <f>IF(Notes!$B$2="June",ROUND('Budget by Source'!E12/10,0)+R12,ROUND('Budget by Source'!E12/10,0))</f>
        <v>3462</v>
      </c>
      <c r="F12" s="22">
        <f>IF(Notes!$B$2="June",ROUND('Budget by Source'!F12/10,0)+S12,ROUND('Budget by Source'!F12/10,0))</f>
        <v>4015</v>
      </c>
      <c r="G12" s="22">
        <f>IF(Notes!$B$2="June",ROUND('Budget by Source'!G12/10,0)+T12,ROUND('Budget by Source'!G12/10,0))</f>
        <v>19403</v>
      </c>
      <c r="H12" s="22">
        <f t="shared" si="0"/>
        <v>258288</v>
      </c>
      <c r="I12" s="22">
        <f>INDEX(Data[],MATCH($A12,Data[Dist],0),MATCH(I$5,Data[#Headers],0))</f>
        <v>332186</v>
      </c>
      <c r="K12" s="69">
        <f>INDEX('Payment Total'!$A$7:$H$331,MATCH('Payment by Source'!$A12,'Payment Total'!$A$7:$A$331,0),3)-I12</f>
        <v>0</v>
      </c>
      <c r="P12" s="154">
        <f>INDEX('Budget by Source'!$A$6:$I$330,MATCH('Payment by Source'!$A12,'Budget by Source'!$A$6:$A$330,0),MATCH(P$3,'Budget by Source'!$A$5:$I$5,0))-(ROUND(INDEX('Budget by Source'!$A$6:$I$330,MATCH('Payment by Source'!$A12,'Budget by Source'!$A$6:$A$330,0),MATCH(P$3,'Budget by Source'!$A$5:$I$5,0))/10,0)*10)</f>
        <v>-1</v>
      </c>
      <c r="Q12" s="154">
        <f>INDEX('Budget by Source'!$A$6:$I$330,MATCH('Payment by Source'!$A12,'Budget by Source'!$A$6:$A$330,0),MATCH(Q$3,'Budget by Source'!$A$5:$I$5,0))-(ROUND(INDEX('Budget by Source'!$A$6:$I$330,MATCH('Payment by Source'!$A12,'Budget by Source'!$A$6:$A$330,0),MATCH(Q$3,'Budget by Source'!$A$5:$I$5,0))/10,0)*10)</f>
        <v>-2</v>
      </c>
      <c r="R12" s="154">
        <f>INDEX('Budget by Source'!$A$6:$I$330,MATCH('Payment by Source'!$A12,'Budget by Source'!$A$6:$A$330,0),MATCH(R$3,'Budget by Source'!$A$5:$I$5,0))-(ROUND(INDEX('Budget by Source'!$A$6:$I$330,MATCH('Payment by Source'!$A12,'Budget by Source'!$A$6:$A$330,0),MATCH(R$3,'Budget by Source'!$A$5:$I$5,0))/10,0)*10)</f>
        <v>3</v>
      </c>
      <c r="S12" s="154">
        <f>INDEX('Budget by Source'!$A$6:$I$330,MATCH('Payment by Source'!$A12,'Budget by Source'!$A$6:$A$330,0),MATCH(S$3,'Budget by Source'!$A$5:$I$5,0))-(ROUND(INDEX('Budget by Source'!$A$6:$I$330,MATCH('Payment by Source'!$A12,'Budget by Source'!$A$6:$A$330,0),MATCH(S$3,'Budget by Source'!$A$5:$I$5,0))/10,0)*10)</f>
        <v>-4</v>
      </c>
      <c r="T12" s="154">
        <f>INDEX('Budget by Source'!$A$6:$I$330,MATCH('Payment by Source'!$A12,'Budget by Source'!$A$6:$A$330,0),MATCH(T$3,'Budget by Source'!$A$5:$I$5,0))-(ROUND(INDEX('Budget by Source'!$A$6:$I$330,MATCH('Payment by Source'!$A12,'Budget by Source'!$A$6:$A$330,0),MATCH(T$3,'Budget by Source'!$A$5:$I$5,0))/10,0)*10)</f>
        <v>1</v>
      </c>
      <c r="U12" s="155">
        <f>INDEX('Budget by Source'!$A$6:$I$330,MATCH('Payment by Source'!$A12,'Budget by Source'!$A$6:$A$330,0),MATCH(U$3,'Budget by Source'!$A$5:$I$5,0))</f>
        <v>2582878</v>
      </c>
      <c r="V12" s="152">
        <f t="shared" si="1"/>
        <v>258288</v>
      </c>
      <c r="W12" s="152">
        <f t="shared" si="2"/>
        <v>2582880</v>
      </c>
    </row>
    <row r="13" spans="1:24" x14ac:dyDescent="0.2">
      <c r="A13" s="23" t="str">
        <f>Data!B9</f>
        <v>0108</v>
      </c>
      <c r="B13" s="21" t="str">
        <f>INDEX(Data[],MATCH($A13,Data[Dist],0),MATCH(B$5,Data[#Headers],0))</f>
        <v>Alden</v>
      </c>
      <c r="C13" s="22">
        <f>IF(Notes!$B$2="June",ROUND('Budget by Source'!C13/10,0)+P13,ROUND('Budget by Source'!C13/10,0))</f>
        <v>3041</v>
      </c>
      <c r="D13" s="22">
        <f>IF(Notes!$B$2="June",ROUND('Budget by Source'!D13/10,0)+Q13,ROUND('Budget by Source'!D13/10,0))</f>
        <v>19118</v>
      </c>
      <c r="E13" s="22">
        <f>IF(Notes!$B$2="June",ROUND('Budget by Source'!E13/10,0)+R13,ROUND('Budget by Source'!E13/10,0))</f>
        <v>2369</v>
      </c>
      <c r="F13" s="22">
        <f>IF(Notes!$B$2="June",ROUND('Budget by Source'!F13/10,0)+S13,ROUND('Budget by Source'!F13/10,0))</f>
        <v>1853</v>
      </c>
      <c r="G13" s="22">
        <f>IF(Notes!$B$2="June",ROUND('Budget by Source'!G13/10,0)+T13,ROUND('Budget by Source'!G13/10,0))</f>
        <v>10087</v>
      </c>
      <c r="H13" s="22">
        <f t="shared" si="0"/>
        <v>125185</v>
      </c>
      <c r="I13" s="22">
        <f>INDEX(Data[],MATCH($A13,Data[Dist],0),MATCH(I$5,Data[#Headers],0))</f>
        <v>161653</v>
      </c>
      <c r="K13" s="69">
        <f>INDEX('Payment Total'!$A$7:$H$331,MATCH('Payment by Source'!$A13,'Payment Total'!$A$7:$A$331,0),3)-I13</f>
        <v>0</v>
      </c>
      <c r="P13" s="154">
        <f>INDEX('Budget by Source'!$A$6:$I$330,MATCH('Payment by Source'!$A13,'Budget by Source'!$A$6:$A$330,0),MATCH(P$3,'Budget by Source'!$A$5:$I$5,0))-(ROUND(INDEX('Budget by Source'!$A$6:$I$330,MATCH('Payment by Source'!$A13,'Budget by Source'!$A$6:$A$330,0),MATCH(P$3,'Budget by Source'!$A$5:$I$5,0))/10,0)*10)</f>
        <v>-3</v>
      </c>
      <c r="Q13" s="154">
        <f>INDEX('Budget by Source'!$A$6:$I$330,MATCH('Payment by Source'!$A13,'Budget by Source'!$A$6:$A$330,0),MATCH(Q$3,'Budget by Source'!$A$5:$I$5,0))-(ROUND(INDEX('Budget by Source'!$A$6:$I$330,MATCH('Payment by Source'!$A13,'Budget by Source'!$A$6:$A$330,0),MATCH(Q$3,'Budget by Source'!$A$5:$I$5,0))/10,0)*10)</f>
        <v>-3</v>
      </c>
      <c r="R13" s="154">
        <f>INDEX('Budget by Source'!$A$6:$I$330,MATCH('Payment by Source'!$A13,'Budget by Source'!$A$6:$A$330,0),MATCH(R$3,'Budget by Source'!$A$5:$I$5,0))-(ROUND(INDEX('Budget by Source'!$A$6:$I$330,MATCH('Payment by Source'!$A13,'Budget by Source'!$A$6:$A$330,0),MATCH(R$3,'Budget by Source'!$A$5:$I$5,0))/10,0)*10)</f>
        <v>4</v>
      </c>
      <c r="S13" s="154">
        <f>INDEX('Budget by Source'!$A$6:$I$330,MATCH('Payment by Source'!$A13,'Budget by Source'!$A$6:$A$330,0),MATCH(S$3,'Budget by Source'!$A$5:$I$5,0))-(ROUND(INDEX('Budget by Source'!$A$6:$I$330,MATCH('Payment by Source'!$A13,'Budget by Source'!$A$6:$A$330,0),MATCH(S$3,'Budget by Source'!$A$5:$I$5,0))/10,0)*10)</f>
        <v>2</v>
      </c>
      <c r="T13" s="154">
        <f>INDEX('Budget by Source'!$A$6:$I$330,MATCH('Payment by Source'!$A13,'Budget by Source'!$A$6:$A$330,0),MATCH(T$3,'Budget by Source'!$A$5:$I$5,0))-(ROUND(INDEX('Budget by Source'!$A$6:$I$330,MATCH('Payment by Source'!$A13,'Budget by Source'!$A$6:$A$330,0),MATCH(T$3,'Budget by Source'!$A$5:$I$5,0))/10,0)*10)</f>
        <v>-3</v>
      </c>
      <c r="U13" s="155">
        <f>INDEX('Budget by Source'!$A$6:$I$330,MATCH('Payment by Source'!$A13,'Budget by Source'!$A$6:$A$330,0),MATCH(U$3,'Budget by Source'!$A$5:$I$5,0))</f>
        <v>1251851</v>
      </c>
      <c r="V13" s="152">
        <f t="shared" si="1"/>
        <v>125185</v>
      </c>
      <c r="W13" s="152">
        <f t="shared" si="2"/>
        <v>1251850</v>
      </c>
    </row>
    <row r="14" spans="1:24" x14ac:dyDescent="0.2">
      <c r="A14" s="23" t="str">
        <f>Data!B10</f>
        <v>0126</v>
      </c>
      <c r="B14" s="21" t="str">
        <f>INDEX(Data[],MATCH($A14,Data[Dist],0),MATCH(B$5,Data[#Headers],0))</f>
        <v>Algona</v>
      </c>
      <c r="C14" s="22">
        <f>IF(Notes!$B$2="June",ROUND('Budget by Source'!C14/10,0)+P14,ROUND('Budget by Source'!C14/10,0))</f>
        <v>41810</v>
      </c>
      <c r="D14" s="22">
        <f>IF(Notes!$B$2="June",ROUND('Budget by Source'!D14/10,0)+Q14,ROUND('Budget by Source'!D14/10,0))</f>
        <v>96958</v>
      </c>
      <c r="E14" s="22">
        <f>IF(Notes!$B$2="June",ROUND('Budget by Source'!E14/10,0)+R14,ROUND('Budget by Source'!E14/10,0))</f>
        <v>9577</v>
      </c>
      <c r="F14" s="22">
        <f>IF(Notes!$B$2="June",ROUND('Budget by Source'!F14/10,0)+S14,ROUND('Budget by Source'!F14/10,0))</f>
        <v>11500</v>
      </c>
      <c r="G14" s="22">
        <f>IF(Notes!$B$2="June",ROUND('Budget by Source'!G14/10,0)+T14,ROUND('Budget by Source'!G14/10,0))</f>
        <v>53304</v>
      </c>
      <c r="H14" s="22">
        <f t="shared" si="0"/>
        <v>674129</v>
      </c>
      <c r="I14" s="22">
        <f>INDEX(Data[],MATCH($A14,Data[Dist],0),MATCH(I$5,Data[#Headers],0))</f>
        <v>887278</v>
      </c>
      <c r="K14" s="69">
        <f>INDEX('Payment Total'!$A$7:$H$331,MATCH('Payment by Source'!$A14,'Payment Total'!$A$7:$A$331,0),3)-I14</f>
        <v>0</v>
      </c>
      <c r="P14" s="154">
        <f>INDEX('Budget by Source'!$A$6:$I$330,MATCH('Payment by Source'!$A14,'Budget by Source'!$A$6:$A$330,0),MATCH(P$3,'Budget by Source'!$A$5:$I$5,0))-(ROUND(INDEX('Budget by Source'!$A$6:$I$330,MATCH('Payment by Source'!$A14,'Budget by Source'!$A$6:$A$330,0),MATCH(P$3,'Budget by Source'!$A$5:$I$5,0))/10,0)*10)</f>
        <v>1</v>
      </c>
      <c r="Q14" s="154">
        <f>INDEX('Budget by Source'!$A$6:$I$330,MATCH('Payment by Source'!$A14,'Budget by Source'!$A$6:$A$330,0),MATCH(Q$3,'Budget by Source'!$A$5:$I$5,0))-(ROUND(INDEX('Budget by Source'!$A$6:$I$330,MATCH('Payment by Source'!$A14,'Budget by Source'!$A$6:$A$330,0),MATCH(Q$3,'Budget by Source'!$A$5:$I$5,0))/10,0)*10)</f>
        <v>0</v>
      </c>
      <c r="R14" s="154">
        <f>INDEX('Budget by Source'!$A$6:$I$330,MATCH('Payment by Source'!$A14,'Budget by Source'!$A$6:$A$330,0),MATCH(R$3,'Budget by Source'!$A$5:$I$5,0))-(ROUND(INDEX('Budget by Source'!$A$6:$I$330,MATCH('Payment by Source'!$A14,'Budget by Source'!$A$6:$A$330,0),MATCH(R$3,'Budget by Source'!$A$5:$I$5,0))/10,0)*10)</f>
        <v>-4</v>
      </c>
      <c r="S14" s="154">
        <f>INDEX('Budget by Source'!$A$6:$I$330,MATCH('Payment by Source'!$A14,'Budget by Source'!$A$6:$A$330,0),MATCH(S$3,'Budget by Source'!$A$5:$I$5,0))-(ROUND(INDEX('Budget by Source'!$A$6:$I$330,MATCH('Payment by Source'!$A14,'Budget by Source'!$A$6:$A$330,0),MATCH(S$3,'Budget by Source'!$A$5:$I$5,0))/10,0)*10)</f>
        <v>3</v>
      </c>
      <c r="T14" s="154">
        <f>INDEX('Budget by Source'!$A$6:$I$330,MATCH('Payment by Source'!$A14,'Budget by Source'!$A$6:$A$330,0),MATCH(T$3,'Budget by Source'!$A$5:$I$5,0))-(ROUND(INDEX('Budget by Source'!$A$6:$I$330,MATCH('Payment by Source'!$A14,'Budget by Source'!$A$6:$A$330,0),MATCH(T$3,'Budget by Source'!$A$5:$I$5,0))/10,0)*10)</f>
        <v>2</v>
      </c>
      <c r="U14" s="155">
        <f>INDEX('Budget by Source'!$A$6:$I$330,MATCH('Payment by Source'!$A14,'Budget by Source'!$A$6:$A$330,0),MATCH(U$3,'Budget by Source'!$A$5:$I$5,0))</f>
        <v>6741290</v>
      </c>
      <c r="V14" s="152">
        <f t="shared" si="1"/>
        <v>674129</v>
      </c>
      <c r="W14" s="152">
        <f t="shared" si="2"/>
        <v>6741290</v>
      </c>
    </row>
    <row r="15" spans="1:24" x14ac:dyDescent="0.2">
      <c r="A15" s="23" t="str">
        <f>Data!B11</f>
        <v>0135</v>
      </c>
      <c r="B15" s="21" t="str">
        <f>INDEX(Data[],MATCH($A15,Data[Dist],0),MATCH(B$5,Data[#Headers],0))</f>
        <v>Allamakee</v>
      </c>
      <c r="C15" s="22">
        <f>IF(Notes!$B$2="June",ROUND('Budget by Source'!C15/10,0)+P15,ROUND('Budget by Source'!C15/10,0))</f>
        <v>31548</v>
      </c>
      <c r="D15" s="22">
        <f>IF(Notes!$B$2="June",ROUND('Budget by Source'!D15/10,0)+Q15,ROUND('Budget by Source'!D15/10,0))</f>
        <v>70224</v>
      </c>
      <c r="E15" s="22">
        <f>IF(Notes!$B$2="June",ROUND('Budget by Source'!E15/10,0)+R15,ROUND('Budget by Source'!E15/10,0))</f>
        <v>8222</v>
      </c>
      <c r="F15" s="22">
        <f>IF(Notes!$B$2="June",ROUND('Budget by Source'!F15/10,0)+S15,ROUND('Budget by Source'!F15/10,0))</f>
        <v>7491</v>
      </c>
      <c r="G15" s="22">
        <f>IF(Notes!$B$2="June",ROUND('Budget by Source'!G15/10,0)+T15,ROUND('Budget by Source'!G15/10,0))</f>
        <v>40074</v>
      </c>
      <c r="H15" s="22">
        <f t="shared" si="0"/>
        <v>577541</v>
      </c>
      <c r="I15" s="22">
        <f>INDEX(Data[],MATCH($A15,Data[Dist],0),MATCH(I$5,Data[#Headers],0))</f>
        <v>735100</v>
      </c>
      <c r="K15" s="69">
        <f>INDEX('Payment Total'!$A$7:$H$331,MATCH('Payment by Source'!$A15,'Payment Total'!$A$7:$A$331,0),3)-I15</f>
        <v>0</v>
      </c>
      <c r="P15" s="154">
        <f>INDEX('Budget by Source'!$A$6:$I$330,MATCH('Payment by Source'!$A15,'Budget by Source'!$A$6:$A$330,0),MATCH(P$3,'Budget by Source'!$A$5:$I$5,0))-(ROUND(INDEX('Budget by Source'!$A$6:$I$330,MATCH('Payment by Source'!$A15,'Budget by Source'!$A$6:$A$330,0),MATCH(P$3,'Budget by Source'!$A$5:$I$5,0))/10,0)*10)</f>
        <v>-4</v>
      </c>
      <c r="Q15" s="154">
        <f>INDEX('Budget by Source'!$A$6:$I$330,MATCH('Payment by Source'!$A15,'Budget by Source'!$A$6:$A$330,0),MATCH(Q$3,'Budget by Source'!$A$5:$I$5,0))-(ROUND(INDEX('Budget by Source'!$A$6:$I$330,MATCH('Payment by Source'!$A15,'Budget by Source'!$A$6:$A$330,0),MATCH(Q$3,'Budget by Source'!$A$5:$I$5,0))/10,0)*10)</f>
        <v>3</v>
      </c>
      <c r="R15" s="154">
        <f>INDEX('Budget by Source'!$A$6:$I$330,MATCH('Payment by Source'!$A15,'Budget by Source'!$A$6:$A$330,0),MATCH(R$3,'Budget by Source'!$A$5:$I$5,0))-(ROUND(INDEX('Budget by Source'!$A$6:$I$330,MATCH('Payment by Source'!$A15,'Budget by Source'!$A$6:$A$330,0),MATCH(R$3,'Budget by Source'!$A$5:$I$5,0))/10,0)*10)</f>
        <v>-2</v>
      </c>
      <c r="S15" s="154">
        <f>INDEX('Budget by Source'!$A$6:$I$330,MATCH('Payment by Source'!$A15,'Budget by Source'!$A$6:$A$330,0),MATCH(S$3,'Budget by Source'!$A$5:$I$5,0))-(ROUND(INDEX('Budget by Source'!$A$6:$I$330,MATCH('Payment by Source'!$A15,'Budget by Source'!$A$6:$A$330,0),MATCH(S$3,'Budget by Source'!$A$5:$I$5,0))/10,0)*10)</f>
        <v>1</v>
      </c>
      <c r="T15" s="154">
        <f>INDEX('Budget by Source'!$A$6:$I$330,MATCH('Payment by Source'!$A15,'Budget by Source'!$A$6:$A$330,0),MATCH(T$3,'Budget by Source'!$A$5:$I$5,0))-(ROUND(INDEX('Budget by Source'!$A$6:$I$330,MATCH('Payment by Source'!$A15,'Budget by Source'!$A$6:$A$330,0),MATCH(T$3,'Budget by Source'!$A$5:$I$5,0))/10,0)*10)</f>
        <v>0</v>
      </c>
      <c r="U15" s="155">
        <f>INDEX('Budget by Source'!$A$6:$I$330,MATCH('Payment by Source'!$A15,'Budget by Source'!$A$6:$A$330,0),MATCH(U$3,'Budget by Source'!$A$5:$I$5,0))</f>
        <v>5775414</v>
      </c>
      <c r="V15" s="152">
        <f t="shared" si="1"/>
        <v>577541</v>
      </c>
      <c r="W15" s="152">
        <f t="shared" si="2"/>
        <v>5775410</v>
      </c>
    </row>
    <row r="16" spans="1:24" x14ac:dyDescent="0.2">
      <c r="A16" s="23" t="str">
        <f>Data!B12</f>
        <v>0153</v>
      </c>
      <c r="B16" s="21" t="str">
        <f>INDEX(Data[],MATCH($A16,Data[Dist],0),MATCH(B$5,Data[#Headers],0))</f>
        <v>North Butler</v>
      </c>
      <c r="C16" s="22">
        <f>IF(Notes!$B$2="June",ROUND('Budget by Source'!C16/10,0)+P16,ROUND('Budget by Source'!C16/10,0))</f>
        <v>11023</v>
      </c>
      <c r="D16" s="22">
        <f>IF(Notes!$B$2="June",ROUND('Budget by Source'!D16/10,0)+Q16,ROUND('Budget by Source'!D16/10,0))</f>
        <v>40778</v>
      </c>
      <c r="E16" s="22">
        <f>IF(Notes!$B$2="June",ROUND('Budget by Source'!E16/10,0)+R16,ROUND('Budget by Source'!E16/10,0))</f>
        <v>3929</v>
      </c>
      <c r="F16" s="22">
        <f>IF(Notes!$B$2="June",ROUND('Budget by Source'!F16/10,0)+S16,ROUND('Budget by Source'!F16/10,0))</f>
        <v>4568</v>
      </c>
      <c r="G16" s="22">
        <f>IF(Notes!$B$2="June",ROUND('Budget by Source'!G16/10,0)+T16,ROUND('Budget by Source'!G16/10,0))</f>
        <v>20345</v>
      </c>
      <c r="H16" s="22">
        <f t="shared" si="0"/>
        <v>273235</v>
      </c>
      <c r="I16" s="22">
        <f>INDEX(Data[],MATCH($A16,Data[Dist],0),MATCH(I$5,Data[#Headers],0))</f>
        <v>353878</v>
      </c>
      <c r="K16" s="69">
        <f>INDEX('Payment Total'!$A$7:$H$331,MATCH('Payment by Source'!$A16,'Payment Total'!$A$7:$A$331,0),3)-I16</f>
        <v>0</v>
      </c>
      <c r="P16" s="154">
        <f>INDEX('Budget by Source'!$A$6:$I$330,MATCH('Payment by Source'!$A16,'Budget by Source'!$A$6:$A$330,0),MATCH(P$3,'Budget by Source'!$A$5:$I$5,0))-(ROUND(INDEX('Budget by Source'!$A$6:$I$330,MATCH('Payment by Source'!$A16,'Budget by Source'!$A$6:$A$330,0),MATCH(P$3,'Budget by Source'!$A$5:$I$5,0))/10,0)*10)</f>
        <v>-3</v>
      </c>
      <c r="Q16" s="154">
        <f>INDEX('Budget by Source'!$A$6:$I$330,MATCH('Payment by Source'!$A16,'Budget by Source'!$A$6:$A$330,0),MATCH(Q$3,'Budget by Source'!$A$5:$I$5,0))-(ROUND(INDEX('Budget by Source'!$A$6:$I$330,MATCH('Payment by Source'!$A16,'Budget by Source'!$A$6:$A$330,0),MATCH(Q$3,'Budget by Source'!$A$5:$I$5,0))/10,0)*10)</f>
        <v>3</v>
      </c>
      <c r="R16" s="154">
        <f>INDEX('Budget by Source'!$A$6:$I$330,MATCH('Payment by Source'!$A16,'Budget by Source'!$A$6:$A$330,0),MATCH(R$3,'Budget by Source'!$A$5:$I$5,0))-(ROUND(INDEX('Budget by Source'!$A$6:$I$330,MATCH('Payment by Source'!$A16,'Budget by Source'!$A$6:$A$330,0),MATCH(R$3,'Budget by Source'!$A$5:$I$5,0))/10,0)*10)</f>
        <v>-5</v>
      </c>
      <c r="S16" s="154">
        <f>INDEX('Budget by Source'!$A$6:$I$330,MATCH('Payment by Source'!$A16,'Budget by Source'!$A$6:$A$330,0),MATCH(S$3,'Budget by Source'!$A$5:$I$5,0))-(ROUND(INDEX('Budget by Source'!$A$6:$I$330,MATCH('Payment by Source'!$A16,'Budget by Source'!$A$6:$A$330,0),MATCH(S$3,'Budget by Source'!$A$5:$I$5,0))/10,0)*10)</f>
        <v>1</v>
      </c>
      <c r="T16" s="154">
        <f>INDEX('Budget by Source'!$A$6:$I$330,MATCH('Payment by Source'!$A16,'Budget by Source'!$A$6:$A$330,0),MATCH(T$3,'Budget by Source'!$A$5:$I$5,0))-(ROUND(INDEX('Budget by Source'!$A$6:$I$330,MATCH('Payment by Source'!$A16,'Budget by Source'!$A$6:$A$330,0),MATCH(T$3,'Budget by Source'!$A$5:$I$5,0))/10,0)*10)</f>
        <v>-5</v>
      </c>
      <c r="U16" s="155">
        <f>INDEX('Budget by Source'!$A$6:$I$330,MATCH('Payment by Source'!$A16,'Budget by Source'!$A$6:$A$330,0),MATCH(U$3,'Budget by Source'!$A$5:$I$5,0))</f>
        <v>2732358</v>
      </c>
      <c r="V16" s="152">
        <f t="shared" si="1"/>
        <v>273236</v>
      </c>
      <c r="W16" s="152">
        <f t="shared" si="2"/>
        <v>2732360</v>
      </c>
    </row>
    <row r="17" spans="1:23" x14ac:dyDescent="0.2">
      <c r="A17" s="23" t="str">
        <f>Data!B13</f>
        <v>0171</v>
      </c>
      <c r="B17" s="21" t="str">
        <f>INDEX(Data[],MATCH($A17,Data[Dist],0),MATCH(B$5,Data[#Headers],0))</f>
        <v>Alta-Aurelia</v>
      </c>
      <c r="C17" s="22">
        <f>IF(Notes!$B$2="June",ROUND('Budget by Source'!C17/10,0)+P17,ROUND('Budget by Source'!C17/10,0))</f>
        <v>14444</v>
      </c>
      <c r="D17" s="22">
        <f>IF(Notes!$B$2="June",ROUND('Budget by Source'!D17/10,0)+Q17,ROUND('Budget by Source'!D17/10,0))</f>
        <v>62237</v>
      </c>
      <c r="E17" s="22">
        <f>IF(Notes!$B$2="June",ROUND('Budget by Source'!E17/10,0)+R17,ROUND('Budget by Source'!E17/10,0))</f>
        <v>7580</v>
      </c>
      <c r="F17" s="22">
        <f>IF(Notes!$B$2="June",ROUND('Budget by Source'!F17/10,0)+S17,ROUND('Budget by Source'!F17/10,0))</f>
        <v>7105</v>
      </c>
      <c r="G17" s="22">
        <f>IF(Notes!$B$2="June",ROUND('Budget by Source'!G17/10,0)+T17,ROUND('Budget by Source'!G17/10,0))</f>
        <v>32165</v>
      </c>
      <c r="H17" s="22">
        <f t="shared" si="0"/>
        <v>387669</v>
      </c>
      <c r="I17" s="22">
        <f>INDEX(Data[],MATCH($A17,Data[Dist],0),MATCH(I$5,Data[#Headers],0))</f>
        <v>511200</v>
      </c>
      <c r="K17" s="69">
        <f>INDEX('Payment Total'!$A$7:$H$331,MATCH('Payment by Source'!$A17,'Payment Total'!$A$7:$A$331,0),3)-I17</f>
        <v>0</v>
      </c>
      <c r="P17" s="154">
        <f>INDEX('Budget by Source'!$A$6:$I$330,MATCH('Payment by Source'!$A17,'Budget by Source'!$A$6:$A$330,0),MATCH(P$3,'Budget by Source'!$A$5:$I$5,0))-(ROUND(INDEX('Budget by Source'!$A$6:$I$330,MATCH('Payment by Source'!$A17,'Budget by Source'!$A$6:$A$330,0),MATCH(P$3,'Budget by Source'!$A$5:$I$5,0))/10,0)*10)</f>
        <v>-5</v>
      </c>
      <c r="Q17" s="154">
        <f>INDEX('Budget by Source'!$A$6:$I$330,MATCH('Payment by Source'!$A17,'Budget by Source'!$A$6:$A$330,0),MATCH(Q$3,'Budget by Source'!$A$5:$I$5,0))-(ROUND(INDEX('Budget by Source'!$A$6:$I$330,MATCH('Payment by Source'!$A17,'Budget by Source'!$A$6:$A$330,0),MATCH(Q$3,'Budget by Source'!$A$5:$I$5,0))/10,0)*10)</f>
        <v>-3</v>
      </c>
      <c r="R17" s="154">
        <f>INDEX('Budget by Source'!$A$6:$I$330,MATCH('Payment by Source'!$A17,'Budget by Source'!$A$6:$A$330,0),MATCH(R$3,'Budget by Source'!$A$5:$I$5,0))-(ROUND(INDEX('Budget by Source'!$A$6:$I$330,MATCH('Payment by Source'!$A17,'Budget by Source'!$A$6:$A$330,0),MATCH(R$3,'Budget by Source'!$A$5:$I$5,0))/10,0)*10)</f>
        <v>3</v>
      </c>
      <c r="S17" s="154">
        <f>INDEX('Budget by Source'!$A$6:$I$330,MATCH('Payment by Source'!$A17,'Budget by Source'!$A$6:$A$330,0),MATCH(S$3,'Budget by Source'!$A$5:$I$5,0))-(ROUND(INDEX('Budget by Source'!$A$6:$I$330,MATCH('Payment by Source'!$A17,'Budget by Source'!$A$6:$A$330,0),MATCH(S$3,'Budget by Source'!$A$5:$I$5,0))/10,0)*10)</f>
        <v>-4</v>
      </c>
      <c r="T17" s="154">
        <f>INDEX('Budget by Source'!$A$6:$I$330,MATCH('Payment by Source'!$A17,'Budget by Source'!$A$6:$A$330,0),MATCH(T$3,'Budget by Source'!$A$5:$I$5,0))-(ROUND(INDEX('Budget by Source'!$A$6:$I$330,MATCH('Payment by Source'!$A17,'Budget by Source'!$A$6:$A$330,0),MATCH(T$3,'Budget by Source'!$A$5:$I$5,0))/10,0)*10)</f>
        <v>3</v>
      </c>
      <c r="U17" s="155">
        <f>INDEX('Budget by Source'!$A$6:$I$330,MATCH('Payment by Source'!$A17,'Budget by Source'!$A$6:$A$330,0),MATCH(U$3,'Budget by Source'!$A$5:$I$5,0))</f>
        <v>3876698</v>
      </c>
      <c r="V17" s="152">
        <f t="shared" si="1"/>
        <v>387670</v>
      </c>
      <c r="W17" s="152">
        <f t="shared" si="2"/>
        <v>3876700</v>
      </c>
    </row>
    <row r="18" spans="1:23" x14ac:dyDescent="0.2">
      <c r="A18" s="23" t="str">
        <f>Data!B14</f>
        <v>0225</v>
      </c>
      <c r="B18" s="21" t="str">
        <f>INDEX(Data[],MATCH($A18,Data[Dist],0),MATCH(B$5,Data[#Headers],0))</f>
        <v>Ames</v>
      </c>
      <c r="C18" s="22">
        <f>IF(Notes!$B$2="June",ROUND('Budget by Source'!C18/10,0)+P18,ROUND('Budget by Source'!C18/10,0))</f>
        <v>82480</v>
      </c>
      <c r="D18" s="22">
        <f>IF(Notes!$B$2="June",ROUND('Budget by Source'!D18/10,0)+Q18,ROUND('Budget by Source'!D18/10,0))</f>
        <v>290621</v>
      </c>
      <c r="E18" s="22">
        <f>IF(Notes!$B$2="June",ROUND('Budget by Source'!E18/10,0)+R18,ROUND('Budget by Source'!E18/10,0))</f>
        <v>32711</v>
      </c>
      <c r="F18" s="22">
        <f>IF(Notes!$B$2="June",ROUND('Budget by Source'!F18/10,0)+S18,ROUND('Budget by Source'!F18/10,0))</f>
        <v>35353</v>
      </c>
      <c r="G18" s="22">
        <f>IF(Notes!$B$2="June",ROUND('Budget by Source'!G18/10,0)+T18,ROUND('Budget by Source'!G18/10,0))</f>
        <v>163613</v>
      </c>
      <c r="H18" s="22">
        <f t="shared" si="0"/>
        <v>1784678</v>
      </c>
      <c r="I18" s="22">
        <f>INDEX(Data[],MATCH($A18,Data[Dist],0),MATCH(I$5,Data[#Headers],0))</f>
        <v>2389456</v>
      </c>
      <c r="K18" s="69">
        <f>INDEX('Payment Total'!$A$7:$H$331,MATCH('Payment by Source'!$A18,'Payment Total'!$A$7:$A$331,0),3)-I18</f>
        <v>0</v>
      </c>
      <c r="P18" s="154">
        <f>INDEX('Budget by Source'!$A$6:$I$330,MATCH('Payment by Source'!$A18,'Budget by Source'!$A$6:$A$330,0),MATCH(P$3,'Budget by Source'!$A$5:$I$5,0))-(ROUND(INDEX('Budget by Source'!$A$6:$I$330,MATCH('Payment by Source'!$A18,'Budget by Source'!$A$6:$A$330,0),MATCH(P$3,'Budget by Source'!$A$5:$I$5,0))/10,0)*10)</f>
        <v>-1</v>
      </c>
      <c r="Q18" s="154">
        <f>INDEX('Budget by Source'!$A$6:$I$330,MATCH('Payment by Source'!$A18,'Budget by Source'!$A$6:$A$330,0),MATCH(Q$3,'Budget by Source'!$A$5:$I$5,0))-(ROUND(INDEX('Budget by Source'!$A$6:$I$330,MATCH('Payment by Source'!$A18,'Budget by Source'!$A$6:$A$330,0),MATCH(Q$3,'Budget by Source'!$A$5:$I$5,0))/10,0)*10)</f>
        <v>-3</v>
      </c>
      <c r="R18" s="154">
        <f>INDEX('Budget by Source'!$A$6:$I$330,MATCH('Payment by Source'!$A18,'Budget by Source'!$A$6:$A$330,0),MATCH(R$3,'Budget by Source'!$A$5:$I$5,0))-(ROUND(INDEX('Budget by Source'!$A$6:$I$330,MATCH('Payment by Source'!$A18,'Budget by Source'!$A$6:$A$330,0),MATCH(R$3,'Budget by Source'!$A$5:$I$5,0))/10,0)*10)</f>
        <v>0</v>
      </c>
      <c r="S18" s="154">
        <f>INDEX('Budget by Source'!$A$6:$I$330,MATCH('Payment by Source'!$A18,'Budget by Source'!$A$6:$A$330,0),MATCH(S$3,'Budget by Source'!$A$5:$I$5,0))-(ROUND(INDEX('Budget by Source'!$A$6:$I$330,MATCH('Payment by Source'!$A18,'Budget by Source'!$A$6:$A$330,0),MATCH(S$3,'Budget by Source'!$A$5:$I$5,0))/10,0)*10)</f>
        <v>-5</v>
      </c>
      <c r="T18" s="154">
        <f>INDEX('Budget by Source'!$A$6:$I$330,MATCH('Payment by Source'!$A18,'Budget by Source'!$A$6:$A$330,0),MATCH(T$3,'Budget by Source'!$A$5:$I$5,0))-(ROUND(INDEX('Budget by Source'!$A$6:$I$330,MATCH('Payment by Source'!$A18,'Budget by Source'!$A$6:$A$330,0),MATCH(T$3,'Budget by Source'!$A$5:$I$5,0))/10,0)*10)</f>
        <v>-4</v>
      </c>
      <c r="U18" s="155">
        <f>INDEX('Budget by Source'!$A$6:$I$330,MATCH('Payment by Source'!$A18,'Budget by Source'!$A$6:$A$330,0),MATCH(U$3,'Budget by Source'!$A$5:$I$5,0))</f>
        <v>17846795</v>
      </c>
      <c r="V18" s="152">
        <f t="shared" si="1"/>
        <v>1784680</v>
      </c>
      <c r="W18" s="152">
        <f t="shared" si="2"/>
        <v>17846800</v>
      </c>
    </row>
    <row r="19" spans="1:23" x14ac:dyDescent="0.2">
      <c r="A19" s="23" t="str">
        <f>Data!B15</f>
        <v>0234</v>
      </c>
      <c r="B19" s="21" t="str">
        <f>INDEX(Data[],MATCH($A19,Data[Dist],0),MATCH(B$5,Data[#Headers],0))</f>
        <v>Anamosa</v>
      </c>
      <c r="C19" s="22">
        <f>IF(Notes!$B$2="June",ROUND('Budget by Source'!C19/10,0)+P19,ROUND('Budget by Source'!C19/10,0))</f>
        <v>27367</v>
      </c>
      <c r="D19" s="22">
        <f>IF(Notes!$B$2="June",ROUND('Budget by Source'!D19/10,0)+Q19,ROUND('Budget by Source'!D19/10,0))</f>
        <v>85768</v>
      </c>
      <c r="E19" s="22">
        <f>IF(Notes!$B$2="June",ROUND('Budget by Source'!E19/10,0)+R19,ROUND('Budget by Source'!E19/10,0))</f>
        <v>9157</v>
      </c>
      <c r="F19" s="22">
        <f>IF(Notes!$B$2="June",ROUND('Budget by Source'!F19/10,0)+S19,ROUND('Budget by Source'!F19/10,0))</f>
        <v>10147</v>
      </c>
      <c r="G19" s="22">
        <f>IF(Notes!$B$2="June",ROUND('Budget by Source'!G19/10,0)+T19,ROUND('Budget by Source'!G19/10,0))</f>
        <v>46291</v>
      </c>
      <c r="H19" s="22">
        <f t="shared" si="0"/>
        <v>710515</v>
      </c>
      <c r="I19" s="22">
        <f>INDEX(Data[],MATCH($A19,Data[Dist],0),MATCH(I$5,Data[#Headers],0))</f>
        <v>889245</v>
      </c>
      <c r="K19" s="69">
        <f>INDEX('Payment Total'!$A$7:$H$331,MATCH('Payment by Source'!$A19,'Payment Total'!$A$7:$A$331,0),3)-I19</f>
        <v>0</v>
      </c>
      <c r="P19" s="154">
        <f>INDEX('Budget by Source'!$A$6:$I$330,MATCH('Payment by Source'!$A19,'Budget by Source'!$A$6:$A$330,0),MATCH(P$3,'Budget by Source'!$A$5:$I$5,0))-(ROUND(INDEX('Budget by Source'!$A$6:$I$330,MATCH('Payment by Source'!$A19,'Budget by Source'!$A$6:$A$330,0),MATCH(P$3,'Budget by Source'!$A$5:$I$5,0))/10,0)*10)</f>
        <v>-4</v>
      </c>
      <c r="Q19" s="154">
        <f>INDEX('Budget by Source'!$A$6:$I$330,MATCH('Payment by Source'!$A19,'Budget by Source'!$A$6:$A$330,0),MATCH(Q$3,'Budget by Source'!$A$5:$I$5,0))-(ROUND(INDEX('Budget by Source'!$A$6:$I$330,MATCH('Payment by Source'!$A19,'Budget by Source'!$A$6:$A$330,0),MATCH(Q$3,'Budget by Source'!$A$5:$I$5,0))/10,0)*10)</f>
        <v>-2</v>
      </c>
      <c r="R19" s="154">
        <f>INDEX('Budget by Source'!$A$6:$I$330,MATCH('Payment by Source'!$A19,'Budget by Source'!$A$6:$A$330,0),MATCH(R$3,'Budget by Source'!$A$5:$I$5,0))-(ROUND(INDEX('Budget by Source'!$A$6:$I$330,MATCH('Payment by Source'!$A19,'Budget by Source'!$A$6:$A$330,0),MATCH(R$3,'Budget by Source'!$A$5:$I$5,0))/10,0)*10)</f>
        <v>0</v>
      </c>
      <c r="S19" s="154">
        <f>INDEX('Budget by Source'!$A$6:$I$330,MATCH('Payment by Source'!$A19,'Budget by Source'!$A$6:$A$330,0),MATCH(S$3,'Budget by Source'!$A$5:$I$5,0))-(ROUND(INDEX('Budget by Source'!$A$6:$I$330,MATCH('Payment by Source'!$A19,'Budget by Source'!$A$6:$A$330,0),MATCH(S$3,'Budget by Source'!$A$5:$I$5,0))/10,0)*10)</f>
        <v>-2</v>
      </c>
      <c r="T19" s="154">
        <f>INDEX('Budget by Source'!$A$6:$I$330,MATCH('Payment by Source'!$A19,'Budget by Source'!$A$6:$A$330,0),MATCH(T$3,'Budget by Source'!$A$5:$I$5,0))-(ROUND(INDEX('Budget by Source'!$A$6:$I$330,MATCH('Payment by Source'!$A19,'Budget by Source'!$A$6:$A$330,0),MATCH(T$3,'Budget by Source'!$A$5:$I$5,0))/10,0)*10)</f>
        <v>1</v>
      </c>
      <c r="U19" s="155">
        <f>INDEX('Budget by Source'!$A$6:$I$330,MATCH('Payment by Source'!$A19,'Budget by Source'!$A$6:$A$330,0),MATCH(U$3,'Budget by Source'!$A$5:$I$5,0))</f>
        <v>7105156</v>
      </c>
      <c r="V19" s="152">
        <f t="shared" si="1"/>
        <v>710516</v>
      </c>
      <c r="W19" s="152">
        <f t="shared" si="2"/>
        <v>7105160</v>
      </c>
    </row>
    <row r="20" spans="1:23" x14ac:dyDescent="0.2">
      <c r="A20" s="23" t="str">
        <f>Data!B16</f>
        <v>0243</v>
      </c>
      <c r="B20" s="21" t="str">
        <f>INDEX(Data[],MATCH($A20,Data[Dist],0),MATCH(B$5,Data[#Headers],0))</f>
        <v>Andrew</v>
      </c>
      <c r="C20" s="22">
        <f>IF(Notes!$B$2="June",ROUND('Budget by Source'!C20/10,0)+P20,ROUND('Budget by Source'!C20/10,0))</f>
        <v>4181</v>
      </c>
      <c r="D20" s="22">
        <f>IF(Notes!$B$2="June",ROUND('Budget by Source'!D20/10,0)+Q20,ROUND('Budget by Source'!D20/10,0))</f>
        <v>16289</v>
      </c>
      <c r="E20" s="22">
        <f>IF(Notes!$B$2="June",ROUND('Budget by Source'!E20/10,0)+R20,ROUND('Budget by Source'!E20/10,0))</f>
        <v>2051</v>
      </c>
      <c r="F20" s="22">
        <f>IF(Notes!$B$2="June",ROUND('Budget by Source'!F20/10,0)+S20,ROUND('Budget by Source'!F20/10,0))</f>
        <v>1800</v>
      </c>
      <c r="G20" s="22">
        <f>IF(Notes!$B$2="June",ROUND('Budget by Source'!G20/10,0)+T20,ROUND('Budget by Source'!G20/10,0))</f>
        <v>8587</v>
      </c>
      <c r="H20" s="22">
        <f t="shared" si="0"/>
        <v>126251</v>
      </c>
      <c r="I20" s="22">
        <f>INDEX(Data[],MATCH($A20,Data[Dist],0),MATCH(I$5,Data[#Headers],0))</f>
        <v>159159</v>
      </c>
      <c r="K20" s="69">
        <f>INDEX('Payment Total'!$A$7:$H$331,MATCH('Payment by Source'!$A20,'Payment Total'!$A$7:$A$331,0),3)-I20</f>
        <v>0</v>
      </c>
      <c r="P20" s="154">
        <f>INDEX('Budget by Source'!$A$6:$I$330,MATCH('Payment by Source'!$A20,'Budget by Source'!$A$6:$A$330,0),MATCH(P$3,'Budget by Source'!$A$5:$I$5,0))-(ROUND(INDEX('Budget by Source'!$A$6:$I$330,MATCH('Payment by Source'!$A20,'Budget by Source'!$A$6:$A$330,0),MATCH(P$3,'Budget by Source'!$A$5:$I$5,0))/10,0)*10)</f>
        <v>1</v>
      </c>
      <c r="Q20" s="154">
        <f>INDEX('Budget by Source'!$A$6:$I$330,MATCH('Payment by Source'!$A20,'Budget by Source'!$A$6:$A$330,0),MATCH(Q$3,'Budget by Source'!$A$5:$I$5,0))-(ROUND(INDEX('Budget by Source'!$A$6:$I$330,MATCH('Payment by Source'!$A20,'Budget by Source'!$A$6:$A$330,0),MATCH(Q$3,'Budget by Source'!$A$5:$I$5,0))/10,0)*10)</f>
        <v>-2</v>
      </c>
      <c r="R20" s="154">
        <f>INDEX('Budget by Source'!$A$6:$I$330,MATCH('Payment by Source'!$A20,'Budget by Source'!$A$6:$A$330,0),MATCH(R$3,'Budget by Source'!$A$5:$I$5,0))-(ROUND(INDEX('Budget by Source'!$A$6:$I$330,MATCH('Payment by Source'!$A20,'Budget by Source'!$A$6:$A$330,0),MATCH(R$3,'Budget by Source'!$A$5:$I$5,0))/10,0)*10)</f>
        <v>-1</v>
      </c>
      <c r="S20" s="154">
        <f>INDEX('Budget by Source'!$A$6:$I$330,MATCH('Payment by Source'!$A20,'Budget by Source'!$A$6:$A$330,0),MATCH(S$3,'Budget by Source'!$A$5:$I$5,0))-(ROUND(INDEX('Budget by Source'!$A$6:$I$330,MATCH('Payment by Source'!$A20,'Budget by Source'!$A$6:$A$330,0),MATCH(S$3,'Budget by Source'!$A$5:$I$5,0))/10,0)*10)</f>
        <v>-1</v>
      </c>
      <c r="T20" s="154">
        <f>INDEX('Budget by Source'!$A$6:$I$330,MATCH('Payment by Source'!$A20,'Budget by Source'!$A$6:$A$330,0),MATCH(T$3,'Budget by Source'!$A$5:$I$5,0))-(ROUND(INDEX('Budget by Source'!$A$6:$I$330,MATCH('Payment by Source'!$A20,'Budget by Source'!$A$6:$A$330,0),MATCH(T$3,'Budget by Source'!$A$5:$I$5,0))/10,0)*10)</f>
        <v>-3</v>
      </c>
      <c r="U20" s="155">
        <f>INDEX('Budget by Source'!$A$6:$I$330,MATCH('Payment by Source'!$A20,'Budget by Source'!$A$6:$A$330,0),MATCH(U$3,'Budget by Source'!$A$5:$I$5,0))</f>
        <v>1262517</v>
      </c>
      <c r="V20" s="152">
        <f t="shared" si="1"/>
        <v>126252</v>
      </c>
      <c r="W20" s="152">
        <f t="shared" si="2"/>
        <v>1262520</v>
      </c>
    </row>
    <row r="21" spans="1:23" x14ac:dyDescent="0.2">
      <c r="A21" s="23" t="str">
        <f>Data!B17</f>
        <v>0261</v>
      </c>
      <c r="B21" s="21" t="str">
        <f>INDEX(Data[],MATCH($A21,Data[Dist],0),MATCH(B$5,Data[#Headers],0))</f>
        <v>Ankeny</v>
      </c>
      <c r="C21" s="22">
        <f>IF(Notes!$B$2="June",ROUND('Budget by Source'!C21/10,0)+P21,ROUND('Budget by Source'!C21/10,0))</f>
        <v>100724</v>
      </c>
      <c r="D21" s="22">
        <f>IF(Notes!$B$2="June",ROUND('Budget by Source'!D21/10,0)+Q21,ROUND('Budget by Source'!D21/10,0))</f>
        <v>764516</v>
      </c>
      <c r="E21" s="22">
        <f>IF(Notes!$B$2="June",ROUND('Budget by Source'!E21/10,0)+R21,ROUND('Budget by Source'!E21/10,0))</f>
        <v>89029</v>
      </c>
      <c r="F21" s="22">
        <f>IF(Notes!$B$2="June",ROUND('Budget by Source'!F21/10,0)+S21,ROUND('Budget by Source'!F21/10,0))</f>
        <v>84506</v>
      </c>
      <c r="G21" s="22">
        <f>IF(Notes!$B$2="June",ROUND('Budget by Source'!G21/10,0)+T21,ROUND('Budget by Source'!G21/10,0))</f>
        <v>466979</v>
      </c>
      <c r="H21" s="22">
        <f t="shared" si="0"/>
        <v>7075071</v>
      </c>
      <c r="I21" s="22">
        <f>INDEX(Data[],MATCH($A21,Data[Dist],0),MATCH(I$5,Data[#Headers],0))</f>
        <v>8580825</v>
      </c>
      <c r="K21" s="69">
        <f>INDEX('Payment Total'!$A$7:$H$331,MATCH('Payment by Source'!$A21,'Payment Total'!$A$7:$A$331,0),3)-I21</f>
        <v>0</v>
      </c>
      <c r="P21" s="154">
        <f>INDEX('Budget by Source'!$A$6:$I$330,MATCH('Payment by Source'!$A21,'Budget by Source'!$A$6:$A$330,0),MATCH(P$3,'Budget by Source'!$A$5:$I$5,0))-(ROUND(INDEX('Budget by Source'!$A$6:$I$330,MATCH('Payment by Source'!$A21,'Budget by Source'!$A$6:$A$330,0),MATCH(P$3,'Budget by Source'!$A$5:$I$5,0))/10,0)*10)</f>
        <v>3</v>
      </c>
      <c r="Q21" s="154">
        <f>INDEX('Budget by Source'!$A$6:$I$330,MATCH('Payment by Source'!$A21,'Budget by Source'!$A$6:$A$330,0),MATCH(Q$3,'Budget by Source'!$A$5:$I$5,0))-(ROUND(INDEX('Budget by Source'!$A$6:$I$330,MATCH('Payment by Source'!$A21,'Budget by Source'!$A$6:$A$330,0),MATCH(Q$3,'Budget by Source'!$A$5:$I$5,0))/10,0)*10)</f>
        <v>2</v>
      </c>
      <c r="R21" s="154">
        <f>INDEX('Budget by Source'!$A$6:$I$330,MATCH('Payment by Source'!$A21,'Budget by Source'!$A$6:$A$330,0),MATCH(R$3,'Budget by Source'!$A$5:$I$5,0))-(ROUND(INDEX('Budget by Source'!$A$6:$I$330,MATCH('Payment by Source'!$A21,'Budget by Source'!$A$6:$A$330,0),MATCH(R$3,'Budget by Source'!$A$5:$I$5,0))/10,0)*10)</f>
        <v>3</v>
      </c>
      <c r="S21" s="154">
        <f>INDEX('Budget by Source'!$A$6:$I$330,MATCH('Payment by Source'!$A21,'Budget by Source'!$A$6:$A$330,0),MATCH(S$3,'Budget by Source'!$A$5:$I$5,0))-(ROUND(INDEX('Budget by Source'!$A$6:$I$330,MATCH('Payment by Source'!$A21,'Budget by Source'!$A$6:$A$330,0),MATCH(S$3,'Budget by Source'!$A$5:$I$5,0))/10,0)*10)</f>
        <v>-4</v>
      </c>
      <c r="T21" s="154">
        <f>INDEX('Budget by Source'!$A$6:$I$330,MATCH('Payment by Source'!$A21,'Budget by Source'!$A$6:$A$330,0),MATCH(T$3,'Budget by Source'!$A$5:$I$5,0))-(ROUND(INDEX('Budget by Source'!$A$6:$I$330,MATCH('Payment by Source'!$A21,'Budget by Source'!$A$6:$A$330,0),MATCH(T$3,'Budget by Source'!$A$5:$I$5,0))/10,0)*10)</f>
        <v>1</v>
      </c>
      <c r="U21" s="155">
        <f>INDEX('Budget by Source'!$A$6:$I$330,MATCH('Payment by Source'!$A21,'Budget by Source'!$A$6:$A$330,0),MATCH(U$3,'Budget by Source'!$A$5:$I$5,0))</f>
        <v>70750701</v>
      </c>
      <c r="V21" s="152">
        <f t="shared" si="1"/>
        <v>7075070</v>
      </c>
      <c r="W21" s="152">
        <f t="shared" si="2"/>
        <v>70750700</v>
      </c>
    </row>
    <row r="22" spans="1:23" x14ac:dyDescent="0.2">
      <c r="A22" s="23" t="str">
        <f>Data!B18</f>
        <v>0279</v>
      </c>
      <c r="B22" s="21" t="str">
        <f>INDEX(Data[],MATCH($A22,Data[Dist],0),MATCH(B$5,Data[#Headers],0))</f>
        <v>Aplington-Parkersburg</v>
      </c>
      <c r="C22" s="22">
        <f>IF(Notes!$B$2="June",ROUND('Budget by Source'!C22/10,0)+P22,ROUND('Budget by Source'!C22/10,0))</f>
        <v>12923</v>
      </c>
      <c r="D22" s="22">
        <f>IF(Notes!$B$2="June",ROUND('Budget by Source'!D22/10,0)+Q22,ROUND('Budget by Source'!D22/10,0))</f>
        <v>55396</v>
      </c>
      <c r="E22" s="22">
        <f>IF(Notes!$B$2="June",ROUND('Budget by Source'!E22/10,0)+R22,ROUND('Budget by Source'!E22/10,0))</f>
        <v>7212</v>
      </c>
      <c r="F22" s="22">
        <f>IF(Notes!$B$2="June",ROUND('Budget by Source'!F22/10,0)+S22,ROUND('Budget by Source'!F22/10,0))</f>
        <v>6189</v>
      </c>
      <c r="G22" s="22">
        <f>IF(Notes!$B$2="June",ROUND('Budget by Source'!G22/10,0)+T22,ROUND('Budget by Source'!G22/10,0))</f>
        <v>29969</v>
      </c>
      <c r="H22" s="22">
        <f t="shared" si="0"/>
        <v>465722</v>
      </c>
      <c r="I22" s="22">
        <f>INDEX(Data[],MATCH($A22,Data[Dist],0),MATCH(I$5,Data[#Headers],0))</f>
        <v>577411</v>
      </c>
      <c r="K22" s="69">
        <f>INDEX('Payment Total'!$A$7:$H$331,MATCH('Payment by Source'!$A22,'Payment Total'!$A$7:$A$331,0),3)-I22</f>
        <v>0</v>
      </c>
      <c r="P22" s="154">
        <f>INDEX('Budget by Source'!$A$6:$I$330,MATCH('Payment by Source'!$A22,'Budget by Source'!$A$6:$A$330,0),MATCH(P$3,'Budget by Source'!$A$5:$I$5,0))-(ROUND(INDEX('Budget by Source'!$A$6:$I$330,MATCH('Payment by Source'!$A22,'Budget by Source'!$A$6:$A$330,0),MATCH(P$3,'Budget by Source'!$A$5:$I$5,0))/10,0)*10)</f>
        <v>1</v>
      </c>
      <c r="Q22" s="154">
        <f>INDEX('Budget by Source'!$A$6:$I$330,MATCH('Payment by Source'!$A22,'Budget by Source'!$A$6:$A$330,0),MATCH(Q$3,'Budget by Source'!$A$5:$I$5,0))-(ROUND(INDEX('Budget by Source'!$A$6:$I$330,MATCH('Payment by Source'!$A22,'Budget by Source'!$A$6:$A$330,0),MATCH(Q$3,'Budget by Source'!$A$5:$I$5,0))/10,0)*10)</f>
        <v>0</v>
      </c>
      <c r="R22" s="154">
        <f>INDEX('Budget by Source'!$A$6:$I$330,MATCH('Payment by Source'!$A22,'Budget by Source'!$A$6:$A$330,0),MATCH(R$3,'Budget by Source'!$A$5:$I$5,0))-(ROUND(INDEX('Budget by Source'!$A$6:$I$330,MATCH('Payment by Source'!$A22,'Budget by Source'!$A$6:$A$330,0),MATCH(R$3,'Budget by Source'!$A$5:$I$5,0))/10,0)*10)</f>
        <v>3</v>
      </c>
      <c r="S22" s="154">
        <f>INDEX('Budget by Source'!$A$6:$I$330,MATCH('Payment by Source'!$A22,'Budget by Source'!$A$6:$A$330,0),MATCH(S$3,'Budget by Source'!$A$5:$I$5,0))-(ROUND(INDEX('Budget by Source'!$A$6:$I$330,MATCH('Payment by Source'!$A22,'Budget by Source'!$A$6:$A$330,0),MATCH(S$3,'Budget by Source'!$A$5:$I$5,0))/10,0)*10)</f>
        <v>3</v>
      </c>
      <c r="T22" s="154">
        <f>INDEX('Budget by Source'!$A$6:$I$330,MATCH('Payment by Source'!$A22,'Budget by Source'!$A$6:$A$330,0),MATCH(T$3,'Budget by Source'!$A$5:$I$5,0))-(ROUND(INDEX('Budget by Source'!$A$6:$I$330,MATCH('Payment by Source'!$A22,'Budget by Source'!$A$6:$A$330,0),MATCH(T$3,'Budget by Source'!$A$5:$I$5,0))/10,0)*10)</f>
        <v>-1</v>
      </c>
      <c r="U22" s="155">
        <f>INDEX('Budget by Source'!$A$6:$I$330,MATCH('Payment by Source'!$A22,'Budget by Source'!$A$6:$A$330,0),MATCH(U$3,'Budget by Source'!$A$5:$I$5,0))</f>
        <v>4657212</v>
      </c>
      <c r="V22" s="152">
        <f t="shared" si="1"/>
        <v>465721</v>
      </c>
      <c r="W22" s="152">
        <f t="shared" si="2"/>
        <v>4657210</v>
      </c>
    </row>
    <row r="23" spans="1:23" x14ac:dyDescent="0.2">
      <c r="A23" s="23" t="str">
        <f>Data!B19</f>
        <v>0333</v>
      </c>
      <c r="B23" s="21" t="str">
        <f>INDEX(Data[],MATCH($A23,Data[Dist],0),MATCH(B$5,Data[#Headers],0))</f>
        <v>North Union</v>
      </c>
      <c r="C23" s="22">
        <f>IF(Notes!$B$2="June",ROUND('Budget by Source'!C23/10,0)+P23,ROUND('Budget by Source'!C23/10,0))</f>
        <v>7222</v>
      </c>
      <c r="D23" s="22">
        <f>IF(Notes!$B$2="June",ROUND('Budget by Source'!D23/10,0)+Q23,ROUND('Budget by Source'!D23/10,0))</f>
        <v>30244</v>
      </c>
      <c r="E23" s="22">
        <f>IF(Notes!$B$2="June",ROUND('Budget by Source'!E23/10,0)+R23,ROUND('Budget by Source'!E23/10,0))</f>
        <v>3672</v>
      </c>
      <c r="F23" s="22">
        <f>IF(Notes!$B$2="June",ROUND('Budget by Source'!F23/10,0)+S23,ROUND('Budget by Source'!F23/10,0))</f>
        <v>3405</v>
      </c>
      <c r="G23" s="22">
        <f>IF(Notes!$B$2="June",ROUND('Budget by Source'!G23/10,0)+T23,ROUND('Budget by Source'!G23/10,0))</f>
        <v>14815</v>
      </c>
      <c r="H23" s="22">
        <f t="shared" si="0"/>
        <v>109432</v>
      </c>
      <c r="I23" s="22">
        <f>INDEX(Data[],MATCH($A23,Data[Dist],0),MATCH(I$5,Data[#Headers],0))</f>
        <v>168790</v>
      </c>
      <c r="K23" s="69">
        <f>INDEX('Payment Total'!$A$7:$H$331,MATCH('Payment by Source'!$A23,'Payment Total'!$A$7:$A$331,0),3)-I23</f>
        <v>0</v>
      </c>
      <c r="P23" s="154">
        <f>INDEX('Budget by Source'!$A$6:$I$330,MATCH('Payment by Source'!$A23,'Budget by Source'!$A$6:$A$330,0),MATCH(P$3,'Budget by Source'!$A$5:$I$5,0))-(ROUND(INDEX('Budget by Source'!$A$6:$I$330,MATCH('Payment by Source'!$A23,'Budget by Source'!$A$6:$A$330,0),MATCH(P$3,'Budget by Source'!$A$5:$I$5,0))/10,0)*10)</f>
        <v>-2</v>
      </c>
      <c r="Q23" s="154">
        <f>INDEX('Budget by Source'!$A$6:$I$330,MATCH('Payment by Source'!$A23,'Budget by Source'!$A$6:$A$330,0),MATCH(Q$3,'Budget by Source'!$A$5:$I$5,0))-(ROUND(INDEX('Budget by Source'!$A$6:$I$330,MATCH('Payment by Source'!$A23,'Budget by Source'!$A$6:$A$330,0),MATCH(Q$3,'Budget by Source'!$A$5:$I$5,0))/10,0)*10)</f>
        <v>-3</v>
      </c>
      <c r="R23" s="154">
        <f>INDEX('Budget by Source'!$A$6:$I$330,MATCH('Payment by Source'!$A23,'Budget by Source'!$A$6:$A$330,0),MATCH(R$3,'Budget by Source'!$A$5:$I$5,0))-(ROUND(INDEX('Budget by Source'!$A$6:$I$330,MATCH('Payment by Source'!$A23,'Budget by Source'!$A$6:$A$330,0),MATCH(R$3,'Budget by Source'!$A$5:$I$5,0))/10,0)*10)</f>
        <v>3</v>
      </c>
      <c r="S23" s="154">
        <f>INDEX('Budget by Source'!$A$6:$I$330,MATCH('Payment by Source'!$A23,'Budget by Source'!$A$6:$A$330,0),MATCH(S$3,'Budget by Source'!$A$5:$I$5,0))-(ROUND(INDEX('Budget by Source'!$A$6:$I$330,MATCH('Payment by Source'!$A23,'Budget by Source'!$A$6:$A$330,0),MATCH(S$3,'Budget by Source'!$A$5:$I$5,0))/10,0)*10)</f>
        <v>-1</v>
      </c>
      <c r="T23" s="154">
        <f>INDEX('Budget by Source'!$A$6:$I$330,MATCH('Payment by Source'!$A23,'Budget by Source'!$A$6:$A$330,0),MATCH(T$3,'Budget by Source'!$A$5:$I$5,0))-(ROUND(INDEX('Budget by Source'!$A$6:$I$330,MATCH('Payment by Source'!$A23,'Budget by Source'!$A$6:$A$330,0),MATCH(T$3,'Budget by Source'!$A$5:$I$5,0))/10,0)*10)</f>
        <v>-1</v>
      </c>
      <c r="U23" s="155">
        <f>INDEX('Budget by Source'!$A$6:$I$330,MATCH('Payment by Source'!$A23,'Budget by Source'!$A$6:$A$330,0),MATCH(U$3,'Budget by Source'!$A$5:$I$5,0))</f>
        <v>1094324</v>
      </c>
      <c r="V23" s="152">
        <f t="shared" si="1"/>
        <v>109432</v>
      </c>
      <c r="W23" s="152">
        <f t="shared" si="2"/>
        <v>1094320</v>
      </c>
    </row>
    <row r="24" spans="1:23" x14ac:dyDescent="0.2">
      <c r="A24" s="23" t="str">
        <f>Data!B20</f>
        <v>0355</v>
      </c>
      <c r="B24" s="21" t="str">
        <f>INDEX(Data[],MATCH($A24,Data[Dist],0),MATCH(B$5,Data[#Headers],0))</f>
        <v>Ar-We-Va</v>
      </c>
      <c r="C24" s="22">
        <f>IF(Notes!$B$2="June",ROUND('Budget by Source'!C24/10,0)+P24,ROUND('Budget by Source'!C24/10,0))</f>
        <v>6462</v>
      </c>
      <c r="D24" s="22">
        <f>IF(Notes!$B$2="June",ROUND('Budget by Source'!D24/10,0)+Q24,ROUND('Budget by Source'!D24/10,0))</f>
        <v>18872</v>
      </c>
      <c r="E24" s="22">
        <f>IF(Notes!$B$2="June",ROUND('Budget by Source'!E24/10,0)+R24,ROUND('Budget by Source'!E24/10,0))</f>
        <v>1941</v>
      </c>
      <c r="F24" s="22">
        <f>IF(Notes!$B$2="June",ROUND('Budget by Source'!F24/10,0)+S24,ROUND('Budget by Source'!F24/10,0))</f>
        <v>1883</v>
      </c>
      <c r="G24" s="22">
        <f>IF(Notes!$B$2="June",ROUND('Budget by Source'!G24/10,0)+T24,ROUND('Budget by Source'!G24/10,0))</f>
        <v>10179</v>
      </c>
      <c r="H24" s="22">
        <f t="shared" si="0"/>
        <v>79503</v>
      </c>
      <c r="I24" s="22">
        <f>INDEX(Data[],MATCH($A24,Data[Dist],0),MATCH(I$5,Data[#Headers],0))</f>
        <v>118840</v>
      </c>
      <c r="K24" s="69">
        <f>INDEX('Payment Total'!$A$7:$H$331,MATCH('Payment by Source'!$A24,'Payment Total'!$A$7:$A$331,0),3)-I24</f>
        <v>0</v>
      </c>
      <c r="P24" s="154">
        <f>INDEX('Budget by Source'!$A$6:$I$330,MATCH('Payment by Source'!$A24,'Budget by Source'!$A$6:$A$330,0),MATCH(P$3,'Budget by Source'!$A$5:$I$5,0))-(ROUND(INDEX('Budget by Source'!$A$6:$I$330,MATCH('Payment by Source'!$A24,'Budget by Source'!$A$6:$A$330,0),MATCH(P$3,'Budget by Source'!$A$5:$I$5,0))/10,0)*10)</f>
        <v>-4</v>
      </c>
      <c r="Q24" s="154">
        <f>INDEX('Budget by Source'!$A$6:$I$330,MATCH('Payment by Source'!$A24,'Budget by Source'!$A$6:$A$330,0),MATCH(Q$3,'Budget by Source'!$A$5:$I$5,0))-(ROUND(INDEX('Budget by Source'!$A$6:$I$330,MATCH('Payment by Source'!$A24,'Budget by Source'!$A$6:$A$330,0),MATCH(Q$3,'Budget by Source'!$A$5:$I$5,0))/10,0)*10)</f>
        <v>-1</v>
      </c>
      <c r="R24" s="154">
        <f>INDEX('Budget by Source'!$A$6:$I$330,MATCH('Payment by Source'!$A24,'Budget by Source'!$A$6:$A$330,0),MATCH(R$3,'Budget by Source'!$A$5:$I$5,0))-(ROUND(INDEX('Budget by Source'!$A$6:$I$330,MATCH('Payment by Source'!$A24,'Budget by Source'!$A$6:$A$330,0),MATCH(R$3,'Budget by Source'!$A$5:$I$5,0))/10,0)*10)</f>
        <v>4</v>
      </c>
      <c r="S24" s="154">
        <f>INDEX('Budget by Source'!$A$6:$I$330,MATCH('Payment by Source'!$A24,'Budget by Source'!$A$6:$A$330,0),MATCH(S$3,'Budget by Source'!$A$5:$I$5,0))-(ROUND(INDEX('Budget by Source'!$A$6:$I$330,MATCH('Payment by Source'!$A24,'Budget by Source'!$A$6:$A$330,0),MATCH(S$3,'Budget by Source'!$A$5:$I$5,0))/10,0)*10)</f>
        <v>-4</v>
      </c>
      <c r="T24" s="154">
        <f>INDEX('Budget by Source'!$A$6:$I$330,MATCH('Payment by Source'!$A24,'Budget by Source'!$A$6:$A$330,0),MATCH(T$3,'Budget by Source'!$A$5:$I$5,0))-(ROUND(INDEX('Budget by Source'!$A$6:$I$330,MATCH('Payment by Source'!$A24,'Budget by Source'!$A$6:$A$330,0),MATCH(T$3,'Budget by Source'!$A$5:$I$5,0))/10,0)*10)</f>
        <v>-2</v>
      </c>
      <c r="U24" s="155">
        <f>INDEX('Budget by Source'!$A$6:$I$330,MATCH('Payment by Source'!$A24,'Budget by Source'!$A$6:$A$330,0),MATCH(U$3,'Budget by Source'!$A$5:$I$5,0))</f>
        <v>795034</v>
      </c>
      <c r="V24" s="152">
        <f t="shared" si="1"/>
        <v>79503</v>
      </c>
      <c r="W24" s="152">
        <f t="shared" si="2"/>
        <v>795030</v>
      </c>
    </row>
    <row r="25" spans="1:23" x14ac:dyDescent="0.2">
      <c r="A25" s="23" t="str">
        <f>Data!B21</f>
        <v>0387</v>
      </c>
      <c r="B25" s="21" t="str">
        <f>INDEX(Data[],MATCH($A25,Data[Dist],0),MATCH(B$5,Data[#Headers],0))</f>
        <v>Atlantic</v>
      </c>
      <c r="C25" s="22">
        <f>IF(Notes!$B$2="June",ROUND('Budget by Source'!C25/10,0)+P25,ROUND('Budget by Source'!C25/10,0))</f>
        <v>31928</v>
      </c>
      <c r="D25" s="22">
        <f>IF(Notes!$B$2="June",ROUND('Budget by Source'!D25/10,0)+Q25,ROUND('Budget by Source'!D25/10,0))</f>
        <v>93993</v>
      </c>
      <c r="E25" s="22">
        <f>IF(Notes!$B$2="June",ROUND('Budget by Source'!E25/10,0)+R25,ROUND('Budget by Source'!E25/10,0))</f>
        <v>12258</v>
      </c>
      <c r="F25" s="22">
        <f>IF(Notes!$B$2="June",ROUND('Budget by Source'!F25/10,0)+S25,ROUND('Budget by Source'!F25/10,0))</f>
        <v>10977</v>
      </c>
      <c r="G25" s="22">
        <f>IF(Notes!$B$2="June",ROUND('Budget by Source'!G25/10,0)+T25,ROUND('Budget by Source'!G25/10,0))</f>
        <v>51664</v>
      </c>
      <c r="H25" s="22">
        <f t="shared" si="0"/>
        <v>873614</v>
      </c>
      <c r="I25" s="22">
        <f>INDEX(Data[],MATCH($A25,Data[Dist],0),MATCH(I$5,Data[#Headers],0))</f>
        <v>1074434</v>
      </c>
      <c r="K25" s="69">
        <f>INDEX('Payment Total'!$A$7:$H$331,MATCH('Payment by Source'!$A25,'Payment Total'!$A$7:$A$331,0),3)-I25</f>
        <v>0</v>
      </c>
      <c r="P25" s="154">
        <f>INDEX('Budget by Source'!$A$6:$I$330,MATCH('Payment by Source'!$A25,'Budget by Source'!$A$6:$A$330,0),MATCH(P$3,'Budget by Source'!$A$5:$I$5,0))-(ROUND(INDEX('Budget by Source'!$A$6:$I$330,MATCH('Payment by Source'!$A25,'Budget by Source'!$A$6:$A$330,0),MATCH(P$3,'Budget by Source'!$A$5:$I$5,0))/10,0)*10)</f>
        <v>-3</v>
      </c>
      <c r="Q25" s="154">
        <f>INDEX('Budget by Source'!$A$6:$I$330,MATCH('Payment by Source'!$A25,'Budget by Source'!$A$6:$A$330,0),MATCH(Q$3,'Budget by Source'!$A$5:$I$5,0))-(ROUND(INDEX('Budget by Source'!$A$6:$I$330,MATCH('Payment by Source'!$A25,'Budget by Source'!$A$6:$A$330,0),MATCH(Q$3,'Budget by Source'!$A$5:$I$5,0))/10,0)*10)</f>
        <v>2</v>
      </c>
      <c r="R25" s="154">
        <f>INDEX('Budget by Source'!$A$6:$I$330,MATCH('Payment by Source'!$A25,'Budget by Source'!$A$6:$A$330,0),MATCH(R$3,'Budget by Source'!$A$5:$I$5,0))-(ROUND(INDEX('Budget by Source'!$A$6:$I$330,MATCH('Payment by Source'!$A25,'Budget by Source'!$A$6:$A$330,0),MATCH(R$3,'Budget by Source'!$A$5:$I$5,0))/10,0)*10)</f>
        <v>2</v>
      </c>
      <c r="S25" s="154">
        <f>INDEX('Budget by Source'!$A$6:$I$330,MATCH('Payment by Source'!$A25,'Budget by Source'!$A$6:$A$330,0),MATCH(S$3,'Budget by Source'!$A$5:$I$5,0))-(ROUND(INDEX('Budget by Source'!$A$6:$I$330,MATCH('Payment by Source'!$A25,'Budget by Source'!$A$6:$A$330,0),MATCH(S$3,'Budget by Source'!$A$5:$I$5,0))/10,0)*10)</f>
        <v>-1</v>
      </c>
      <c r="T25" s="154">
        <f>INDEX('Budget by Source'!$A$6:$I$330,MATCH('Payment by Source'!$A25,'Budget by Source'!$A$6:$A$330,0),MATCH(T$3,'Budget by Source'!$A$5:$I$5,0))-(ROUND(INDEX('Budget by Source'!$A$6:$I$330,MATCH('Payment by Source'!$A25,'Budget by Source'!$A$6:$A$330,0),MATCH(T$3,'Budget by Source'!$A$5:$I$5,0))/10,0)*10)</f>
        <v>2</v>
      </c>
      <c r="U25" s="155">
        <f>INDEX('Budget by Source'!$A$6:$I$330,MATCH('Payment by Source'!$A25,'Budget by Source'!$A$6:$A$330,0),MATCH(U$3,'Budget by Source'!$A$5:$I$5,0))</f>
        <v>8736142</v>
      </c>
      <c r="V25" s="152">
        <f t="shared" si="1"/>
        <v>873614</v>
      </c>
      <c r="W25" s="152">
        <f t="shared" si="2"/>
        <v>8736140</v>
      </c>
    </row>
    <row r="26" spans="1:23" x14ac:dyDescent="0.2">
      <c r="A26" s="23" t="str">
        <f>Data!B22</f>
        <v>0414</v>
      </c>
      <c r="B26" s="21" t="str">
        <f>INDEX(Data[],MATCH($A26,Data[Dist],0),MATCH(B$5,Data[#Headers],0))</f>
        <v>Audubon</v>
      </c>
      <c r="C26" s="22">
        <f>IF(Notes!$B$2="June",ROUND('Budget by Source'!C26/10,0)+P26,ROUND('Budget by Source'!C26/10,0))</f>
        <v>14444</v>
      </c>
      <c r="D26" s="22">
        <f>IF(Notes!$B$2="June",ROUND('Budget by Source'!D26/10,0)+Q26,ROUND('Budget by Source'!D26/10,0))</f>
        <v>34786</v>
      </c>
      <c r="E26" s="22">
        <f>IF(Notes!$B$2="June",ROUND('Budget by Source'!E26/10,0)+R26,ROUND('Budget by Source'!E26/10,0))</f>
        <v>3635</v>
      </c>
      <c r="F26" s="22">
        <f>IF(Notes!$B$2="June",ROUND('Budget by Source'!F26/10,0)+S26,ROUND('Budget by Source'!F26/10,0))</f>
        <v>3964</v>
      </c>
      <c r="G26" s="22">
        <f>IF(Notes!$B$2="June",ROUND('Budget by Source'!G26/10,0)+T26,ROUND('Budget by Source'!G26/10,0))</f>
        <v>18817</v>
      </c>
      <c r="H26" s="22">
        <f t="shared" si="0"/>
        <v>257054</v>
      </c>
      <c r="I26" s="22">
        <f>INDEX(Data[],MATCH($A26,Data[Dist],0),MATCH(I$5,Data[#Headers],0))</f>
        <v>332700</v>
      </c>
      <c r="K26" s="69">
        <f>INDEX('Payment Total'!$A$7:$H$331,MATCH('Payment by Source'!$A26,'Payment Total'!$A$7:$A$331,0),3)-I26</f>
        <v>0</v>
      </c>
      <c r="P26" s="154">
        <f>INDEX('Budget by Source'!$A$6:$I$330,MATCH('Payment by Source'!$A26,'Budget by Source'!$A$6:$A$330,0),MATCH(P$3,'Budget by Source'!$A$5:$I$5,0))-(ROUND(INDEX('Budget by Source'!$A$6:$I$330,MATCH('Payment by Source'!$A26,'Budget by Source'!$A$6:$A$330,0),MATCH(P$3,'Budget by Source'!$A$5:$I$5,0))/10,0)*10)</f>
        <v>-5</v>
      </c>
      <c r="Q26" s="154">
        <f>INDEX('Budget by Source'!$A$6:$I$330,MATCH('Payment by Source'!$A26,'Budget by Source'!$A$6:$A$330,0),MATCH(Q$3,'Budget by Source'!$A$5:$I$5,0))-(ROUND(INDEX('Budget by Source'!$A$6:$I$330,MATCH('Payment by Source'!$A26,'Budget by Source'!$A$6:$A$330,0),MATCH(Q$3,'Budget by Source'!$A$5:$I$5,0))/10,0)*10)</f>
        <v>-4</v>
      </c>
      <c r="R26" s="154">
        <f>INDEX('Budget by Source'!$A$6:$I$330,MATCH('Payment by Source'!$A26,'Budget by Source'!$A$6:$A$330,0),MATCH(R$3,'Budget by Source'!$A$5:$I$5,0))-(ROUND(INDEX('Budget by Source'!$A$6:$I$330,MATCH('Payment by Source'!$A26,'Budget by Source'!$A$6:$A$330,0),MATCH(R$3,'Budget by Source'!$A$5:$I$5,0))/10,0)*10)</f>
        <v>-5</v>
      </c>
      <c r="S26" s="154">
        <f>INDEX('Budget by Source'!$A$6:$I$330,MATCH('Payment by Source'!$A26,'Budget by Source'!$A$6:$A$330,0),MATCH(S$3,'Budget by Source'!$A$5:$I$5,0))-(ROUND(INDEX('Budget by Source'!$A$6:$I$330,MATCH('Payment by Source'!$A26,'Budget by Source'!$A$6:$A$330,0),MATCH(S$3,'Budget by Source'!$A$5:$I$5,0))/10,0)*10)</f>
        <v>3</v>
      </c>
      <c r="T26" s="154">
        <f>INDEX('Budget by Source'!$A$6:$I$330,MATCH('Payment by Source'!$A26,'Budget by Source'!$A$6:$A$330,0),MATCH(T$3,'Budget by Source'!$A$5:$I$5,0))-(ROUND(INDEX('Budget by Source'!$A$6:$I$330,MATCH('Payment by Source'!$A26,'Budget by Source'!$A$6:$A$330,0),MATCH(T$3,'Budget by Source'!$A$5:$I$5,0))/10,0)*10)</f>
        <v>1</v>
      </c>
      <c r="U26" s="155">
        <f>INDEX('Budget by Source'!$A$6:$I$330,MATCH('Payment by Source'!$A26,'Budget by Source'!$A$6:$A$330,0),MATCH(U$3,'Budget by Source'!$A$5:$I$5,0))</f>
        <v>2570552</v>
      </c>
      <c r="V26" s="152">
        <f t="shared" si="1"/>
        <v>257055</v>
      </c>
      <c r="W26" s="152">
        <f t="shared" si="2"/>
        <v>2570550</v>
      </c>
    </row>
    <row r="27" spans="1:23" x14ac:dyDescent="0.2">
      <c r="A27" s="23" t="str">
        <f>Data!B23</f>
        <v>0441</v>
      </c>
      <c r="B27" s="21" t="str">
        <f>INDEX(Data[],MATCH($A27,Data[Dist],0),MATCH(B$5,Data[#Headers],0))</f>
        <v>AHSTW</v>
      </c>
      <c r="C27" s="22">
        <f>IF(Notes!$B$2="June",ROUND('Budget by Source'!C27/10,0)+P27,ROUND('Budget by Source'!C27/10,0))</f>
        <v>15964</v>
      </c>
      <c r="D27" s="22">
        <f>IF(Notes!$B$2="June",ROUND('Budget by Source'!D27/10,0)+Q27,ROUND('Budget by Source'!D27/10,0))</f>
        <v>49051</v>
      </c>
      <c r="E27" s="22">
        <f>IF(Notes!$B$2="June",ROUND('Budget by Source'!E27/10,0)+R27,ROUND('Budget by Source'!E27/10,0))</f>
        <v>5547</v>
      </c>
      <c r="F27" s="22">
        <f>IF(Notes!$B$2="June",ROUND('Budget by Source'!F27/10,0)+S27,ROUND('Budget by Source'!F27/10,0))</f>
        <v>4997</v>
      </c>
      <c r="G27" s="22">
        <f>IF(Notes!$B$2="June",ROUND('Budget by Source'!G27/10,0)+T27,ROUND('Budget by Source'!G27/10,0))</f>
        <v>29210</v>
      </c>
      <c r="H27" s="22">
        <f t="shared" si="0"/>
        <v>312693</v>
      </c>
      <c r="I27" s="22">
        <f>INDEX(Data[],MATCH($A27,Data[Dist],0),MATCH(I$5,Data[#Headers],0))</f>
        <v>417462</v>
      </c>
      <c r="K27" s="69">
        <f>INDEX('Payment Total'!$A$7:$H$331,MATCH('Payment by Source'!$A27,'Payment Total'!$A$7:$A$331,0),3)-I27</f>
        <v>0</v>
      </c>
      <c r="P27" s="154">
        <f>INDEX('Budget by Source'!$A$6:$I$330,MATCH('Payment by Source'!$A27,'Budget by Source'!$A$6:$A$330,0),MATCH(P$3,'Budget by Source'!$A$5:$I$5,0))-(ROUND(INDEX('Budget by Source'!$A$6:$I$330,MATCH('Payment by Source'!$A27,'Budget by Source'!$A$6:$A$330,0),MATCH(P$3,'Budget by Source'!$A$5:$I$5,0))/10,0)*10)</f>
        <v>-2</v>
      </c>
      <c r="Q27" s="154">
        <f>INDEX('Budget by Source'!$A$6:$I$330,MATCH('Payment by Source'!$A27,'Budget by Source'!$A$6:$A$330,0),MATCH(Q$3,'Budget by Source'!$A$5:$I$5,0))-(ROUND(INDEX('Budget by Source'!$A$6:$I$330,MATCH('Payment by Source'!$A27,'Budget by Source'!$A$6:$A$330,0),MATCH(Q$3,'Budget by Source'!$A$5:$I$5,0))/10,0)*10)</f>
        <v>-2</v>
      </c>
      <c r="R27" s="154">
        <f>INDEX('Budget by Source'!$A$6:$I$330,MATCH('Payment by Source'!$A27,'Budget by Source'!$A$6:$A$330,0),MATCH(R$3,'Budget by Source'!$A$5:$I$5,0))-(ROUND(INDEX('Budget by Source'!$A$6:$I$330,MATCH('Payment by Source'!$A27,'Budget by Source'!$A$6:$A$330,0),MATCH(R$3,'Budget by Source'!$A$5:$I$5,0))/10,0)*10)</f>
        <v>-4</v>
      </c>
      <c r="S27" s="154">
        <f>INDEX('Budget by Source'!$A$6:$I$330,MATCH('Payment by Source'!$A27,'Budget by Source'!$A$6:$A$330,0),MATCH(S$3,'Budget by Source'!$A$5:$I$5,0))-(ROUND(INDEX('Budget by Source'!$A$6:$I$330,MATCH('Payment by Source'!$A27,'Budget by Source'!$A$6:$A$330,0),MATCH(S$3,'Budget by Source'!$A$5:$I$5,0))/10,0)*10)</f>
        <v>3</v>
      </c>
      <c r="T27" s="154">
        <f>INDEX('Budget by Source'!$A$6:$I$330,MATCH('Payment by Source'!$A27,'Budget by Source'!$A$6:$A$330,0),MATCH(T$3,'Budget by Source'!$A$5:$I$5,0))-(ROUND(INDEX('Budget by Source'!$A$6:$I$330,MATCH('Payment by Source'!$A27,'Budget by Source'!$A$6:$A$330,0),MATCH(T$3,'Budget by Source'!$A$5:$I$5,0))/10,0)*10)</f>
        <v>-3</v>
      </c>
      <c r="U27" s="155">
        <f>INDEX('Budget by Source'!$A$6:$I$330,MATCH('Payment by Source'!$A27,'Budget by Source'!$A$6:$A$330,0),MATCH(U$3,'Budget by Source'!$A$5:$I$5,0))</f>
        <v>3126937</v>
      </c>
      <c r="V27" s="152">
        <f t="shared" si="1"/>
        <v>312694</v>
      </c>
      <c r="W27" s="152">
        <f t="shared" si="2"/>
        <v>3126940</v>
      </c>
    </row>
    <row r="28" spans="1:23" x14ac:dyDescent="0.2">
      <c r="A28" s="23" t="str">
        <f>Data!B24</f>
        <v>0472</v>
      </c>
      <c r="B28" s="21" t="str">
        <f>INDEX(Data[],MATCH($A28,Data[Dist],0),MATCH(B$5,Data[#Headers],0))</f>
        <v>Ballard</v>
      </c>
      <c r="C28" s="22">
        <f>IF(Notes!$B$2="June",ROUND('Budget by Source'!C28/10,0)+P28,ROUND('Budget by Source'!C28/10,0))</f>
        <v>45231</v>
      </c>
      <c r="D28" s="22">
        <f>IF(Notes!$B$2="June",ROUND('Budget by Source'!D28/10,0)+Q28,ROUND('Budget by Source'!D28/10,0))</f>
        <v>107350</v>
      </c>
      <c r="E28" s="22">
        <f>IF(Notes!$B$2="June",ROUND('Budget by Source'!E28/10,0)+R28,ROUND('Budget by Source'!E28/10,0))</f>
        <v>13477</v>
      </c>
      <c r="F28" s="22">
        <f>IF(Notes!$B$2="June",ROUND('Budget by Source'!F28/10,0)+S28,ROUND('Budget by Source'!F28/10,0))</f>
        <v>11537</v>
      </c>
      <c r="G28" s="22">
        <f>IF(Notes!$B$2="June",ROUND('Budget by Source'!G28/10,0)+T28,ROUND('Budget by Source'!G28/10,0))</f>
        <v>64832</v>
      </c>
      <c r="H28" s="22">
        <f t="shared" si="0"/>
        <v>1111408</v>
      </c>
      <c r="I28" s="22">
        <f>INDEX(Data[],MATCH($A28,Data[Dist],0),MATCH(I$5,Data[#Headers],0))</f>
        <v>1353835</v>
      </c>
      <c r="K28" s="69">
        <f>INDEX('Payment Total'!$A$7:$H$331,MATCH('Payment by Source'!$A28,'Payment Total'!$A$7:$A$331,0),3)-I28</f>
        <v>0</v>
      </c>
      <c r="P28" s="154">
        <f>INDEX('Budget by Source'!$A$6:$I$330,MATCH('Payment by Source'!$A28,'Budget by Source'!$A$6:$A$330,0),MATCH(P$3,'Budget by Source'!$A$5:$I$5,0))-(ROUND(INDEX('Budget by Source'!$A$6:$I$330,MATCH('Payment by Source'!$A28,'Budget by Source'!$A$6:$A$330,0),MATCH(P$3,'Budget by Source'!$A$5:$I$5,0))/10,0)*10)</f>
        <v>-1</v>
      </c>
      <c r="Q28" s="154">
        <f>INDEX('Budget by Source'!$A$6:$I$330,MATCH('Payment by Source'!$A28,'Budget by Source'!$A$6:$A$330,0),MATCH(Q$3,'Budget by Source'!$A$5:$I$5,0))-(ROUND(INDEX('Budget by Source'!$A$6:$I$330,MATCH('Payment by Source'!$A28,'Budget by Source'!$A$6:$A$330,0),MATCH(Q$3,'Budget by Source'!$A$5:$I$5,0))/10,0)*10)</f>
        <v>-1</v>
      </c>
      <c r="R28" s="154">
        <f>INDEX('Budget by Source'!$A$6:$I$330,MATCH('Payment by Source'!$A28,'Budget by Source'!$A$6:$A$330,0),MATCH(R$3,'Budget by Source'!$A$5:$I$5,0))-(ROUND(INDEX('Budget by Source'!$A$6:$I$330,MATCH('Payment by Source'!$A28,'Budget by Source'!$A$6:$A$330,0),MATCH(R$3,'Budget by Source'!$A$5:$I$5,0))/10,0)*10)</f>
        <v>2</v>
      </c>
      <c r="S28" s="154">
        <f>INDEX('Budget by Source'!$A$6:$I$330,MATCH('Payment by Source'!$A28,'Budget by Source'!$A$6:$A$330,0),MATCH(S$3,'Budget by Source'!$A$5:$I$5,0))-(ROUND(INDEX('Budget by Source'!$A$6:$I$330,MATCH('Payment by Source'!$A28,'Budget by Source'!$A$6:$A$330,0),MATCH(S$3,'Budget by Source'!$A$5:$I$5,0))/10,0)*10)</f>
        <v>-2</v>
      </c>
      <c r="T28" s="154">
        <f>INDEX('Budget by Source'!$A$6:$I$330,MATCH('Payment by Source'!$A28,'Budget by Source'!$A$6:$A$330,0),MATCH(T$3,'Budget by Source'!$A$5:$I$5,0))-(ROUND(INDEX('Budget by Source'!$A$6:$I$330,MATCH('Payment by Source'!$A28,'Budget by Source'!$A$6:$A$330,0),MATCH(T$3,'Budget by Source'!$A$5:$I$5,0))/10,0)*10)</f>
        <v>-2</v>
      </c>
      <c r="U28" s="155">
        <f>INDEX('Budget by Source'!$A$6:$I$330,MATCH('Payment by Source'!$A28,'Budget by Source'!$A$6:$A$330,0),MATCH(U$3,'Budget by Source'!$A$5:$I$5,0))</f>
        <v>11114084</v>
      </c>
      <c r="V28" s="152">
        <f t="shared" si="1"/>
        <v>1111408</v>
      </c>
      <c r="W28" s="152">
        <f t="shared" si="2"/>
        <v>11114080</v>
      </c>
    </row>
    <row r="29" spans="1:23" x14ac:dyDescent="0.2">
      <c r="A29" s="23" t="str">
        <f>Data!B25</f>
        <v>0513</v>
      </c>
      <c r="B29" s="21" t="str">
        <f>INDEX(Data[],MATCH($A29,Data[Dist],0),MATCH(B$5,Data[#Headers],0))</f>
        <v>Baxter</v>
      </c>
      <c r="C29" s="22">
        <f>IF(Notes!$B$2="June",ROUND('Budget by Source'!C29/10,0)+P29,ROUND('Budget by Source'!C29/10,0))</f>
        <v>9122</v>
      </c>
      <c r="D29" s="22">
        <f>IF(Notes!$B$2="June",ROUND('Budget by Source'!D29/10,0)+Q29,ROUND('Budget by Source'!D29/10,0))</f>
        <v>25017</v>
      </c>
      <c r="E29" s="22">
        <f>IF(Notes!$B$2="June",ROUND('Budget by Source'!E29/10,0)+R29,ROUND('Budget by Source'!E29/10,0))</f>
        <v>2730</v>
      </c>
      <c r="F29" s="22">
        <f>IF(Notes!$B$2="June",ROUND('Budget by Source'!F29/10,0)+S29,ROUND('Budget by Source'!F29/10,0))</f>
        <v>2542</v>
      </c>
      <c r="G29" s="22">
        <f>IF(Notes!$B$2="June",ROUND('Budget by Source'!G29/10,0)+T29,ROUND('Budget by Source'!G29/10,0))</f>
        <v>13293</v>
      </c>
      <c r="H29" s="22">
        <f t="shared" si="0"/>
        <v>220475</v>
      </c>
      <c r="I29" s="22">
        <f>INDEX(Data[],MATCH($A29,Data[Dist],0),MATCH(I$5,Data[#Headers],0))</f>
        <v>273179</v>
      </c>
      <c r="K29" s="69">
        <f>INDEX('Payment Total'!$A$7:$H$331,MATCH('Payment by Source'!$A29,'Payment Total'!$A$7:$A$331,0),3)-I29</f>
        <v>0</v>
      </c>
      <c r="P29" s="154">
        <f>INDEX('Budget by Source'!$A$6:$I$330,MATCH('Payment by Source'!$A29,'Budget by Source'!$A$6:$A$330,0),MATCH(P$3,'Budget by Source'!$A$5:$I$5,0))-(ROUND(INDEX('Budget by Source'!$A$6:$I$330,MATCH('Payment by Source'!$A29,'Budget by Source'!$A$6:$A$330,0),MATCH(P$3,'Budget by Source'!$A$5:$I$5,0))/10,0)*10)</f>
        <v>2</v>
      </c>
      <c r="Q29" s="154">
        <f>INDEX('Budget by Source'!$A$6:$I$330,MATCH('Payment by Source'!$A29,'Budget by Source'!$A$6:$A$330,0),MATCH(Q$3,'Budget by Source'!$A$5:$I$5,0))-(ROUND(INDEX('Budget by Source'!$A$6:$I$330,MATCH('Payment by Source'!$A29,'Budget by Source'!$A$6:$A$330,0),MATCH(Q$3,'Budget by Source'!$A$5:$I$5,0))/10,0)*10)</f>
        <v>-3</v>
      </c>
      <c r="R29" s="154">
        <f>INDEX('Budget by Source'!$A$6:$I$330,MATCH('Payment by Source'!$A29,'Budget by Source'!$A$6:$A$330,0),MATCH(R$3,'Budget by Source'!$A$5:$I$5,0))-(ROUND(INDEX('Budget by Source'!$A$6:$I$330,MATCH('Payment by Source'!$A29,'Budget by Source'!$A$6:$A$330,0),MATCH(R$3,'Budget by Source'!$A$5:$I$5,0))/10,0)*10)</f>
        <v>-2</v>
      </c>
      <c r="S29" s="154">
        <f>INDEX('Budget by Source'!$A$6:$I$330,MATCH('Payment by Source'!$A29,'Budget by Source'!$A$6:$A$330,0),MATCH(S$3,'Budget by Source'!$A$5:$I$5,0))-(ROUND(INDEX('Budget by Source'!$A$6:$I$330,MATCH('Payment by Source'!$A29,'Budget by Source'!$A$6:$A$330,0),MATCH(S$3,'Budget by Source'!$A$5:$I$5,0))/10,0)*10)</f>
        <v>-5</v>
      </c>
      <c r="T29" s="154">
        <f>INDEX('Budget by Source'!$A$6:$I$330,MATCH('Payment by Source'!$A29,'Budget by Source'!$A$6:$A$330,0),MATCH(T$3,'Budget by Source'!$A$5:$I$5,0))-(ROUND(INDEX('Budget by Source'!$A$6:$I$330,MATCH('Payment by Source'!$A29,'Budget by Source'!$A$6:$A$330,0),MATCH(T$3,'Budget by Source'!$A$5:$I$5,0))/10,0)*10)</f>
        <v>-1</v>
      </c>
      <c r="U29" s="155">
        <f>INDEX('Budget by Source'!$A$6:$I$330,MATCH('Payment by Source'!$A29,'Budget by Source'!$A$6:$A$330,0),MATCH(U$3,'Budget by Source'!$A$5:$I$5,0))</f>
        <v>2204759</v>
      </c>
      <c r="V29" s="152">
        <f t="shared" si="1"/>
        <v>220476</v>
      </c>
      <c r="W29" s="152">
        <f t="shared" si="2"/>
        <v>2204760</v>
      </c>
    </row>
    <row r="30" spans="1:23" x14ac:dyDescent="0.2">
      <c r="A30" s="23" t="str">
        <f>Data!B26</f>
        <v>0540</v>
      </c>
      <c r="B30" s="21" t="str">
        <f>INDEX(Data[],MATCH($A30,Data[Dist],0),MATCH(B$5,Data[#Headers],0))</f>
        <v>BCLUW</v>
      </c>
      <c r="C30" s="22">
        <f>IF(Notes!$B$2="June",ROUND('Budget by Source'!C30/10,0)+P30,ROUND('Budget by Source'!C30/10,0))</f>
        <v>10263</v>
      </c>
      <c r="D30" s="22">
        <f>IF(Notes!$B$2="June",ROUND('Budget by Source'!D30/10,0)+Q30,ROUND('Budget by Source'!D30/10,0))</f>
        <v>31385</v>
      </c>
      <c r="E30" s="22">
        <f>IF(Notes!$B$2="June",ROUND('Budget by Source'!E30/10,0)+R30,ROUND('Budget by Source'!E30/10,0))</f>
        <v>3368</v>
      </c>
      <c r="F30" s="22">
        <f>IF(Notes!$B$2="June",ROUND('Budget by Source'!F30/10,0)+S30,ROUND('Budget by Source'!F30/10,0))</f>
        <v>3490</v>
      </c>
      <c r="G30" s="22">
        <f>IF(Notes!$B$2="June",ROUND('Budget by Source'!G30/10,0)+T30,ROUND('Budget by Source'!G30/10,0))</f>
        <v>17421</v>
      </c>
      <c r="H30" s="22">
        <f t="shared" si="0"/>
        <v>190331</v>
      </c>
      <c r="I30" s="22">
        <f>INDEX(Data[],MATCH($A30,Data[Dist],0),MATCH(I$5,Data[#Headers],0))</f>
        <v>256258</v>
      </c>
      <c r="K30" s="69">
        <f>INDEX('Payment Total'!$A$7:$H$331,MATCH('Payment by Source'!$A30,'Payment Total'!$A$7:$A$331,0),3)-I30</f>
        <v>0</v>
      </c>
      <c r="P30" s="154">
        <f>INDEX('Budget by Source'!$A$6:$I$330,MATCH('Payment by Source'!$A30,'Budget by Source'!$A$6:$A$330,0),MATCH(P$3,'Budget by Source'!$A$5:$I$5,0))-(ROUND(INDEX('Budget by Source'!$A$6:$I$330,MATCH('Payment by Source'!$A30,'Budget by Source'!$A$6:$A$330,0),MATCH(P$3,'Budget by Source'!$A$5:$I$5,0))/10,0)*10)</f>
        <v>-5</v>
      </c>
      <c r="Q30" s="154">
        <f>INDEX('Budget by Source'!$A$6:$I$330,MATCH('Payment by Source'!$A30,'Budget by Source'!$A$6:$A$330,0),MATCH(Q$3,'Budget by Source'!$A$5:$I$5,0))-(ROUND(INDEX('Budget by Source'!$A$6:$I$330,MATCH('Payment by Source'!$A30,'Budget by Source'!$A$6:$A$330,0),MATCH(Q$3,'Budget by Source'!$A$5:$I$5,0))/10,0)*10)</f>
        <v>1</v>
      </c>
      <c r="R30" s="154">
        <f>INDEX('Budget by Source'!$A$6:$I$330,MATCH('Payment by Source'!$A30,'Budget by Source'!$A$6:$A$330,0),MATCH(R$3,'Budget by Source'!$A$5:$I$5,0))-(ROUND(INDEX('Budget by Source'!$A$6:$I$330,MATCH('Payment by Source'!$A30,'Budget by Source'!$A$6:$A$330,0),MATCH(R$3,'Budget by Source'!$A$5:$I$5,0))/10,0)*10)</f>
        <v>4</v>
      </c>
      <c r="S30" s="154">
        <f>INDEX('Budget by Source'!$A$6:$I$330,MATCH('Payment by Source'!$A30,'Budget by Source'!$A$6:$A$330,0),MATCH(S$3,'Budget by Source'!$A$5:$I$5,0))-(ROUND(INDEX('Budget by Source'!$A$6:$I$330,MATCH('Payment by Source'!$A30,'Budget by Source'!$A$6:$A$330,0),MATCH(S$3,'Budget by Source'!$A$5:$I$5,0))/10,0)*10)</f>
        <v>1</v>
      </c>
      <c r="T30" s="154">
        <f>INDEX('Budget by Source'!$A$6:$I$330,MATCH('Payment by Source'!$A30,'Budget by Source'!$A$6:$A$330,0),MATCH(T$3,'Budget by Source'!$A$5:$I$5,0))-(ROUND(INDEX('Budget by Source'!$A$6:$I$330,MATCH('Payment by Source'!$A30,'Budget by Source'!$A$6:$A$330,0),MATCH(T$3,'Budget by Source'!$A$5:$I$5,0))/10,0)*10)</f>
        <v>3</v>
      </c>
      <c r="U30" s="155">
        <f>INDEX('Budget by Source'!$A$6:$I$330,MATCH('Payment by Source'!$A30,'Budget by Source'!$A$6:$A$330,0),MATCH(U$3,'Budget by Source'!$A$5:$I$5,0))</f>
        <v>1903309</v>
      </c>
      <c r="V30" s="152">
        <f t="shared" si="1"/>
        <v>190331</v>
      </c>
      <c r="W30" s="152">
        <f t="shared" si="2"/>
        <v>1903310</v>
      </c>
    </row>
    <row r="31" spans="1:23" x14ac:dyDescent="0.2">
      <c r="A31" s="23" t="str">
        <f>Data!B27</f>
        <v>0549</v>
      </c>
      <c r="B31" s="21" t="str">
        <f>INDEX(Data[],MATCH($A31,Data[Dist],0),MATCH(B$5,Data[#Headers],0))</f>
        <v>Bedford</v>
      </c>
      <c r="C31" s="22">
        <f>IF(Notes!$B$2="June",ROUND('Budget by Source'!C31/10,0)+P31,ROUND('Budget by Source'!C31/10,0))</f>
        <v>10263</v>
      </c>
      <c r="D31" s="22">
        <f>IF(Notes!$B$2="June",ROUND('Budget by Source'!D31/10,0)+Q31,ROUND('Budget by Source'!D31/10,0))</f>
        <v>34951</v>
      </c>
      <c r="E31" s="22">
        <f>IF(Notes!$B$2="June",ROUND('Budget by Source'!E31/10,0)+R31,ROUND('Budget by Source'!E31/10,0))</f>
        <v>4095</v>
      </c>
      <c r="F31" s="22">
        <f>IF(Notes!$B$2="June",ROUND('Budget by Source'!F31/10,0)+S31,ROUND('Budget by Source'!F31/10,0))</f>
        <v>3730</v>
      </c>
      <c r="G31" s="22">
        <f>IF(Notes!$B$2="June",ROUND('Budget by Source'!G31/10,0)+T31,ROUND('Budget by Source'!G31/10,0))</f>
        <v>18493</v>
      </c>
      <c r="H31" s="22">
        <f t="shared" si="0"/>
        <v>263591</v>
      </c>
      <c r="I31" s="22">
        <f>INDEX(Data[],MATCH($A31,Data[Dist],0),MATCH(I$5,Data[#Headers],0))</f>
        <v>335123</v>
      </c>
      <c r="K31" s="69">
        <f>INDEX('Payment Total'!$A$7:$H$331,MATCH('Payment by Source'!$A31,'Payment Total'!$A$7:$A$331,0),3)-I31</f>
        <v>0</v>
      </c>
      <c r="P31" s="154">
        <f>INDEX('Budget by Source'!$A$6:$I$330,MATCH('Payment by Source'!$A31,'Budget by Source'!$A$6:$A$330,0),MATCH(P$3,'Budget by Source'!$A$5:$I$5,0))-(ROUND(INDEX('Budget by Source'!$A$6:$I$330,MATCH('Payment by Source'!$A31,'Budget by Source'!$A$6:$A$330,0),MATCH(P$3,'Budget by Source'!$A$5:$I$5,0))/10,0)*10)</f>
        <v>-5</v>
      </c>
      <c r="Q31" s="154">
        <f>INDEX('Budget by Source'!$A$6:$I$330,MATCH('Payment by Source'!$A31,'Budget by Source'!$A$6:$A$330,0),MATCH(Q$3,'Budget by Source'!$A$5:$I$5,0))-(ROUND(INDEX('Budget by Source'!$A$6:$I$330,MATCH('Payment by Source'!$A31,'Budget by Source'!$A$6:$A$330,0),MATCH(Q$3,'Budget by Source'!$A$5:$I$5,0))/10,0)*10)</f>
        <v>-1</v>
      </c>
      <c r="R31" s="154">
        <f>INDEX('Budget by Source'!$A$6:$I$330,MATCH('Payment by Source'!$A31,'Budget by Source'!$A$6:$A$330,0),MATCH(R$3,'Budget by Source'!$A$5:$I$5,0))-(ROUND(INDEX('Budget by Source'!$A$6:$I$330,MATCH('Payment by Source'!$A31,'Budget by Source'!$A$6:$A$330,0),MATCH(R$3,'Budget by Source'!$A$5:$I$5,0))/10,0)*10)</f>
        <v>2</v>
      </c>
      <c r="S31" s="154">
        <f>INDEX('Budget by Source'!$A$6:$I$330,MATCH('Payment by Source'!$A31,'Budget by Source'!$A$6:$A$330,0),MATCH(S$3,'Budget by Source'!$A$5:$I$5,0))-(ROUND(INDEX('Budget by Source'!$A$6:$I$330,MATCH('Payment by Source'!$A31,'Budget by Source'!$A$6:$A$330,0),MATCH(S$3,'Budget by Source'!$A$5:$I$5,0))/10,0)*10)</f>
        <v>-1</v>
      </c>
      <c r="T31" s="154">
        <f>INDEX('Budget by Source'!$A$6:$I$330,MATCH('Payment by Source'!$A31,'Budget by Source'!$A$6:$A$330,0),MATCH(T$3,'Budget by Source'!$A$5:$I$5,0))-(ROUND(INDEX('Budget by Source'!$A$6:$I$330,MATCH('Payment by Source'!$A31,'Budget by Source'!$A$6:$A$330,0),MATCH(T$3,'Budget by Source'!$A$5:$I$5,0))/10,0)*10)</f>
        <v>-2</v>
      </c>
      <c r="U31" s="155">
        <f>INDEX('Budget by Source'!$A$6:$I$330,MATCH('Payment by Source'!$A31,'Budget by Source'!$A$6:$A$330,0),MATCH(U$3,'Budget by Source'!$A$5:$I$5,0))</f>
        <v>2635918</v>
      </c>
      <c r="V31" s="152">
        <f t="shared" si="1"/>
        <v>263592</v>
      </c>
      <c r="W31" s="152">
        <f t="shared" si="2"/>
        <v>2635920</v>
      </c>
    </row>
    <row r="32" spans="1:23" x14ac:dyDescent="0.2">
      <c r="A32" s="23" t="str">
        <f>Data!B28</f>
        <v>0576</v>
      </c>
      <c r="B32" s="21" t="str">
        <f>INDEX(Data[],MATCH($A32,Data[Dist],0),MATCH(B$5,Data[#Headers],0))</f>
        <v>Belle Plaine</v>
      </c>
      <c r="C32" s="22">
        <f>IF(Notes!$B$2="June",ROUND('Budget by Source'!C32/10,0)+P32,ROUND('Budget by Source'!C32/10,0))</f>
        <v>9882</v>
      </c>
      <c r="D32" s="22">
        <f>IF(Notes!$B$2="June",ROUND('Budget by Source'!D32/10,0)+Q32,ROUND('Budget by Source'!D32/10,0))</f>
        <v>30523</v>
      </c>
      <c r="E32" s="22">
        <f>IF(Notes!$B$2="June",ROUND('Budget by Source'!E32/10,0)+R32,ROUND('Budget by Source'!E32/10,0))</f>
        <v>3152</v>
      </c>
      <c r="F32" s="22">
        <f>IF(Notes!$B$2="June",ROUND('Budget by Source'!F32/10,0)+S32,ROUND('Budget by Source'!F32/10,0))</f>
        <v>3081</v>
      </c>
      <c r="G32" s="22">
        <f>IF(Notes!$B$2="June",ROUND('Budget by Source'!G32/10,0)+T32,ROUND('Budget by Source'!G32/10,0))</f>
        <v>17420</v>
      </c>
      <c r="H32" s="22">
        <f t="shared" si="0"/>
        <v>269134</v>
      </c>
      <c r="I32" s="22">
        <f>INDEX(Data[],MATCH($A32,Data[Dist],0),MATCH(I$5,Data[#Headers],0))</f>
        <v>333192</v>
      </c>
      <c r="K32" s="69">
        <f>INDEX('Payment Total'!$A$7:$H$331,MATCH('Payment by Source'!$A32,'Payment Total'!$A$7:$A$331,0),3)-I32</f>
        <v>0</v>
      </c>
      <c r="P32" s="154">
        <f>INDEX('Budget by Source'!$A$6:$I$330,MATCH('Payment by Source'!$A32,'Budget by Source'!$A$6:$A$330,0),MATCH(P$3,'Budget by Source'!$A$5:$I$5,0))-(ROUND(INDEX('Budget by Source'!$A$6:$I$330,MATCH('Payment by Source'!$A32,'Budget by Source'!$A$6:$A$330,0),MATCH(P$3,'Budget by Source'!$A$5:$I$5,0))/10,0)*10)</f>
        <v>4</v>
      </c>
      <c r="Q32" s="154">
        <f>INDEX('Budget by Source'!$A$6:$I$330,MATCH('Payment by Source'!$A32,'Budget by Source'!$A$6:$A$330,0),MATCH(Q$3,'Budget by Source'!$A$5:$I$5,0))-(ROUND(INDEX('Budget by Source'!$A$6:$I$330,MATCH('Payment by Source'!$A32,'Budget by Source'!$A$6:$A$330,0),MATCH(Q$3,'Budget by Source'!$A$5:$I$5,0))/10,0)*10)</f>
        <v>2</v>
      </c>
      <c r="R32" s="154">
        <f>INDEX('Budget by Source'!$A$6:$I$330,MATCH('Payment by Source'!$A32,'Budget by Source'!$A$6:$A$330,0),MATCH(R$3,'Budget by Source'!$A$5:$I$5,0))-(ROUND(INDEX('Budget by Source'!$A$6:$I$330,MATCH('Payment by Source'!$A32,'Budget by Source'!$A$6:$A$330,0),MATCH(R$3,'Budget by Source'!$A$5:$I$5,0))/10,0)*10)</f>
        <v>4</v>
      </c>
      <c r="S32" s="154">
        <f>INDEX('Budget by Source'!$A$6:$I$330,MATCH('Payment by Source'!$A32,'Budget by Source'!$A$6:$A$330,0),MATCH(S$3,'Budget by Source'!$A$5:$I$5,0))-(ROUND(INDEX('Budget by Source'!$A$6:$I$330,MATCH('Payment by Source'!$A32,'Budget by Source'!$A$6:$A$330,0),MATCH(S$3,'Budget by Source'!$A$5:$I$5,0))/10,0)*10)</f>
        <v>-4</v>
      </c>
      <c r="T32" s="154">
        <f>INDEX('Budget by Source'!$A$6:$I$330,MATCH('Payment by Source'!$A32,'Budget by Source'!$A$6:$A$330,0),MATCH(T$3,'Budget by Source'!$A$5:$I$5,0))-(ROUND(INDEX('Budget by Source'!$A$6:$I$330,MATCH('Payment by Source'!$A32,'Budget by Source'!$A$6:$A$330,0),MATCH(T$3,'Budget by Source'!$A$5:$I$5,0))/10,0)*10)</f>
        <v>4</v>
      </c>
      <c r="U32" s="155">
        <f>INDEX('Budget by Source'!$A$6:$I$330,MATCH('Payment by Source'!$A32,'Budget by Source'!$A$6:$A$330,0),MATCH(U$3,'Budget by Source'!$A$5:$I$5,0))</f>
        <v>2691330</v>
      </c>
      <c r="V32" s="152">
        <f t="shared" si="1"/>
        <v>269133</v>
      </c>
      <c r="W32" s="152">
        <f t="shared" si="2"/>
        <v>2691330</v>
      </c>
    </row>
    <row r="33" spans="1:23" x14ac:dyDescent="0.2">
      <c r="A33" s="23" t="str">
        <f>Data!B29</f>
        <v>0585</v>
      </c>
      <c r="B33" s="21" t="str">
        <f>INDEX(Data[],MATCH($A33,Data[Dist],0),MATCH(B$5,Data[#Headers],0))</f>
        <v>Bellevue</v>
      </c>
      <c r="C33" s="22">
        <f>IF(Notes!$B$2="June",ROUND('Budget by Source'!C33/10,0)+P33,ROUND('Budget by Source'!C33/10,0))</f>
        <v>23186</v>
      </c>
      <c r="D33" s="22">
        <f>IF(Notes!$B$2="June",ROUND('Budget by Source'!D33/10,0)+Q33,ROUND('Budget by Source'!D33/10,0))</f>
        <v>42720</v>
      </c>
      <c r="E33" s="22">
        <f>IF(Notes!$B$2="June",ROUND('Budget by Source'!E33/10,0)+R33,ROUND('Budget by Source'!E33/10,0))</f>
        <v>4438</v>
      </c>
      <c r="F33" s="22">
        <f>IF(Notes!$B$2="June",ROUND('Budget by Source'!F33/10,0)+S33,ROUND('Budget by Source'!F33/10,0))</f>
        <v>4722</v>
      </c>
      <c r="G33" s="22">
        <f>IF(Notes!$B$2="June",ROUND('Budget by Source'!G33/10,0)+T33,ROUND('Budget by Source'!G33/10,0))</f>
        <v>23280</v>
      </c>
      <c r="H33" s="22">
        <f t="shared" si="0"/>
        <v>301970</v>
      </c>
      <c r="I33" s="22">
        <f>INDEX(Data[],MATCH($A33,Data[Dist],0),MATCH(I$5,Data[#Headers],0))</f>
        <v>400316</v>
      </c>
      <c r="K33" s="69">
        <f>INDEX('Payment Total'!$A$7:$H$331,MATCH('Payment by Source'!$A33,'Payment Total'!$A$7:$A$331,0),3)-I33</f>
        <v>0</v>
      </c>
      <c r="P33" s="154">
        <f>INDEX('Budget by Source'!$A$6:$I$330,MATCH('Payment by Source'!$A33,'Budget by Source'!$A$6:$A$330,0),MATCH(P$3,'Budget by Source'!$A$5:$I$5,0))-(ROUND(INDEX('Budget by Source'!$A$6:$I$330,MATCH('Payment by Source'!$A33,'Budget by Source'!$A$6:$A$330,0),MATCH(P$3,'Budget by Source'!$A$5:$I$5,0))/10,0)*10)</f>
        <v>-4</v>
      </c>
      <c r="Q33" s="154">
        <f>INDEX('Budget by Source'!$A$6:$I$330,MATCH('Payment by Source'!$A33,'Budget by Source'!$A$6:$A$330,0),MATCH(Q$3,'Budget by Source'!$A$5:$I$5,0))-(ROUND(INDEX('Budget by Source'!$A$6:$I$330,MATCH('Payment by Source'!$A33,'Budget by Source'!$A$6:$A$330,0),MATCH(Q$3,'Budget by Source'!$A$5:$I$5,0))/10,0)*10)</f>
        <v>0</v>
      </c>
      <c r="R33" s="154">
        <f>INDEX('Budget by Source'!$A$6:$I$330,MATCH('Payment by Source'!$A33,'Budget by Source'!$A$6:$A$330,0),MATCH(R$3,'Budget by Source'!$A$5:$I$5,0))-(ROUND(INDEX('Budget by Source'!$A$6:$I$330,MATCH('Payment by Source'!$A33,'Budget by Source'!$A$6:$A$330,0),MATCH(R$3,'Budget by Source'!$A$5:$I$5,0))/10,0)*10)</f>
        <v>3</v>
      </c>
      <c r="S33" s="154">
        <f>INDEX('Budget by Source'!$A$6:$I$330,MATCH('Payment by Source'!$A33,'Budget by Source'!$A$6:$A$330,0),MATCH(S$3,'Budget by Source'!$A$5:$I$5,0))-(ROUND(INDEX('Budget by Source'!$A$6:$I$330,MATCH('Payment by Source'!$A33,'Budget by Source'!$A$6:$A$330,0),MATCH(S$3,'Budget by Source'!$A$5:$I$5,0))/10,0)*10)</f>
        <v>0</v>
      </c>
      <c r="T33" s="154">
        <f>INDEX('Budget by Source'!$A$6:$I$330,MATCH('Payment by Source'!$A33,'Budget by Source'!$A$6:$A$330,0),MATCH(T$3,'Budget by Source'!$A$5:$I$5,0))-(ROUND(INDEX('Budget by Source'!$A$6:$I$330,MATCH('Payment by Source'!$A33,'Budget by Source'!$A$6:$A$330,0),MATCH(T$3,'Budget by Source'!$A$5:$I$5,0))/10,0)*10)</f>
        <v>0</v>
      </c>
      <c r="U33" s="155">
        <f>INDEX('Budget by Source'!$A$6:$I$330,MATCH('Payment by Source'!$A33,'Budget by Source'!$A$6:$A$330,0),MATCH(U$3,'Budget by Source'!$A$5:$I$5,0))</f>
        <v>3019696</v>
      </c>
      <c r="V33" s="152">
        <f t="shared" si="1"/>
        <v>301970</v>
      </c>
      <c r="W33" s="152">
        <f t="shared" si="2"/>
        <v>3019700</v>
      </c>
    </row>
    <row r="34" spans="1:23" x14ac:dyDescent="0.2">
      <c r="A34" s="23" t="str">
        <f>Data!B30</f>
        <v>0594</v>
      </c>
      <c r="B34" s="21" t="str">
        <f>INDEX(Data[],MATCH($A34,Data[Dist],0),MATCH(B$5,Data[#Headers],0))</f>
        <v>Belmond-Klemme</v>
      </c>
      <c r="C34" s="22">
        <f>IF(Notes!$B$2="June",ROUND('Budget by Source'!C34/10,0)+P34,ROUND('Budget by Source'!C34/10,0))</f>
        <v>11403</v>
      </c>
      <c r="D34" s="22">
        <f>IF(Notes!$B$2="June",ROUND('Budget by Source'!D34/10,0)+Q34,ROUND('Budget by Source'!D34/10,0))</f>
        <v>47959</v>
      </c>
      <c r="E34" s="22">
        <f>IF(Notes!$B$2="June",ROUND('Budget by Source'!E34/10,0)+R34,ROUND('Budget by Source'!E34/10,0))</f>
        <v>5969</v>
      </c>
      <c r="F34" s="22">
        <f>IF(Notes!$B$2="June",ROUND('Budget by Source'!F34/10,0)+S34,ROUND('Budget by Source'!F34/10,0))</f>
        <v>5147</v>
      </c>
      <c r="G34" s="22">
        <f>IF(Notes!$B$2="June",ROUND('Budget by Source'!G34/10,0)+T34,ROUND('Budget by Source'!G34/10,0))</f>
        <v>27275</v>
      </c>
      <c r="H34" s="22">
        <f t="shared" si="0"/>
        <v>396512</v>
      </c>
      <c r="I34" s="22">
        <f>INDEX(Data[],MATCH($A34,Data[Dist],0),MATCH(I$5,Data[#Headers],0))</f>
        <v>494265</v>
      </c>
      <c r="K34" s="69">
        <f>INDEX('Payment Total'!$A$7:$H$331,MATCH('Payment by Source'!$A34,'Payment Total'!$A$7:$A$331,0),3)-I34</f>
        <v>0</v>
      </c>
      <c r="P34" s="154">
        <f>INDEX('Budget by Source'!$A$6:$I$330,MATCH('Payment by Source'!$A34,'Budget by Source'!$A$6:$A$330,0),MATCH(P$3,'Budget by Source'!$A$5:$I$5,0))-(ROUND(INDEX('Budget by Source'!$A$6:$I$330,MATCH('Payment by Source'!$A34,'Budget by Source'!$A$6:$A$330,0),MATCH(P$3,'Budget by Source'!$A$5:$I$5,0))/10,0)*10)</f>
        <v>-3</v>
      </c>
      <c r="Q34" s="154">
        <f>INDEX('Budget by Source'!$A$6:$I$330,MATCH('Payment by Source'!$A34,'Budget by Source'!$A$6:$A$330,0),MATCH(Q$3,'Budget by Source'!$A$5:$I$5,0))-(ROUND(INDEX('Budget by Source'!$A$6:$I$330,MATCH('Payment by Source'!$A34,'Budget by Source'!$A$6:$A$330,0),MATCH(Q$3,'Budget by Source'!$A$5:$I$5,0))/10,0)*10)</f>
        <v>-5</v>
      </c>
      <c r="R34" s="154">
        <f>INDEX('Budget by Source'!$A$6:$I$330,MATCH('Payment by Source'!$A34,'Budget by Source'!$A$6:$A$330,0),MATCH(R$3,'Budget by Source'!$A$5:$I$5,0))-(ROUND(INDEX('Budget by Source'!$A$6:$I$330,MATCH('Payment by Source'!$A34,'Budget by Source'!$A$6:$A$330,0),MATCH(R$3,'Budget by Source'!$A$5:$I$5,0))/10,0)*10)</f>
        <v>-1</v>
      </c>
      <c r="S34" s="154">
        <f>INDEX('Budget by Source'!$A$6:$I$330,MATCH('Payment by Source'!$A34,'Budget by Source'!$A$6:$A$330,0),MATCH(S$3,'Budget by Source'!$A$5:$I$5,0))-(ROUND(INDEX('Budget by Source'!$A$6:$I$330,MATCH('Payment by Source'!$A34,'Budget by Source'!$A$6:$A$330,0),MATCH(S$3,'Budget by Source'!$A$5:$I$5,0))/10,0)*10)</f>
        <v>4</v>
      </c>
      <c r="T34" s="154">
        <f>INDEX('Budget by Source'!$A$6:$I$330,MATCH('Payment by Source'!$A34,'Budget by Source'!$A$6:$A$330,0),MATCH(T$3,'Budget by Source'!$A$5:$I$5,0))-(ROUND(INDEX('Budget by Source'!$A$6:$I$330,MATCH('Payment by Source'!$A34,'Budget by Source'!$A$6:$A$330,0),MATCH(T$3,'Budget by Source'!$A$5:$I$5,0))/10,0)*10)</f>
        <v>-1</v>
      </c>
      <c r="U34" s="155">
        <f>INDEX('Budget by Source'!$A$6:$I$330,MATCH('Payment by Source'!$A34,'Budget by Source'!$A$6:$A$330,0),MATCH(U$3,'Budget by Source'!$A$5:$I$5,0))</f>
        <v>3965125</v>
      </c>
      <c r="V34" s="152">
        <f t="shared" si="1"/>
        <v>396513</v>
      </c>
      <c r="W34" s="152">
        <f t="shared" si="2"/>
        <v>3965130</v>
      </c>
    </row>
    <row r="35" spans="1:23" x14ac:dyDescent="0.2">
      <c r="A35" s="23" t="str">
        <f>Data!B31</f>
        <v>0603</v>
      </c>
      <c r="B35" s="21" t="str">
        <f>INDEX(Data[],MATCH($A35,Data[Dist],0),MATCH(B$5,Data[#Headers],0))</f>
        <v>Bennett</v>
      </c>
      <c r="C35" s="22">
        <f>IF(Notes!$B$2="June",ROUND('Budget by Source'!C35/10,0)+P35,ROUND('Budget by Source'!C35/10,0))</f>
        <v>1901</v>
      </c>
      <c r="D35" s="22">
        <f>IF(Notes!$B$2="June",ROUND('Budget by Source'!D35/10,0)+Q35,ROUND('Budget by Source'!D35/10,0))</f>
        <v>11092</v>
      </c>
      <c r="E35" s="22">
        <f>IF(Notes!$B$2="June",ROUND('Budget by Source'!E35/10,0)+R35,ROUND('Budget by Source'!E35/10,0))</f>
        <v>1350</v>
      </c>
      <c r="F35" s="22">
        <f>IF(Notes!$B$2="June",ROUND('Budget by Source'!F35/10,0)+S35,ROUND('Budget by Source'!F35/10,0))</f>
        <v>850</v>
      </c>
      <c r="G35" s="22">
        <f>IF(Notes!$B$2="June",ROUND('Budget by Source'!G35/10,0)+T35,ROUND('Budget by Source'!G35/10,0))</f>
        <v>6623</v>
      </c>
      <c r="H35" s="22">
        <f t="shared" si="0"/>
        <v>81365</v>
      </c>
      <c r="I35" s="22">
        <f>INDEX(Data[],MATCH($A35,Data[Dist],0),MATCH(I$5,Data[#Headers],0))</f>
        <v>103181</v>
      </c>
      <c r="K35" s="69">
        <f>INDEX('Payment Total'!$A$7:$H$331,MATCH('Payment by Source'!$A35,'Payment Total'!$A$7:$A$331,0),3)-I35</f>
        <v>0</v>
      </c>
      <c r="P35" s="154">
        <f>INDEX('Budget by Source'!$A$6:$I$330,MATCH('Payment by Source'!$A35,'Budget by Source'!$A$6:$A$330,0),MATCH(P$3,'Budget by Source'!$A$5:$I$5,0))-(ROUND(INDEX('Budget by Source'!$A$6:$I$330,MATCH('Payment by Source'!$A35,'Budget by Source'!$A$6:$A$330,0),MATCH(P$3,'Budget by Source'!$A$5:$I$5,0))/10,0)*10)</f>
        <v>-5</v>
      </c>
      <c r="Q35" s="154">
        <f>INDEX('Budget by Source'!$A$6:$I$330,MATCH('Payment by Source'!$A35,'Budget by Source'!$A$6:$A$330,0),MATCH(Q$3,'Budget by Source'!$A$5:$I$5,0))-(ROUND(INDEX('Budget by Source'!$A$6:$I$330,MATCH('Payment by Source'!$A35,'Budget by Source'!$A$6:$A$330,0),MATCH(Q$3,'Budget by Source'!$A$5:$I$5,0))/10,0)*10)</f>
        <v>1</v>
      </c>
      <c r="R35" s="154">
        <f>INDEX('Budget by Source'!$A$6:$I$330,MATCH('Payment by Source'!$A35,'Budget by Source'!$A$6:$A$330,0),MATCH(R$3,'Budget by Source'!$A$5:$I$5,0))-(ROUND(INDEX('Budget by Source'!$A$6:$I$330,MATCH('Payment by Source'!$A35,'Budget by Source'!$A$6:$A$330,0),MATCH(R$3,'Budget by Source'!$A$5:$I$5,0))/10,0)*10)</f>
        <v>-1</v>
      </c>
      <c r="S35" s="154">
        <f>INDEX('Budget by Source'!$A$6:$I$330,MATCH('Payment by Source'!$A35,'Budget by Source'!$A$6:$A$330,0),MATCH(S$3,'Budget by Source'!$A$5:$I$5,0))-(ROUND(INDEX('Budget by Source'!$A$6:$I$330,MATCH('Payment by Source'!$A35,'Budget by Source'!$A$6:$A$330,0),MATCH(S$3,'Budget by Source'!$A$5:$I$5,0))/10,0)*10)</f>
        <v>3</v>
      </c>
      <c r="T35" s="154">
        <f>INDEX('Budget by Source'!$A$6:$I$330,MATCH('Payment by Source'!$A35,'Budget by Source'!$A$6:$A$330,0),MATCH(T$3,'Budget by Source'!$A$5:$I$5,0))-(ROUND(INDEX('Budget by Source'!$A$6:$I$330,MATCH('Payment by Source'!$A35,'Budget by Source'!$A$6:$A$330,0),MATCH(T$3,'Budget by Source'!$A$5:$I$5,0))/10,0)*10)</f>
        <v>-1</v>
      </c>
      <c r="U35" s="155">
        <f>INDEX('Budget by Source'!$A$6:$I$330,MATCH('Payment by Source'!$A35,'Budget by Source'!$A$6:$A$330,0),MATCH(U$3,'Budget by Source'!$A$5:$I$5,0))</f>
        <v>813652</v>
      </c>
      <c r="V35" s="152">
        <f t="shared" si="1"/>
        <v>81365</v>
      </c>
      <c r="W35" s="152">
        <f t="shared" si="2"/>
        <v>813650</v>
      </c>
    </row>
    <row r="36" spans="1:23" x14ac:dyDescent="0.2">
      <c r="A36" s="23" t="str">
        <f>Data!B32</f>
        <v>0609</v>
      </c>
      <c r="B36" s="21" t="str">
        <f>INDEX(Data[],MATCH($A36,Data[Dist],0),MATCH(B$5,Data[#Headers],0))</f>
        <v>Benton</v>
      </c>
      <c r="C36" s="22">
        <f>IF(Notes!$B$2="June",ROUND('Budget by Source'!C36/10,0)+P36,ROUND('Budget by Source'!C36/10,0))</f>
        <v>39150</v>
      </c>
      <c r="D36" s="22">
        <f>IF(Notes!$B$2="June",ROUND('Budget by Source'!D36/10,0)+Q36,ROUND('Budget by Source'!D36/10,0))</f>
        <v>99462</v>
      </c>
      <c r="E36" s="22">
        <f>IF(Notes!$B$2="June",ROUND('Budget by Source'!E36/10,0)+R36,ROUND('Budget by Source'!E36/10,0))</f>
        <v>10469</v>
      </c>
      <c r="F36" s="22">
        <f>IF(Notes!$B$2="June",ROUND('Budget by Source'!F36/10,0)+S36,ROUND('Budget by Source'!F36/10,0))</f>
        <v>10978</v>
      </c>
      <c r="G36" s="22">
        <f>IF(Notes!$B$2="June",ROUND('Budget by Source'!G36/10,0)+T36,ROUND('Budget by Source'!G36/10,0))</f>
        <v>56669</v>
      </c>
      <c r="H36" s="22">
        <f t="shared" si="0"/>
        <v>748405</v>
      </c>
      <c r="I36" s="22">
        <f>INDEX(Data[],MATCH($A36,Data[Dist],0),MATCH(I$5,Data[#Headers],0))</f>
        <v>965133</v>
      </c>
      <c r="K36" s="69">
        <f>INDEX('Payment Total'!$A$7:$H$331,MATCH('Payment by Source'!$A36,'Payment Total'!$A$7:$A$331,0),3)-I36</f>
        <v>0</v>
      </c>
      <c r="P36" s="154">
        <f>INDEX('Budget by Source'!$A$6:$I$330,MATCH('Payment by Source'!$A36,'Budget by Source'!$A$6:$A$330,0),MATCH(P$3,'Budget by Source'!$A$5:$I$5,0))-(ROUND(INDEX('Budget by Source'!$A$6:$I$330,MATCH('Payment by Source'!$A36,'Budget by Source'!$A$6:$A$330,0),MATCH(P$3,'Budget by Source'!$A$5:$I$5,0))/10,0)*10)</f>
        <v>-5</v>
      </c>
      <c r="Q36" s="154">
        <f>INDEX('Budget by Source'!$A$6:$I$330,MATCH('Payment by Source'!$A36,'Budget by Source'!$A$6:$A$330,0),MATCH(Q$3,'Budget by Source'!$A$5:$I$5,0))-(ROUND(INDEX('Budget by Source'!$A$6:$I$330,MATCH('Payment by Source'!$A36,'Budget by Source'!$A$6:$A$330,0),MATCH(Q$3,'Budget by Source'!$A$5:$I$5,0))/10,0)*10)</f>
        <v>-5</v>
      </c>
      <c r="R36" s="154">
        <f>INDEX('Budget by Source'!$A$6:$I$330,MATCH('Payment by Source'!$A36,'Budget by Source'!$A$6:$A$330,0),MATCH(R$3,'Budget by Source'!$A$5:$I$5,0))-(ROUND(INDEX('Budget by Source'!$A$6:$I$330,MATCH('Payment by Source'!$A36,'Budget by Source'!$A$6:$A$330,0),MATCH(R$3,'Budget by Source'!$A$5:$I$5,0))/10,0)*10)</f>
        <v>-3</v>
      </c>
      <c r="S36" s="154">
        <f>INDEX('Budget by Source'!$A$6:$I$330,MATCH('Payment by Source'!$A36,'Budget by Source'!$A$6:$A$330,0),MATCH(S$3,'Budget by Source'!$A$5:$I$5,0))-(ROUND(INDEX('Budget by Source'!$A$6:$I$330,MATCH('Payment by Source'!$A36,'Budget by Source'!$A$6:$A$330,0),MATCH(S$3,'Budget by Source'!$A$5:$I$5,0))/10,0)*10)</f>
        <v>-4</v>
      </c>
      <c r="T36" s="154">
        <f>INDEX('Budget by Source'!$A$6:$I$330,MATCH('Payment by Source'!$A36,'Budget by Source'!$A$6:$A$330,0),MATCH(T$3,'Budget by Source'!$A$5:$I$5,0))-(ROUND(INDEX('Budget by Source'!$A$6:$I$330,MATCH('Payment by Source'!$A36,'Budget by Source'!$A$6:$A$330,0),MATCH(T$3,'Budget by Source'!$A$5:$I$5,0))/10,0)*10)</f>
        <v>-1</v>
      </c>
      <c r="U36" s="155">
        <f>INDEX('Budget by Source'!$A$6:$I$330,MATCH('Payment by Source'!$A36,'Budget by Source'!$A$6:$A$330,0),MATCH(U$3,'Budget by Source'!$A$5:$I$5,0))</f>
        <v>7484063</v>
      </c>
      <c r="V36" s="152">
        <f t="shared" si="1"/>
        <v>748406</v>
      </c>
      <c r="W36" s="152">
        <f t="shared" si="2"/>
        <v>7484060</v>
      </c>
    </row>
    <row r="37" spans="1:23" x14ac:dyDescent="0.2">
      <c r="A37" s="23" t="str">
        <f>Data!B33</f>
        <v>0621</v>
      </c>
      <c r="B37" s="21" t="str">
        <f>INDEX(Data[],MATCH($A37,Data[Dist],0),MATCH(B$5,Data[#Headers],0))</f>
        <v>Bettendorf</v>
      </c>
      <c r="C37" s="22">
        <f>IF(Notes!$B$2="June",ROUND('Budget by Source'!C37/10,0)+P37,ROUND('Budget by Source'!C37/10,0))</f>
        <v>96923</v>
      </c>
      <c r="D37" s="22">
        <f>IF(Notes!$B$2="June",ROUND('Budget by Source'!D37/10,0)+Q37,ROUND('Budget by Source'!D37/10,0))</f>
        <v>256683</v>
      </c>
      <c r="E37" s="22">
        <f>IF(Notes!$B$2="June",ROUND('Budget by Source'!E37/10,0)+R37,ROUND('Budget by Source'!E37/10,0))</f>
        <v>29751</v>
      </c>
      <c r="F37" s="22">
        <f>IF(Notes!$B$2="June",ROUND('Budget by Source'!F37/10,0)+S37,ROUND('Budget by Source'!F37/10,0))</f>
        <v>29346</v>
      </c>
      <c r="G37" s="22">
        <f>IF(Notes!$B$2="June",ROUND('Budget by Source'!G37/10,0)+T37,ROUND('Budget by Source'!G37/10,0))</f>
        <v>148046</v>
      </c>
      <c r="H37" s="22">
        <f t="shared" si="0"/>
        <v>2217606</v>
      </c>
      <c r="I37" s="22">
        <f>INDEX(Data[],MATCH($A37,Data[Dist],0),MATCH(I$5,Data[#Headers],0))</f>
        <v>2778355</v>
      </c>
      <c r="K37" s="69">
        <f>INDEX('Payment Total'!$A$7:$H$331,MATCH('Payment by Source'!$A37,'Payment Total'!$A$7:$A$331,0),3)-I37</f>
        <v>0</v>
      </c>
      <c r="P37" s="154">
        <f>INDEX('Budget by Source'!$A$6:$I$330,MATCH('Payment by Source'!$A37,'Budget by Source'!$A$6:$A$330,0),MATCH(P$3,'Budget by Source'!$A$5:$I$5,0))-(ROUND(INDEX('Budget by Source'!$A$6:$I$330,MATCH('Payment by Source'!$A37,'Budget by Source'!$A$6:$A$330,0),MATCH(P$3,'Budget by Source'!$A$5:$I$5,0))/10,0)*10)</f>
        <v>4</v>
      </c>
      <c r="Q37" s="154">
        <f>INDEX('Budget by Source'!$A$6:$I$330,MATCH('Payment by Source'!$A37,'Budget by Source'!$A$6:$A$330,0),MATCH(Q$3,'Budget by Source'!$A$5:$I$5,0))-(ROUND(INDEX('Budget by Source'!$A$6:$I$330,MATCH('Payment by Source'!$A37,'Budget by Source'!$A$6:$A$330,0),MATCH(Q$3,'Budget by Source'!$A$5:$I$5,0))/10,0)*10)</f>
        <v>0</v>
      </c>
      <c r="R37" s="154">
        <f>INDEX('Budget by Source'!$A$6:$I$330,MATCH('Payment by Source'!$A37,'Budget by Source'!$A$6:$A$330,0),MATCH(R$3,'Budget by Source'!$A$5:$I$5,0))-(ROUND(INDEX('Budget by Source'!$A$6:$I$330,MATCH('Payment by Source'!$A37,'Budget by Source'!$A$6:$A$330,0),MATCH(R$3,'Budget by Source'!$A$5:$I$5,0))/10,0)*10)</f>
        <v>4</v>
      </c>
      <c r="S37" s="154">
        <f>INDEX('Budget by Source'!$A$6:$I$330,MATCH('Payment by Source'!$A37,'Budget by Source'!$A$6:$A$330,0),MATCH(S$3,'Budget by Source'!$A$5:$I$5,0))-(ROUND(INDEX('Budget by Source'!$A$6:$I$330,MATCH('Payment by Source'!$A37,'Budget by Source'!$A$6:$A$330,0),MATCH(S$3,'Budget by Source'!$A$5:$I$5,0))/10,0)*10)</f>
        <v>-4</v>
      </c>
      <c r="T37" s="154">
        <f>INDEX('Budget by Source'!$A$6:$I$330,MATCH('Payment by Source'!$A37,'Budget by Source'!$A$6:$A$330,0),MATCH(T$3,'Budget by Source'!$A$5:$I$5,0))-(ROUND(INDEX('Budget by Source'!$A$6:$I$330,MATCH('Payment by Source'!$A37,'Budget by Source'!$A$6:$A$330,0),MATCH(T$3,'Budget by Source'!$A$5:$I$5,0))/10,0)*10)</f>
        <v>-1</v>
      </c>
      <c r="U37" s="155">
        <f>INDEX('Budget by Source'!$A$6:$I$330,MATCH('Payment by Source'!$A37,'Budget by Source'!$A$6:$A$330,0),MATCH(U$3,'Budget by Source'!$A$5:$I$5,0))</f>
        <v>22176053</v>
      </c>
      <c r="V37" s="152">
        <f t="shared" si="1"/>
        <v>2217605</v>
      </c>
      <c r="W37" s="152">
        <f t="shared" si="2"/>
        <v>22176050</v>
      </c>
    </row>
    <row r="38" spans="1:23" x14ac:dyDescent="0.2">
      <c r="A38" s="23" t="str">
        <f>Data!B34</f>
        <v>0657</v>
      </c>
      <c r="B38" s="21" t="str">
        <f>INDEX(Data[],MATCH($A38,Data[Dist],0),MATCH(B$5,Data[#Headers],0))</f>
        <v>Eddyville-Blakesburg-Fremont</v>
      </c>
      <c r="C38" s="22">
        <f>IF(Notes!$B$2="June",ROUND('Budget by Source'!C38/10,0)+P38,ROUND('Budget by Source'!C38/10,0))</f>
        <v>20145</v>
      </c>
      <c r="D38" s="22">
        <f>IF(Notes!$B$2="June",ROUND('Budget by Source'!D38/10,0)+Q38,ROUND('Budget by Source'!D38/10,0))</f>
        <v>56189</v>
      </c>
      <c r="E38" s="22">
        <f>IF(Notes!$B$2="June",ROUND('Budget by Source'!E38/10,0)+R38,ROUND('Budget by Source'!E38/10,0))</f>
        <v>7219</v>
      </c>
      <c r="F38" s="22">
        <f>IF(Notes!$B$2="June",ROUND('Budget by Source'!F38/10,0)+S38,ROUND('Budget by Source'!F38/10,0))</f>
        <v>5980</v>
      </c>
      <c r="G38" s="22">
        <f>IF(Notes!$B$2="June",ROUND('Budget by Source'!G38/10,0)+T38,ROUND('Budget by Source'!G38/10,0))</f>
        <v>30939</v>
      </c>
      <c r="H38" s="22">
        <f t="shared" si="0"/>
        <v>331101</v>
      </c>
      <c r="I38" s="22">
        <f>INDEX(Data[],MATCH($A38,Data[Dist],0),MATCH(I$5,Data[#Headers],0))</f>
        <v>451573</v>
      </c>
      <c r="K38" s="69">
        <f>INDEX('Payment Total'!$A$7:$H$331,MATCH('Payment by Source'!$A38,'Payment Total'!$A$7:$A$331,0),3)-I38</f>
        <v>0</v>
      </c>
      <c r="P38" s="154">
        <f>INDEX('Budget by Source'!$A$6:$I$330,MATCH('Payment by Source'!$A38,'Budget by Source'!$A$6:$A$330,0),MATCH(P$3,'Budget by Source'!$A$5:$I$5,0))-(ROUND(INDEX('Budget by Source'!$A$6:$I$330,MATCH('Payment by Source'!$A38,'Budget by Source'!$A$6:$A$330,0),MATCH(P$3,'Budget by Source'!$A$5:$I$5,0))/10,0)*10)</f>
        <v>-1</v>
      </c>
      <c r="Q38" s="154">
        <f>INDEX('Budget by Source'!$A$6:$I$330,MATCH('Payment by Source'!$A38,'Budget by Source'!$A$6:$A$330,0),MATCH(Q$3,'Budget by Source'!$A$5:$I$5,0))-(ROUND(INDEX('Budget by Source'!$A$6:$I$330,MATCH('Payment by Source'!$A38,'Budget by Source'!$A$6:$A$330,0),MATCH(Q$3,'Budget by Source'!$A$5:$I$5,0))/10,0)*10)</f>
        <v>1</v>
      </c>
      <c r="R38" s="154">
        <f>INDEX('Budget by Source'!$A$6:$I$330,MATCH('Payment by Source'!$A38,'Budget by Source'!$A$6:$A$330,0),MATCH(R$3,'Budget by Source'!$A$5:$I$5,0))-(ROUND(INDEX('Budget by Source'!$A$6:$I$330,MATCH('Payment by Source'!$A38,'Budget by Source'!$A$6:$A$330,0),MATCH(R$3,'Budget by Source'!$A$5:$I$5,0))/10,0)*10)</f>
        <v>4</v>
      </c>
      <c r="S38" s="154">
        <f>INDEX('Budget by Source'!$A$6:$I$330,MATCH('Payment by Source'!$A38,'Budget by Source'!$A$6:$A$330,0),MATCH(S$3,'Budget by Source'!$A$5:$I$5,0))-(ROUND(INDEX('Budget by Source'!$A$6:$I$330,MATCH('Payment by Source'!$A38,'Budget by Source'!$A$6:$A$330,0),MATCH(S$3,'Budget by Source'!$A$5:$I$5,0))/10,0)*10)</f>
        <v>3</v>
      </c>
      <c r="T38" s="154">
        <f>INDEX('Budget by Source'!$A$6:$I$330,MATCH('Payment by Source'!$A38,'Budget by Source'!$A$6:$A$330,0),MATCH(T$3,'Budget by Source'!$A$5:$I$5,0))-(ROUND(INDEX('Budget by Source'!$A$6:$I$330,MATCH('Payment by Source'!$A38,'Budget by Source'!$A$6:$A$330,0),MATCH(T$3,'Budget by Source'!$A$5:$I$5,0))/10,0)*10)</f>
        <v>0</v>
      </c>
      <c r="U38" s="155">
        <f>INDEX('Budget by Source'!$A$6:$I$330,MATCH('Payment by Source'!$A38,'Budget by Source'!$A$6:$A$330,0),MATCH(U$3,'Budget by Source'!$A$5:$I$5,0))</f>
        <v>3311003</v>
      </c>
      <c r="V38" s="152">
        <f t="shared" si="1"/>
        <v>331100</v>
      </c>
      <c r="W38" s="152">
        <f t="shared" si="2"/>
        <v>3311000</v>
      </c>
    </row>
    <row r="39" spans="1:23" x14ac:dyDescent="0.2">
      <c r="A39" s="23" t="str">
        <f>Data!B35</f>
        <v>0720</v>
      </c>
      <c r="B39" s="21" t="str">
        <f>INDEX(Data[],MATCH($A39,Data[Dist],0),MATCH(B$5,Data[#Headers],0))</f>
        <v>Bondurant-Farrar</v>
      </c>
      <c r="C39" s="22">
        <f>IF(Notes!$B$2="June",ROUND('Budget by Source'!C39/10,0)+P39,ROUND('Budget by Source'!C39/10,0))</f>
        <v>41430</v>
      </c>
      <c r="D39" s="22">
        <f>IF(Notes!$B$2="June",ROUND('Budget by Source'!D39/10,0)+Q39,ROUND('Budget by Source'!D39/10,0))</f>
        <v>157491</v>
      </c>
      <c r="E39" s="22">
        <f>IF(Notes!$B$2="June",ROUND('Budget by Source'!E39/10,0)+R39,ROUND('Budget by Source'!E39/10,0))</f>
        <v>19138</v>
      </c>
      <c r="F39" s="22">
        <f>IF(Notes!$B$2="June",ROUND('Budget by Source'!F39/10,0)+S39,ROUND('Budget by Source'!F39/10,0))</f>
        <v>16488</v>
      </c>
      <c r="G39" s="22">
        <f>IF(Notes!$B$2="June",ROUND('Budget by Source'!G39/10,0)+T39,ROUND('Budget by Source'!G39/10,0))</f>
        <v>92682</v>
      </c>
      <c r="H39" s="22">
        <f t="shared" si="0"/>
        <v>1531559</v>
      </c>
      <c r="I39" s="22">
        <f>INDEX(Data[],MATCH($A39,Data[Dist],0),MATCH(I$5,Data[#Headers],0))</f>
        <v>1858788</v>
      </c>
      <c r="K39" s="69">
        <f>INDEX('Payment Total'!$A$7:$H$331,MATCH('Payment by Source'!$A39,'Payment Total'!$A$7:$A$331,0),3)-I39</f>
        <v>0</v>
      </c>
      <c r="P39" s="154">
        <f>INDEX('Budget by Source'!$A$6:$I$330,MATCH('Payment by Source'!$A39,'Budget by Source'!$A$6:$A$330,0),MATCH(P$3,'Budget by Source'!$A$5:$I$5,0))-(ROUND(INDEX('Budget by Source'!$A$6:$I$330,MATCH('Payment by Source'!$A39,'Budget by Source'!$A$6:$A$330,0),MATCH(P$3,'Budget by Source'!$A$5:$I$5,0))/10,0)*10)</f>
        <v>0</v>
      </c>
      <c r="Q39" s="154">
        <f>INDEX('Budget by Source'!$A$6:$I$330,MATCH('Payment by Source'!$A39,'Budget by Source'!$A$6:$A$330,0),MATCH(Q$3,'Budget by Source'!$A$5:$I$5,0))-(ROUND(INDEX('Budget by Source'!$A$6:$I$330,MATCH('Payment by Source'!$A39,'Budget by Source'!$A$6:$A$330,0),MATCH(Q$3,'Budget by Source'!$A$5:$I$5,0))/10,0)*10)</f>
        <v>-4</v>
      </c>
      <c r="R39" s="154">
        <f>INDEX('Budget by Source'!$A$6:$I$330,MATCH('Payment by Source'!$A39,'Budget by Source'!$A$6:$A$330,0),MATCH(R$3,'Budget by Source'!$A$5:$I$5,0))-(ROUND(INDEX('Budget by Source'!$A$6:$I$330,MATCH('Payment by Source'!$A39,'Budget by Source'!$A$6:$A$330,0),MATCH(R$3,'Budget by Source'!$A$5:$I$5,0))/10,0)*10)</f>
        <v>4</v>
      </c>
      <c r="S39" s="154">
        <f>INDEX('Budget by Source'!$A$6:$I$330,MATCH('Payment by Source'!$A39,'Budget by Source'!$A$6:$A$330,0),MATCH(S$3,'Budget by Source'!$A$5:$I$5,0))-(ROUND(INDEX('Budget by Source'!$A$6:$I$330,MATCH('Payment by Source'!$A39,'Budget by Source'!$A$6:$A$330,0),MATCH(S$3,'Budget by Source'!$A$5:$I$5,0))/10,0)*10)</f>
        <v>-3</v>
      </c>
      <c r="T39" s="154">
        <f>INDEX('Budget by Source'!$A$6:$I$330,MATCH('Payment by Source'!$A39,'Budget by Source'!$A$6:$A$330,0),MATCH(T$3,'Budget by Source'!$A$5:$I$5,0))-(ROUND(INDEX('Budget by Source'!$A$6:$I$330,MATCH('Payment by Source'!$A39,'Budget by Source'!$A$6:$A$330,0),MATCH(T$3,'Budget by Source'!$A$5:$I$5,0))/10,0)*10)</f>
        <v>-4</v>
      </c>
      <c r="U39" s="155">
        <f>INDEX('Budget by Source'!$A$6:$I$330,MATCH('Payment by Source'!$A39,'Budget by Source'!$A$6:$A$330,0),MATCH(U$3,'Budget by Source'!$A$5:$I$5,0))</f>
        <v>15315598</v>
      </c>
      <c r="V39" s="152">
        <f t="shared" si="1"/>
        <v>1531560</v>
      </c>
      <c r="W39" s="152">
        <f t="shared" si="2"/>
        <v>15315600</v>
      </c>
    </row>
    <row r="40" spans="1:23" x14ac:dyDescent="0.2">
      <c r="A40" s="23" t="str">
        <f>Data!B36</f>
        <v>0729</v>
      </c>
      <c r="B40" s="21" t="str">
        <f>INDEX(Data[],MATCH($A40,Data[Dist],0),MATCH(B$5,Data[#Headers],0))</f>
        <v>Boone</v>
      </c>
      <c r="C40" s="22">
        <f>IF(Notes!$B$2="June",ROUND('Budget by Source'!C40/10,0)+P40,ROUND('Budget by Source'!C40/10,0))</f>
        <v>42570</v>
      </c>
      <c r="D40" s="22">
        <f>IF(Notes!$B$2="June",ROUND('Budget by Source'!D40/10,0)+Q40,ROUND('Budget by Source'!D40/10,0))</f>
        <v>135255</v>
      </c>
      <c r="E40" s="22">
        <f>IF(Notes!$B$2="June",ROUND('Budget by Source'!E40/10,0)+R40,ROUND('Budget by Source'!E40/10,0))</f>
        <v>15605</v>
      </c>
      <c r="F40" s="22">
        <f>IF(Notes!$B$2="June",ROUND('Budget by Source'!F40/10,0)+S40,ROUND('Budget by Source'!F40/10,0))</f>
        <v>16687</v>
      </c>
      <c r="G40" s="22">
        <f>IF(Notes!$B$2="June",ROUND('Budget by Source'!G40/10,0)+T40,ROUND('Budget by Source'!G40/10,0))</f>
        <v>75088</v>
      </c>
      <c r="H40" s="22">
        <f t="shared" si="0"/>
        <v>1339724</v>
      </c>
      <c r="I40" s="22">
        <f>INDEX(Data[],MATCH($A40,Data[Dist],0),MATCH(I$5,Data[#Headers],0))</f>
        <v>1624929</v>
      </c>
      <c r="K40" s="69">
        <f>INDEX('Payment Total'!$A$7:$H$331,MATCH('Payment by Source'!$A40,'Payment Total'!$A$7:$A$331,0),3)-I40</f>
        <v>0</v>
      </c>
      <c r="P40" s="154">
        <f>INDEX('Budget by Source'!$A$6:$I$330,MATCH('Payment by Source'!$A40,'Budget by Source'!$A$6:$A$330,0),MATCH(P$3,'Budget by Source'!$A$5:$I$5,0))-(ROUND(INDEX('Budget by Source'!$A$6:$I$330,MATCH('Payment by Source'!$A40,'Budget by Source'!$A$6:$A$330,0),MATCH(P$3,'Budget by Source'!$A$5:$I$5,0))/10,0)*10)</f>
        <v>2</v>
      </c>
      <c r="Q40" s="154">
        <f>INDEX('Budget by Source'!$A$6:$I$330,MATCH('Payment by Source'!$A40,'Budget by Source'!$A$6:$A$330,0),MATCH(Q$3,'Budget by Source'!$A$5:$I$5,0))-(ROUND(INDEX('Budget by Source'!$A$6:$I$330,MATCH('Payment by Source'!$A40,'Budget by Source'!$A$6:$A$330,0),MATCH(Q$3,'Budget by Source'!$A$5:$I$5,0))/10,0)*10)</f>
        <v>4</v>
      </c>
      <c r="R40" s="154">
        <f>INDEX('Budget by Source'!$A$6:$I$330,MATCH('Payment by Source'!$A40,'Budget by Source'!$A$6:$A$330,0),MATCH(R$3,'Budget by Source'!$A$5:$I$5,0))-(ROUND(INDEX('Budget by Source'!$A$6:$I$330,MATCH('Payment by Source'!$A40,'Budget by Source'!$A$6:$A$330,0),MATCH(R$3,'Budget by Source'!$A$5:$I$5,0))/10,0)*10)</f>
        <v>2</v>
      </c>
      <c r="S40" s="154">
        <f>INDEX('Budget by Source'!$A$6:$I$330,MATCH('Payment by Source'!$A40,'Budget by Source'!$A$6:$A$330,0),MATCH(S$3,'Budget by Source'!$A$5:$I$5,0))-(ROUND(INDEX('Budget by Source'!$A$6:$I$330,MATCH('Payment by Source'!$A40,'Budget by Source'!$A$6:$A$330,0),MATCH(S$3,'Budget by Source'!$A$5:$I$5,0))/10,0)*10)</f>
        <v>1</v>
      </c>
      <c r="T40" s="154">
        <f>INDEX('Budget by Source'!$A$6:$I$330,MATCH('Payment by Source'!$A40,'Budget by Source'!$A$6:$A$330,0),MATCH(T$3,'Budget by Source'!$A$5:$I$5,0))-(ROUND(INDEX('Budget by Source'!$A$6:$I$330,MATCH('Payment by Source'!$A40,'Budget by Source'!$A$6:$A$330,0),MATCH(T$3,'Budget by Source'!$A$5:$I$5,0))/10,0)*10)</f>
        <v>0</v>
      </c>
      <c r="U40" s="155">
        <f>INDEX('Budget by Source'!$A$6:$I$330,MATCH('Payment by Source'!$A40,'Budget by Source'!$A$6:$A$330,0),MATCH(U$3,'Budget by Source'!$A$5:$I$5,0))</f>
        <v>13397230</v>
      </c>
      <c r="V40" s="152">
        <f t="shared" si="1"/>
        <v>1339723</v>
      </c>
      <c r="W40" s="152">
        <f t="shared" si="2"/>
        <v>13397230</v>
      </c>
    </row>
    <row r="41" spans="1:23" x14ac:dyDescent="0.2">
      <c r="A41" s="23" t="str">
        <f>Data!B37</f>
        <v>0747</v>
      </c>
      <c r="B41" s="21" t="str">
        <f>INDEX(Data[],MATCH($A41,Data[Dist],0),MATCH(B$5,Data[#Headers],0))</f>
        <v>Boyden-Hull</v>
      </c>
      <c r="C41" s="22">
        <f>IF(Notes!$B$2="June",ROUND('Budget by Source'!C41/10,0)+P41,ROUND('Budget by Source'!C41/10,0))</f>
        <v>22806</v>
      </c>
      <c r="D41" s="22">
        <f>IF(Notes!$B$2="June",ROUND('Budget by Source'!D41/10,0)+Q41,ROUND('Budget by Source'!D41/10,0))</f>
        <v>36892</v>
      </c>
      <c r="E41" s="22">
        <f>IF(Notes!$B$2="June",ROUND('Budget by Source'!E41/10,0)+R41,ROUND('Budget by Source'!E41/10,0))</f>
        <v>4887</v>
      </c>
      <c r="F41" s="22">
        <f>IF(Notes!$B$2="June",ROUND('Budget by Source'!F41/10,0)+S41,ROUND('Budget by Source'!F41/10,0))</f>
        <v>4061</v>
      </c>
      <c r="G41" s="22">
        <f>IF(Notes!$B$2="June",ROUND('Budget by Source'!G41/10,0)+T41,ROUND('Budget by Source'!G41/10,0))</f>
        <v>20951</v>
      </c>
      <c r="H41" s="22">
        <f t="shared" si="0"/>
        <v>305447</v>
      </c>
      <c r="I41" s="22">
        <f>INDEX(Data[],MATCH($A41,Data[Dist],0),MATCH(I$5,Data[#Headers],0))</f>
        <v>395044</v>
      </c>
      <c r="K41" s="69">
        <f>INDEX('Payment Total'!$A$7:$H$331,MATCH('Payment by Source'!$A41,'Payment Total'!$A$7:$A$331,0),3)-I41</f>
        <v>0</v>
      </c>
      <c r="P41" s="154">
        <f>INDEX('Budget by Source'!$A$6:$I$330,MATCH('Payment by Source'!$A41,'Budget by Source'!$A$6:$A$330,0),MATCH(P$3,'Budget by Source'!$A$5:$I$5,0))-(ROUND(INDEX('Budget by Source'!$A$6:$I$330,MATCH('Payment by Source'!$A41,'Budget by Source'!$A$6:$A$330,0),MATCH(P$3,'Budget by Source'!$A$5:$I$5,0))/10,0)*10)</f>
        <v>-5</v>
      </c>
      <c r="Q41" s="154">
        <f>INDEX('Budget by Source'!$A$6:$I$330,MATCH('Payment by Source'!$A41,'Budget by Source'!$A$6:$A$330,0),MATCH(Q$3,'Budget by Source'!$A$5:$I$5,0))-(ROUND(INDEX('Budget by Source'!$A$6:$I$330,MATCH('Payment by Source'!$A41,'Budget by Source'!$A$6:$A$330,0),MATCH(Q$3,'Budget by Source'!$A$5:$I$5,0))/10,0)*10)</f>
        <v>2</v>
      </c>
      <c r="R41" s="154">
        <f>INDEX('Budget by Source'!$A$6:$I$330,MATCH('Payment by Source'!$A41,'Budget by Source'!$A$6:$A$330,0),MATCH(R$3,'Budget by Source'!$A$5:$I$5,0))-(ROUND(INDEX('Budget by Source'!$A$6:$I$330,MATCH('Payment by Source'!$A41,'Budget by Source'!$A$6:$A$330,0),MATCH(R$3,'Budget by Source'!$A$5:$I$5,0))/10,0)*10)</f>
        <v>4</v>
      </c>
      <c r="S41" s="154">
        <f>INDEX('Budget by Source'!$A$6:$I$330,MATCH('Payment by Source'!$A41,'Budget by Source'!$A$6:$A$330,0),MATCH(S$3,'Budget by Source'!$A$5:$I$5,0))-(ROUND(INDEX('Budget by Source'!$A$6:$I$330,MATCH('Payment by Source'!$A41,'Budget by Source'!$A$6:$A$330,0),MATCH(S$3,'Budget by Source'!$A$5:$I$5,0))/10,0)*10)</f>
        <v>4</v>
      </c>
      <c r="T41" s="154">
        <f>INDEX('Budget by Source'!$A$6:$I$330,MATCH('Payment by Source'!$A41,'Budget by Source'!$A$6:$A$330,0),MATCH(T$3,'Budget by Source'!$A$5:$I$5,0))-(ROUND(INDEX('Budget by Source'!$A$6:$I$330,MATCH('Payment by Source'!$A41,'Budget by Source'!$A$6:$A$330,0),MATCH(T$3,'Budget by Source'!$A$5:$I$5,0))/10,0)*10)</f>
        <v>-1</v>
      </c>
      <c r="U41" s="155">
        <f>INDEX('Budget by Source'!$A$6:$I$330,MATCH('Payment by Source'!$A41,'Budget by Source'!$A$6:$A$330,0),MATCH(U$3,'Budget by Source'!$A$5:$I$5,0))</f>
        <v>3054469</v>
      </c>
      <c r="V41" s="152">
        <f t="shared" si="1"/>
        <v>305447</v>
      </c>
      <c r="W41" s="152">
        <f t="shared" si="2"/>
        <v>3054470</v>
      </c>
    </row>
    <row r="42" spans="1:23" x14ac:dyDescent="0.2">
      <c r="A42" s="23" t="str">
        <f>Data!B38</f>
        <v>0819</v>
      </c>
      <c r="B42" s="21" t="str">
        <f>INDEX(Data[],MATCH($A42,Data[Dist],0),MATCH(B$5,Data[#Headers],0))</f>
        <v>West Hancock</v>
      </c>
      <c r="C42" s="22">
        <f>IF(Notes!$B$2="June",ROUND('Budget by Source'!C42/10,0)+P42,ROUND('Budget by Source'!C42/10,0))</f>
        <v>15584</v>
      </c>
      <c r="D42" s="22">
        <f>IF(Notes!$B$2="June",ROUND('Budget by Source'!D42/10,0)+Q42,ROUND('Budget by Source'!D42/10,0))</f>
        <v>36907</v>
      </c>
      <c r="E42" s="22">
        <f>IF(Notes!$B$2="June",ROUND('Budget by Source'!E42/10,0)+R42,ROUND('Budget by Source'!E42/10,0))</f>
        <v>4281</v>
      </c>
      <c r="F42" s="22">
        <f>IF(Notes!$B$2="June",ROUND('Budget by Source'!F42/10,0)+S42,ROUND('Budget by Source'!F42/10,0))</f>
        <v>3832</v>
      </c>
      <c r="G42" s="22">
        <f>IF(Notes!$B$2="June",ROUND('Budget by Source'!G42/10,0)+T42,ROUND('Budget by Source'!G42/10,0))</f>
        <v>20612</v>
      </c>
      <c r="H42" s="22">
        <f t="shared" si="0"/>
        <v>243918</v>
      </c>
      <c r="I42" s="22">
        <f>INDEX(Data[],MATCH($A42,Data[Dist],0),MATCH(I$5,Data[#Headers],0))</f>
        <v>325134</v>
      </c>
      <c r="K42" s="69">
        <f>INDEX('Payment Total'!$A$7:$H$331,MATCH('Payment by Source'!$A42,'Payment Total'!$A$7:$A$331,0),3)-I42</f>
        <v>0</v>
      </c>
      <c r="P42" s="154">
        <f>INDEX('Budget by Source'!$A$6:$I$330,MATCH('Payment by Source'!$A42,'Budget by Source'!$A$6:$A$330,0),MATCH(P$3,'Budget by Source'!$A$5:$I$5,0))-(ROUND(INDEX('Budget by Source'!$A$6:$I$330,MATCH('Payment by Source'!$A42,'Budget by Source'!$A$6:$A$330,0),MATCH(P$3,'Budget by Source'!$A$5:$I$5,0))/10,0)*10)</f>
        <v>-2</v>
      </c>
      <c r="Q42" s="154">
        <f>INDEX('Budget by Source'!$A$6:$I$330,MATCH('Payment by Source'!$A42,'Budget by Source'!$A$6:$A$330,0),MATCH(Q$3,'Budget by Source'!$A$5:$I$5,0))-(ROUND(INDEX('Budget by Source'!$A$6:$I$330,MATCH('Payment by Source'!$A42,'Budget by Source'!$A$6:$A$330,0),MATCH(Q$3,'Budget by Source'!$A$5:$I$5,0))/10,0)*10)</f>
        <v>1</v>
      </c>
      <c r="R42" s="154">
        <f>INDEX('Budget by Source'!$A$6:$I$330,MATCH('Payment by Source'!$A42,'Budget by Source'!$A$6:$A$330,0),MATCH(R$3,'Budget by Source'!$A$5:$I$5,0))-(ROUND(INDEX('Budget by Source'!$A$6:$I$330,MATCH('Payment by Source'!$A42,'Budget by Source'!$A$6:$A$330,0),MATCH(R$3,'Budget by Source'!$A$5:$I$5,0))/10,0)*10)</f>
        <v>4</v>
      </c>
      <c r="S42" s="154">
        <f>INDEX('Budget by Source'!$A$6:$I$330,MATCH('Payment by Source'!$A42,'Budget by Source'!$A$6:$A$330,0),MATCH(S$3,'Budget by Source'!$A$5:$I$5,0))-(ROUND(INDEX('Budget by Source'!$A$6:$I$330,MATCH('Payment by Source'!$A42,'Budget by Source'!$A$6:$A$330,0),MATCH(S$3,'Budget by Source'!$A$5:$I$5,0))/10,0)*10)</f>
        <v>3</v>
      </c>
      <c r="T42" s="154">
        <f>INDEX('Budget by Source'!$A$6:$I$330,MATCH('Payment by Source'!$A42,'Budget by Source'!$A$6:$A$330,0),MATCH(T$3,'Budget by Source'!$A$5:$I$5,0))-(ROUND(INDEX('Budget by Source'!$A$6:$I$330,MATCH('Payment by Source'!$A42,'Budget by Source'!$A$6:$A$330,0),MATCH(T$3,'Budget by Source'!$A$5:$I$5,0))/10,0)*10)</f>
        <v>-1</v>
      </c>
      <c r="U42" s="155">
        <f>INDEX('Budget by Source'!$A$6:$I$330,MATCH('Payment by Source'!$A42,'Budget by Source'!$A$6:$A$330,0),MATCH(U$3,'Budget by Source'!$A$5:$I$5,0))</f>
        <v>2439170</v>
      </c>
      <c r="V42" s="152">
        <f t="shared" si="1"/>
        <v>243917</v>
      </c>
      <c r="W42" s="152">
        <f t="shared" si="2"/>
        <v>2439170</v>
      </c>
    </row>
    <row r="43" spans="1:23" x14ac:dyDescent="0.2">
      <c r="A43" s="23" t="str">
        <f>Data!B39</f>
        <v>0846</v>
      </c>
      <c r="B43" s="21" t="str">
        <f>INDEX(Data[],MATCH($A43,Data[Dist],0),MATCH(B$5,Data[#Headers],0))</f>
        <v>Brooklyn-Guernsey-Malcom</v>
      </c>
      <c r="C43" s="22">
        <f>IF(Notes!$B$2="June",ROUND('Budget by Source'!C43/10,0)+P43,ROUND('Budget by Source'!C43/10,0))</f>
        <v>10263</v>
      </c>
      <c r="D43" s="22">
        <f>IF(Notes!$B$2="June",ROUND('Budget by Source'!D43/10,0)+Q43,ROUND('Budget by Source'!D43/10,0))</f>
        <v>35361</v>
      </c>
      <c r="E43" s="22">
        <f>IF(Notes!$B$2="June",ROUND('Budget by Source'!E43/10,0)+R43,ROUND('Budget by Source'!E43/10,0))</f>
        <v>3848</v>
      </c>
      <c r="F43" s="22">
        <f>IF(Notes!$B$2="June",ROUND('Budget by Source'!F43/10,0)+S43,ROUND('Budget by Source'!F43/10,0))</f>
        <v>3600</v>
      </c>
      <c r="G43" s="22">
        <f>IF(Notes!$B$2="June",ROUND('Budget by Source'!G43/10,0)+T43,ROUND('Budget by Source'!G43/10,0))</f>
        <v>19028</v>
      </c>
      <c r="H43" s="22">
        <f t="shared" si="0"/>
        <v>255862</v>
      </c>
      <c r="I43" s="22">
        <f>INDEX(Data[],MATCH($A43,Data[Dist],0),MATCH(I$5,Data[#Headers],0))</f>
        <v>327962</v>
      </c>
      <c r="K43" s="69">
        <f>INDEX('Payment Total'!$A$7:$H$331,MATCH('Payment by Source'!$A43,'Payment Total'!$A$7:$A$331,0),3)-I43</f>
        <v>0</v>
      </c>
      <c r="P43" s="154">
        <f>INDEX('Budget by Source'!$A$6:$I$330,MATCH('Payment by Source'!$A43,'Budget by Source'!$A$6:$A$330,0),MATCH(P$3,'Budget by Source'!$A$5:$I$5,0))-(ROUND(INDEX('Budget by Source'!$A$6:$I$330,MATCH('Payment by Source'!$A43,'Budget by Source'!$A$6:$A$330,0),MATCH(P$3,'Budget by Source'!$A$5:$I$5,0))/10,0)*10)</f>
        <v>-5</v>
      </c>
      <c r="Q43" s="154">
        <f>INDEX('Budget by Source'!$A$6:$I$330,MATCH('Payment by Source'!$A43,'Budget by Source'!$A$6:$A$330,0),MATCH(Q$3,'Budget by Source'!$A$5:$I$5,0))-(ROUND(INDEX('Budget by Source'!$A$6:$I$330,MATCH('Payment by Source'!$A43,'Budget by Source'!$A$6:$A$330,0),MATCH(Q$3,'Budget by Source'!$A$5:$I$5,0))/10,0)*10)</f>
        <v>0</v>
      </c>
      <c r="R43" s="154">
        <f>INDEX('Budget by Source'!$A$6:$I$330,MATCH('Payment by Source'!$A43,'Budget by Source'!$A$6:$A$330,0),MATCH(R$3,'Budget by Source'!$A$5:$I$5,0))-(ROUND(INDEX('Budget by Source'!$A$6:$I$330,MATCH('Payment by Source'!$A43,'Budget by Source'!$A$6:$A$330,0),MATCH(R$3,'Budget by Source'!$A$5:$I$5,0))/10,0)*10)</f>
        <v>-4</v>
      </c>
      <c r="S43" s="154">
        <f>INDEX('Budget by Source'!$A$6:$I$330,MATCH('Payment by Source'!$A43,'Budget by Source'!$A$6:$A$330,0),MATCH(S$3,'Budget by Source'!$A$5:$I$5,0))-(ROUND(INDEX('Budget by Source'!$A$6:$I$330,MATCH('Payment by Source'!$A43,'Budget by Source'!$A$6:$A$330,0),MATCH(S$3,'Budget by Source'!$A$5:$I$5,0))/10,0)*10)</f>
        <v>-2</v>
      </c>
      <c r="T43" s="154">
        <f>INDEX('Budget by Source'!$A$6:$I$330,MATCH('Payment by Source'!$A43,'Budget by Source'!$A$6:$A$330,0),MATCH(T$3,'Budget by Source'!$A$5:$I$5,0))-(ROUND(INDEX('Budget by Source'!$A$6:$I$330,MATCH('Payment by Source'!$A43,'Budget by Source'!$A$6:$A$330,0),MATCH(T$3,'Budget by Source'!$A$5:$I$5,0))/10,0)*10)</f>
        <v>-2</v>
      </c>
      <c r="U43" s="155">
        <f>INDEX('Budget by Source'!$A$6:$I$330,MATCH('Payment by Source'!$A43,'Budget by Source'!$A$6:$A$330,0),MATCH(U$3,'Budget by Source'!$A$5:$I$5,0))</f>
        <v>2558634</v>
      </c>
      <c r="V43" s="152">
        <f t="shared" si="1"/>
        <v>255863</v>
      </c>
      <c r="W43" s="152">
        <f t="shared" si="2"/>
        <v>2558630</v>
      </c>
    </row>
    <row r="44" spans="1:23" x14ac:dyDescent="0.2">
      <c r="A44" s="23" t="str">
        <f>Data!B40</f>
        <v>0873</v>
      </c>
      <c r="B44" s="21" t="str">
        <f>INDEX(Data[],MATCH($A44,Data[Dist],0),MATCH(B$5,Data[#Headers],0))</f>
        <v>North Iowa</v>
      </c>
      <c r="C44" s="22">
        <f>IF(Notes!$B$2="June",ROUND('Budget by Source'!C44/10,0)+P44,ROUND('Budget by Source'!C44/10,0))</f>
        <v>12163</v>
      </c>
      <c r="D44" s="22">
        <f>IF(Notes!$B$2="June",ROUND('Budget by Source'!D44/10,0)+Q44,ROUND('Budget by Source'!D44/10,0))</f>
        <v>33464</v>
      </c>
      <c r="E44" s="22">
        <f>IF(Notes!$B$2="June",ROUND('Budget by Source'!E44/10,0)+R44,ROUND('Budget by Source'!E44/10,0))</f>
        <v>3526</v>
      </c>
      <c r="F44" s="22">
        <f>IF(Notes!$B$2="June",ROUND('Budget by Source'!F44/10,0)+S44,ROUND('Budget by Source'!F44/10,0))</f>
        <v>3662</v>
      </c>
      <c r="G44" s="22">
        <f>IF(Notes!$B$2="June",ROUND('Budget by Source'!G44/10,0)+T44,ROUND('Budget by Source'!G44/10,0))</f>
        <v>17818</v>
      </c>
      <c r="H44" s="22">
        <f t="shared" si="0"/>
        <v>182336</v>
      </c>
      <c r="I44" s="22">
        <f>INDEX(Data[],MATCH($A44,Data[Dist],0),MATCH(I$5,Data[#Headers],0))</f>
        <v>252969</v>
      </c>
      <c r="K44" s="69">
        <f>INDEX('Payment Total'!$A$7:$H$331,MATCH('Payment by Source'!$A44,'Payment Total'!$A$7:$A$331,0),3)-I44</f>
        <v>0</v>
      </c>
      <c r="P44" s="154">
        <f>INDEX('Budget by Source'!$A$6:$I$330,MATCH('Payment by Source'!$A44,'Budget by Source'!$A$6:$A$330,0),MATCH(P$3,'Budget by Source'!$A$5:$I$5,0))-(ROUND(INDEX('Budget by Source'!$A$6:$I$330,MATCH('Payment by Source'!$A44,'Budget by Source'!$A$6:$A$330,0),MATCH(P$3,'Budget by Source'!$A$5:$I$5,0))/10,0)*10)</f>
        <v>-1</v>
      </c>
      <c r="Q44" s="154">
        <f>INDEX('Budget by Source'!$A$6:$I$330,MATCH('Payment by Source'!$A44,'Budget by Source'!$A$6:$A$330,0),MATCH(Q$3,'Budget by Source'!$A$5:$I$5,0))-(ROUND(INDEX('Budget by Source'!$A$6:$I$330,MATCH('Payment by Source'!$A44,'Budget by Source'!$A$6:$A$330,0),MATCH(Q$3,'Budget by Source'!$A$5:$I$5,0))/10,0)*10)</f>
        <v>-5</v>
      </c>
      <c r="R44" s="154">
        <f>INDEX('Budget by Source'!$A$6:$I$330,MATCH('Payment by Source'!$A44,'Budget by Source'!$A$6:$A$330,0),MATCH(R$3,'Budget by Source'!$A$5:$I$5,0))-(ROUND(INDEX('Budget by Source'!$A$6:$I$330,MATCH('Payment by Source'!$A44,'Budget by Source'!$A$6:$A$330,0),MATCH(R$3,'Budget by Source'!$A$5:$I$5,0))/10,0)*10)</f>
        <v>2</v>
      </c>
      <c r="S44" s="154">
        <f>INDEX('Budget by Source'!$A$6:$I$330,MATCH('Payment by Source'!$A44,'Budget by Source'!$A$6:$A$330,0),MATCH(S$3,'Budget by Source'!$A$5:$I$5,0))-(ROUND(INDEX('Budget by Source'!$A$6:$I$330,MATCH('Payment by Source'!$A44,'Budget by Source'!$A$6:$A$330,0),MATCH(S$3,'Budget by Source'!$A$5:$I$5,0))/10,0)*10)</f>
        <v>0</v>
      </c>
      <c r="T44" s="154">
        <f>INDEX('Budget by Source'!$A$6:$I$330,MATCH('Payment by Source'!$A44,'Budget by Source'!$A$6:$A$330,0),MATCH(T$3,'Budget by Source'!$A$5:$I$5,0))-(ROUND(INDEX('Budget by Source'!$A$6:$I$330,MATCH('Payment by Source'!$A44,'Budget by Source'!$A$6:$A$330,0),MATCH(T$3,'Budget by Source'!$A$5:$I$5,0))/10,0)*10)</f>
        <v>4</v>
      </c>
      <c r="U44" s="155">
        <f>INDEX('Budget by Source'!$A$6:$I$330,MATCH('Payment by Source'!$A44,'Budget by Source'!$A$6:$A$330,0),MATCH(U$3,'Budget by Source'!$A$5:$I$5,0))</f>
        <v>1823362</v>
      </c>
      <c r="V44" s="152">
        <f t="shared" si="1"/>
        <v>182336</v>
      </c>
      <c r="W44" s="152">
        <f t="shared" si="2"/>
        <v>1823360</v>
      </c>
    </row>
    <row r="45" spans="1:23" x14ac:dyDescent="0.2">
      <c r="A45" s="23" t="str">
        <f>Data!B41</f>
        <v>0882</v>
      </c>
      <c r="B45" s="21" t="str">
        <f>INDEX(Data[],MATCH($A45,Data[Dist],0),MATCH(B$5,Data[#Headers],0))</f>
        <v>Burlington</v>
      </c>
      <c r="C45" s="22">
        <f>IF(Notes!$B$2="June",ROUND('Budget by Source'!C45/10,0)+P45,ROUND('Budget by Source'!C45/10,0))</f>
        <v>58914</v>
      </c>
      <c r="D45" s="22">
        <f>IF(Notes!$B$2="June",ROUND('Budget by Source'!D45/10,0)+Q45,ROUND('Budget by Source'!D45/10,0))</f>
        <v>248929</v>
      </c>
      <c r="E45" s="22">
        <f>IF(Notes!$B$2="June",ROUND('Budget by Source'!E45/10,0)+R45,ROUND('Budget by Source'!E45/10,0))</f>
        <v>33715</v>
      </c>
      <c r="F45" s="22">
        <f>IF(Notes!$B$2="June",ROUND('Budget by Source'!F45/10,0)+S45,ROUND('Budget by Source'!F45/10,0))</f>
        <v>27462</v>
      </c>
      <c r="G45" s="22">
        <f>IF(Notes!$B$2="June",ROUND('Budget by Source'!G45/10,0)+T45,ROUND('Budget by Source'!G45/10,0))</f>
        <v>142260</v>
      </c>
      <c r="H45" s="22">
        <f t="shared" si="0"/>
        <v>2622753</v>
      </c>
      <c r="I45" s="22">
        <f>INDEX(Data[],MATCH($A45,Data[Dist],0),MATCH(I$5,Data[#Headers],0))</f>
        <v>3134033</v>
      </c>
      <c r="K45" s="69">
        <f>INDEX('Payment Total'!$A$7:$H$331,MATCH('Payment by Source'!$A45,'Payment Total'!$A$7:$A$331,0),3)-I45</f>
        <v>0</v>
      </c>
      <c r="P45" s="154">
        <f>INDEX('Budget by Source'!$A$6:$I$330,MATCH('Payment by Source'!$A45,'Budget by Source'!$A$6:$A$330,0),MATCH(P$3,'Budget by Source'!$A$5:$I$5,0))-(ROUND(INDEX('Budget by Source'!$A$6:$I$330,MATCH('Payment by Source'!$A45,'Budget by Source'!$A$6:$A$330,0),MATCH(P$3,'Budget by Source'!$A$5:$I$5,0))/10,0)*10)</f>
        <v>2</v>
      </c>
      <c r="Q45" s="154">
        <f>INDEX('Budget by Source'!$A$6:$I$330,MATCH('Payment by Source'!$A45,'Budget by Source'!$A$6:$A$330,0),MATCH(Q$3,'Budget by Source'!$A$5:$I$5,0))-(ROUND(INDEX('Budget by Source'!$A$6:$I$330,MATCH('Payment by Source'!$A45,'Budget by Source'!$A$6:$A$330,0),MATCH(Q$3,'Budget by Source'!$A$5:$I$5,0))/10,0)*10)</f>
        <v>-1</v>
      </c>
      <c r="R45" s="154">
        <f>INDEX('Budget by Source'!$A$6:$I$330,MATCH('Payment by Source'!$A45,'Budget by Source'!$A$6:$A$330,0),MATCH(R$3,'Budget by Source'!$A$5:$I$5,0))-(ROUND(INDEX('Budget by Source'!$A$6:$I$330,MATCH('Payment by Source'!$A45,'Budget by Source'!$A$6:$A$330,0),MATCH(R$3,'Budget by Source'!$A$5:$I$5,0))/10,0)*10)</f>
        <v>0</v>
      </c>
      <c r="S45" s="154">
        <f>INDEX('Budget by Source'!$A$6:$I$330,MATCH('Payment by Source'!$A45,'Budget by Source'!$A$6:$A$330,0),MATCH(S$3,'Budget by Source'!$A$5:$I$5,0))-(ROUND(INDEX('Budget by Source'!$A$6:$I$330,MATCH('Payment by Source'!$A45,'Budget by Source'!$A$6:$A$330,0),MATCH(S$3,'Budget by Source'!$A$5:$I$5,0))/10,0)*10)</f>
        <v>-5</v>
      </c>
      <c r="T45" s="154">
        <f>INDEX('Budget by Source'!$A$6:$I$330,MATCH('Payment by Source'!$A45,'Budget by Source'!$A$6:$A$330,0),MATCH(T$3,'Budget by Source'!$A$5:$I$5,0))-(ROUND(INDEX('Budget by Source'!$A$6:$I$330,MATCH('Payment by Source'!$A45,'Budget by Source'!$A$6:$A$330,0),MATCH(T$3,'Budget by Source'!$A$5:$I$5,0))/10,0)*10)</f>
        <v>0</v>
      </c>
      <c r="U45" s="155">
        <f>INDEX('Budget by Source'!$A$6:$I$330,MATCH('Payment by Source'!$A45,'Budget by Source'!$A$6:$A$330,0),MATCH(U$3,'Budget by Source'!$A$5:$I$5,0))</f>
        <v>26227536</v>
      </c>
      <c r="V45" s="152">
        <f t="shared" si="1"/>
        <v>2622754</v>
      </c>
      <c r="W45" s="152">
        <f t="shared" si="2"/>
        <v>26227540</v>
      </c>
    </row>
    <row r="46" spans="1:23" x14ac:dyDescent="0.2">
      <c r="A46" s="23" t="str">
        <f>Data!B42</f>
        <v>0914</v>
      </c>
      <c r="B46" s="21" t="str">
        <f>INDEX(Data[],MATCH($A46,Data[Dist],0),MATCH(B$5,Data[#Headers],0))</f>
        <v>CAM</v>
      </c>
      <c r="C46" s="22">
        <f>IF(Notes!$B$2="June",ROUND('Budget by Source'!C46/10,0)+P46,ROUND('Budget by Source'!C46/10,0))</f>
        <v>9502</v>
      </c>
      <c r="D46" s="22">
        <f>IF(Notes!$B$2="June",ROUND('Budget by Source'!D46/10,0)+Q46,ROUND('Budget by Source'!D46/10,0))</f>
        <v>32653</v>
      </c>
      <c r="E46" s="22">
        <f>IF(Notes!$B$2="June",ROUND('Budget by Source'!E46/10,0)+R46,ROUND('Budget by Source'!E46/10,0))</f>
        <v>3436</v>
      </c>
      <c r="F46" s="22">
        <f>IF(Notes!$B$2="June",ROUND('Budget by Source'!F46/10,0)+S46,ROUND('Budget by Source'!F46/10,0))</f>
        <v>3334</v>
      </c>
      <c r="G46" s="22">
        <f>IF(Notes!$B$2="June",ROUND('Budget by Source'!G46/10,0)+T46,ROUND('Budget by Source'!G46/10,0))</f>
        <v>17096</v>
      </c>
      <c r="H46" s="22">
        <f t="shared" si="0"/>
        <v>116507</v>
      </c>
      <c r="I46" s="22">
        <f>INDEX(Data[],MATCH($A46,Data[Dist],0),MATCH(I$5,Data[#Headers],0))</f>
        <v>182528</v>
      </c>
      <c r="K46" s="69">
        <f>INDEX('Payment Total'!$A$7:$H$331,MATCH('Payment by Source'!$A46,'Payment Total'!$A$7:$A$331,0),3)-I46</f>
        <v>0</v>
      </c>
      <c r="P46" s="154">
        <f>INDEX('Budget by Source'!$A$6:$I$330,MATCH('Payment by Source'!$A46,'Budget by Source'!$A$6:$A$330,0),MATCH(P$3,'Budget by Source'!$A$5:$I$5,0))-(ROUND(INDEX('Budget by Source'!$A$6:$I$330,MATCH('Payment by Source'!$A46,'Budget by Source'!$A$6:$A$330,0),MATCH(P$3,'Budget by Source'!$A$5:$I$5,0))/10,0)*10)</f>
        <v>3</v>
      </c>
      <c r="Q46" s="154">
        <f>INDEX('Budget by Source'!$A$6:$I$330,MATCH('Payment by Source'!$A46,'Budget by Source'!$A$6:$A$330,0),MATCH(Q$3,'Budget by Source'!$A$5:$I$5,0))-(ROUND(INDEX('Budget by Source'!$A$6:$I$330,MATCH('Payment by Source'!$A46,'Budget by Source'!$A$6:$A$330,0),MATCH(Q$3,'Budget by Source'!$A$5:$I$5,0))/10,0)*10)</f>
        <v>0</v>
      </c>
      <c r="R46" s="154">
        <f>INDEX('Budget by Source'!$A$6:$I$330,MATCH('Payment by Source'!$A46,'Budget by Source'!$A$6:$A$330,0),MATCH(R$3,'Budget by Source'!$A$5:$I$5,0))-(ROUND(INDEX('Budget by Source'!$A$6:$I$330,MATCH('Payment by Source'!$A46,'Budget by Source'!$A$6:$A$330,0),MATCH(R$3,'Budget by Source'!$A$5:$I$5,0))/10,0)*10)</f>
        <v>1</v>
      </c>
      <c r="S46" s="154">
        <f>INDEX('Budget by Source'!$A$6:$I$330,MATCH('Payment by Source'!$A46,'Budget by Source'!$A$6:$A$330,0),MATCH(S$3,'Budget by Source'!$A$5:$I$5,0))-(ROUND(INDEX('Budget by Source'!$A$6:$I$330,MATCH('Payment by Source'!$A46,'Budget by Source'!$A$6:$A$330,0),MATCH(S$3,'Budget by Source'!$A$5:$I$5,0))/10,0)*10)</f>
        <v>-4</v>
      </c>
      <c r="T46" s="154">
        <f>INDEX('Budget by Source'!$A$6:$I$330,MATCH('Payment by Source'!$A46,'Budget by Source'!$A$6:$A$330,0),MATCH(T$3,'Budget by Source'!$A$5:$I$5,0))-(ROUND(INDEX('Budget by Source'!$A$6:$I$330,MATCH('Payment by Source'!$A46,'Budget by Source'!$A$6:$A$330,0),MATCH(T$3,'Budget by Source'!$A$5:$I$5,0))/10,0)*10)</f>
        <v>1</v>
      </c>
      <c r="U46" s="155">
        <f>INDEX('Budget by Source'!$A$6:$I$330,MATCH('Payment by Source'!$A46,'Budget by Source'!$A$6:$A$330,0),MATCH(U$3,'Budget by Source'!$A$5:$I$5,0))</f>
        <v>1165068</v>
      </c>
      <c r="V46" s="152">
        <f t="shared" si="1"/>
        <v>116507</v>
      </c>
      <c r="W46" s="152">
        <f t="shared" si="2"/>
        <v>1165070</v>
      </c>
    </row>
    <row r="47" spans="1:23" x14ac:dyDescent="0.2">
      <c r="A47" s="23" t="str">
        <f>Data!B43</f>
        <v>0916</v>
      </c>
      <c r="B47" s="21" t="str">
        <f>INDEX(Data[],MATCH($A47,Data[Dist],0),MATCH(B$5,Data[#Headers],0))</f>
        <v>CAL</v>
      </c>
      <c r="C47" s="22">
        <f>IF(Notes!$B$2="June",ROUND('Budget by Source'!C47/10,0)+P47,ROUND('Budget by Source'!C47/10,0))</f>
        <v>5321</v>
      </c>
      <c r="D47" s="22">
        <f>IF(Notes!$B$2="June",ROUND('Budget by Source'!D47/10,0)+Q47,ROUND('Budget by Source'!D47/10,0))</f>
        <v>20516</v>
      </c>
      <c r="E47" s="22">
        <f>IF(Notes!$B$2="June",ROUND('Budget by Source'!E47/10,0)+R47,ROUND('Budget by Source'!E47/10,0))</f>
        <v>2337</v>
      </c>
      <c r="F47" s="22">
        <f>IF(Notes!$B$2="June",ROUND('Budget by Source'!F47/10,0)+S47,ROUND('Budget by Source'!F47/10,0))</f>
        <v>2267</v>
      </c>
      <c r="G47" s="22">
        <f>IF(Notes!$B$2="June",ROUND('Budget by Source'!G47/10,0)+T47,ROUND('Budget by Source'!G47/10,0))</f>
        <v>10348</v>
      </c>
      <c r="H47" s="22">
        <f t="shared" si="0"/>
        <v>147676</v>
      </c>
      <c r="I47" s="22">
        <f>INDEX(Data[],MATCH($A47,Data[Dist],0),MATCH(I$5,Data[#Headers],0))</f>
        <v>188465</v>
      </c>
      <c r="K47" s="69">
        <f>INDEX('Payment Total'!$A$7:$H$331,MATCH('Payment by Source'!$A47,'Payment Total'!$A$7:$A$331,0),3)-I47</f>
        <v>0</v>
      </c>
      <c r="P47" s="154">
        <f>INDEX('Budget by Source'!$A$6:$I$330,MATCH('Payment by Source'!$A47,'Budget by Source'!$A$6:$A$330,0),MATCH(P$3,'Budget by Source'!$A$5:$I$5,0))-(ROUND(INDEX('Budget by Source'!$A$6:$I$330,MATCH('Payment by Source'!$A47,'Budget by Source'!$A$6:$A$330,0),MATCH(P$3,'Budget by Source'!$A$5:$I$5,0))/10,0)*10)</f>
        <v>3</v>
      </c>
      <c r="Q47" s="154">
        <f>INDEX('Budget by Source'!$A$6:$I$330,MATCH('Payment by Source'!$A47,'Budget by Source'!$A$6:$A$330,0),MATCH(Q$3,'Budget by Source'!$A$5:$I$5,0))-(ROUND(INDEX('Budget by Source'!$A$6:$I$330,MATCH('Payment by Source'!$A47,'Budget by Source'!$A$6:$A$330,0),MATCH(Q$3,'Budget by Source'!$A$5:$I$5,0))/10,0)*10)</f>
        <v>1</v>
      </c>
      <c r="R47" s="154">
        <f>INDEX('Budget by Source'!$A$6:$I$330,MATCH('Payment by Source'!$A47,'Budget by Source'!$A$6:$A$330,0),MATCH(R$3,'Budget by Source'!$A$5:$I$5,0))-(ROUND(INDEX('Budget by Source'!$A$6:$I$330,MATCH('Payment by Source'!$A47,'Budget by Source'!$A$6:$A$330,0),MATCH(R$3,'Budget by Source'!$A$5:$I$5,0))/10,0)*10)</f>
        <v>1</v>
      </c>
      <c r="S47" s="154">
        <f>INDEX('Budget by Source'!$A$6:$I$330,MATCH('Payment by Source'!$A47,'Budget by Source'!$A$6:$A$330,0),MATCH(S$3,'Budget by Source'!$A$5:$I$5,0))-(ROUND(INDEX('Budget by Source'!$A$6:$I$330,MATCH('Payment by Source'!$A47,'Budget by Source'!$A$6:$A$330,0),MATCH(S$3,'Budget by Source'!$A$5:$I$5,0))/10,0)*10)</f>
        <v>-4</v>
      </c>
      <c r="T47" s="154">
        <f>INDEX('Budget by Source'!$A$6:$I$330,MATCH('Payment by Source'!$A47,'Budget by Source'!$A$6:$A$330,0),MATCH(T$3,'Budget by Source'!$A$5:$I$5,0))-(ROUND(INDEX('Budget by Source'!$A$6:$I$330,MATCH('Payment by Source'!$A47,'Budget by Source'!$A$6:$A$330,0),MATCH(T$3,'Budget by Source'!$A$5:$I$5,0))/10,0)*10)</f>
        <v>3</v>
      </c>
      <c r="U47" s="155">
        <f>INDEX('Budget by Source'!$A$6:$I$330,MATCH('Payment by Source'!$A47,'Budget by Source'!$A$6:$A$330,0),MATCH(U$3,'Budget by Source'!$A$5:$I$5,0))</f>
        <v>1476754</v>
      </c>
      <c r="V47" s="152">
        <f t="shared" si="1"/>
        <v>147675</v>
      </c>
      <c r="W47" s="152">
        <f t="shared" si="2"/>
        <v>1476750</v>
      </c>
    </row>
    <row r="48" spans="1:23" x14ac:dyDescent="0.2">
      <c r="A48" s="23" t="str">
        <f>Data!B44</f>
        <v>0918</v>
      </c>
      <c r="B48" s="21" t="str">
        <f>INDEX(Data[],MATCH($A48,Data[Dist],0),MATCH(B$5,Data[#Headers],0))</f>
        <v>Calamus-Wheatland</v>
      </c>
      <c r="C48" s="22">
        <f>IF(Notes!$B$2="June",ROUND('Budget by Source'!C48/10,0)+P48,ROUND('Budget by Source'!C48/10,0))</f>
        <v>4561</v>
      </c>
      <c r="D48" s="22">
        <f>IF(Notes!$B$2="June",ROUND('Budget by Source'!D48/10,0)+Q48,ROUND('Budget by Source'!D48/10,0))</f>
        <v>27292</v>
      </c>
      <c r="E48" s="22">
        <f>IF(Notes!$B$2="June",ROUND('Budget by Source'!E48/10,0)+R48,ROUND('Budget by Source'!E48/10,0))</f>
        <v>3160</v>
      </c>
      <c r="F48" s="22">
        <f>IF(Notes!$B$2="June",ROUND('Budget by Source'!F48/10,0)+S48,ROUND('Budget by Source'!F48/10,0))</f>
        <v>2996</v>
      </c>
      <c r="G48" s="22">
        <f>IF(Notes!$B$2="June",ROUND('Budget by Source'!G48/10,0)+T48,ROUND('Budget by Source'!G48/10,0))</f>
        <v>14052</v>
      </c>
      <c r="H48" s="22">
        <f t="shared" si="0"/>
        <v>183588</v>
      </c>
      <c r="I48" s="22">
        <f>INDEX(Data[],MATCH($A48,Data[Dist],0),MATCH(I$5,Data[#Headers],0))</f>
        <v>235649</v>
      </c>
      <c r="K48" s="69">
        <f>INDEX('Payment Total'!$A$7:$H$331,MATCH('Payment by Source'!$A48,'Payment Total'!$A$7:$A$331,0),3)-I48</f>
        <v>0</v>
      </c>
      <c r="P48" s="154">
        <f>INDEX('Budget by Source'!$A$6:$I$330,MATCH('Payment by Source'!$A48,'Budget by Source'!$A$6:$A$330,0),MATCH(P$3,'Budget by Source'!$A$5:$I$5,0))-(ROUND(INDEX('Budget by Source'!$A$6:$I$330,MATCH('Payment by Source'!$A48,'Budget by Source'!$A$6:$A$330,0),MATCH(P$3,'Budget by Source'!$A$5:$I$5,0))/10,0)*10)</f>
        <v>1</v>
      </c>
      <c r="Q48" s="154">
        <f>INDEX('Budget by Source'!$A$6:$I$330,MATCH('Payment by Source'!$A48,'Budget by Source'!$A$6:$A$330,0),MATCH(Q$3,'Budget by Source'!$A$5:$I$5,0))-(ROUND(INDEX('Budget by Source'!$A$6:$I$330,MATCH('Payment by Source'!$A48,'Budget by Source'!$A$6:$A$330,0),MATCH(Q$3,'Budget by Source'!$A$5:$I$5,0))/10,0)*10)</f>
        <v>3</v>
      </c>
      <c r="R48" s="154">
        <f>INDEX('Budget by Source'!$A$6:$I$330,MATCH('Payment by Source'!$A48,'Budget by Source'!$A$6:$A$330,0),MATCH(R$3,'Budget by Source'!$A$5:$I$5,0))-(ROUND(INDEX('Budget by Source'!$A$6:$I$330,MATCH('Payment by Source'!$A48,'Budget by Source'!$A$6:$A$330,0),MATCH(R$3,'Budget by Source'!$A$5:$I$5,0))/10,0)*10)</f>
        <v>-2</v>
      </c>
      <c r="S48" s="154">
        <f>INDEX('Budget by Source'!$A$6:$I$330,MATCH('Payment by Source'!$A48,'Budget by Source'!$A$6:$A$330,0),MATCH(S$3,'Budget by Source'!$A$5:$I$5,0))-(ROUND(INDEX('Budget by Source'!$A$6:$I$330,MATCH('Payment by Source'!$A48,'Budget by Source'!$A$6:$A$330,0),MATCH(S$3,'Budget by Source'!$A$5:$I$5,0))/10,0)*10)</f>
        <v>-5</v>
      </c>
      <c r="T48" s="154">
        <f>INDEX('Budget by Source'!$A$6:$I$330,MATCH('Payment by Source'!$A48,'Budget by Source'!$A$6:$A$330,0),MATCH(T$3,'Budget by Source'!$A$5:$I$5,0))-(ROUND(INDEX('Budget by Source'!$A$6:$I$330,MATCH('Payment by Source'!$A48,'Budget by Source'!$A$6:$A$330,0),MATCH(T$3,'Budget by Source'!$A$5:$I$5,0))/10,0)*10)</f>
        <v>0</v>
      </c>
      <c r="U48" s="155">
        <f>INDEX('Budget by Source'!$A$6:$I$330,MATCH('Payment by Source'!$A48,'Budget by Source'!$A$6:$A$330,0),MATCH(U$3,'Budget by Source'!$A$5:$I$5,0))</f>
        <v>1835887</v>
      </c>
      <c r="V48" s="152">
        <f t="shared" si="1"/>
        <v>183589</v>
      </c>
      <c r="W48" s="152">
        <f t="shared" si="2"/>
        <v>1835890</v>
      </c>
    </row>
    <row r="49" spans="1:23" x14ac:dyDescent="0.2">
      <c r="A49" s="23" t="str">
        <f>Data!B45</f>
        <v>0936</v>
      </c>
      <c r="B49" s="21" t="str">
        <f>INDEX(Data[],MATCH($A49,Data[Dist],0),MATCH(B$5,Data[#Headers],0))</f>
        <v>Camanche</v>
      </c>
      <c r="C49" s="22">
        <f>IF(Notes!$B$2="June",ROUND('Budget by Source'!C49/10,0)+P49,ROUND('Budget by Source'!C49/10,0))</f>
        <v>20905</v>
      </c>
      <c r="D49" s="22">
        <f>IF(Notes!$B$2="June",ROUND('Budget by Source'!D49/10,0)+Q49,ROUND('Budget by Source'!D49/10,0))</f>
        <v>56992</v>
      </c>
      <c r="E49" s="22">
        <f>IF(Notes!$B$2="June",ROUND('Budget by Source'!E49/10,0)+R49,ROUND('Budget by Source'!E49/10,0))</f>
        <v>7093</v>
      </c>
      <c r="F49" s="22">
        <f>IF(Notes!$B$2="June",ROUND('Budget by Source'!F49/10,0)+S49,ROUND('Budget by Source'!F49/10,0))</f>
        <v>6029</v>
      </c>
      <c r="G49" s="22">
        <f>IF(Notes!$B$2="June",ROUND('Budget by Source'!G49/10,0)+T49,ROUND('Budget by Source'!G49/10,0))</f>
        <v>31484</v>
      </c>
      <c r="H49" s="22">
        <f t="shared" si="0"/>
        <v>449460</v>
      </c>
      <c r="I49" s="22">
        <f>INDEX(Data[],MATCH($A49,Data[Dist],0),MATCH(I$5,Data[#Headers],0))</f>
        <v>571963</v>
      </c>
      <c r="K49" s="69">
        <f>INDEX('Payment Total'!$A$7:$H$331,MATCH('Payment by Source'!$A49,'Payment Total'!$A$7:$A$331,0),3)-I49</f>
        <v>0</v>
      </c>
      <c r="P49" s="154">
        <f>INDEX('Budget by Source'!$A$6:$I$330,MATCH('Payment by Source'!$A49,'Budget by Source'!$A$6:$A$330,0),MATCH(P$3,'Budget by Source'!$A$5:$I$5,0))-(ROUND(INDEX('Budget by Source'!$A$6:$I$330,MATCH('Payment by Source'!$A49,'Budget by Source'!$A$6:$A$330,0),MATCH(P$3,'Budget by Source'!$A$5:$I$5,0))/10,0)*10)</f>
        <v>1</v>
      </c>
      <c r="Q49" s="154">
        <f>INDEX('Budget by Source'!$A$6:$I$330,MATCH('Payment by Source'!$A49,'Budget by Source'!$A$6:$A$330,0),MATCH(Q$3,'Budget by Source'!$A$5:$I$5,0))-(ROUND(INDEX('Budget by Source'!$A$6:$I$330,MATCH('Payment by Source'!$A49,'Budget by Source'!$A$6:$A$330,0),MATCH(Q$3,'Budget by Source'!$A$5:$I$5,0))/10,0)*10)</f>
        <v>1</v>
      </c>
      <c r="R49" s="154">
        <f>INDEX('Budget by Source'!$A$6:$I$330,MATCH('Payment by Source'!$A49,'Budget by Source'!$A$6:$A$330,0),MATCH(R$3,'Budget by Source'!$A$5:$I$5,0))-(ROUND(INDEX('Budget by Source'!$A$6:$I$330,MATCH('Payment by Source'!$A49,'Budget by Source'!$A$6:$A$330,0),MATCH(R$3,'Budget by Source'!$A$5:$I$5,0))/10,0)*10)</f>
        <v>3</v>
      </c>
      <c r="S49" s="154">
        <f>INDEX('Budget by Source'!$A$6:$I$330,MATCH('Payment by Source'!$A49,'Budget by Source'!$A$6:$A$330,0),MATCH(S$3,'Budget by Source'!$A$5:$I$5,0))-(ROUND(INDEX('Budget by Source'!$A$6:$I$330,MATCH('Payment by Source'!$A49,'Budget by Source'!$A$6:$A$330,0),MATCH(S$3,'Budget by Source'!$A$5:$I$5,0))/10,0)*10)</f>
        <v>-2</v>
      </c>
      <c r="T49" s="154">
        <f>INDEX('Budget by Source'!$A$6:$I$330,MATCH('Payment by Source'!$A49,'Budget by Source'!$A$6:$A$330,0),MATCH(T$3,'Budget by Source'!$A$5:$I$5,0))-(ROUND(INDEX('Budget by Source'!$A$6:$I$330,MATCH('Payment by Source'!$A49,'Budget by Source'!$A$6:$A$330,0),MATCH(T$3,'Budget by Source'!$A$5:$I$5,0))/10,0)*10)</f>
        <v>-5</v>
      </c>
      <c r="U49" s="155">
        <f>INDEX('Budget by Source'!$A$6:$I$330,MATCH('Payment by Source'!$A49,'Budget by Source'!$A$6:$A$330,0),MATCH(U$3,'Budget by Source'!$A$5:$I$5,0))</f>
        <v>4494604</v>
      </c>
      <c r="V49" s="152">
        <f t="shared" si="1"/>
        <v>449460</v>
      </c>
      <c r="W49" s="152">
        <f t="shared" si="2"/>
        <v>4494600</v>
      </c>
    </row>
    <row r="50" spans="1:23" x14ac:dyDescent="0.2">
      <c r="A50" s="23" t="str">
        <f>Data!B46</f>
        <v>0977</v>
      </c>
      <c r="B50" s="21" t="str">
        <f>INDEX(Data[],MATCH($A50,Data[Dist],0),MATCH(B$5,Data[#Headers],0))</f>
        <v>Cardinal</v>
      </c>
      <c r="C50" s="22">
        <f>IF(Notes!$B$2="June",ROUND('Budget by Source'!C50/10,0)+P50,ROUND('Budget by Source'!C50/10,0))</f>
        <v>27367</v>
      </c>
      <c r="D50" s="22">
        <f>IF(Notes!$B$2="June",ROUND('Budget by Source'!D50/10,0)+Q50,ROUND('Budget by Source'!D50/10,0))</f>
        <v>39213</v>
      </c>
      <c r="E50" s="22">
        <f>IF(Notes!$B$2="June",ROUND('Budget by Source'!E50/10,0)+R50,ROUND('Budget by Source'!E50/10,0))</f>
        <v>4870</v>
      </c>
      <c r="F50" s="22">
        <f>IF(Notes!$B$2="June",ROUND('Budget by Source'!F50/10,0)+S50,ROUND('Budget by Source'!F50/10,0))</f>
        <v>3740</v>
      </c>
      <c r="G50" s="22">
        <f>IF(Notes!$B$2="June",ROUND('Budget by Source'!G50/10,0)+T50,ROUND('Budget by Source'!G50/10,0))</f>
        <v>21135</v>
      </c>
      <c r="H50" s="22">
        <f t="shared" si="0"/>
        <v>367728</v>
      </c>
      <c r="I50" s="22">
        <f>INDEX(Data[],MATCH($A50,Data[Dist],0),MATCH(I$5,Data[#Headers],0))</f>
        <v>464053</v>
      </c>
      <c r="K50" s="69">
        <f>INDEX('Payment Total'!$A$7:$H$331,MATCH('Payment by Source'!$A50,'Payment Total'!$A$7:$A$331,0),3)-I50</f>
        <v>0</v>
      </c>
      <c r="P50" s="154">
        <f>INDEX('Budget by Source'!$A$6:$I$330,MATCH('Payment by Source'!$A50,'Budget by Source'!$A$6:$A$330,0),MATCH(P$3,'Budget by Source'!$A$5:$I$5,0))-(ROUND(INDEX('Budget by Source'!$A$6:$I$330,MATCH('Payment by Source'!$A50,'Budget by Source'!$A$6:$A$330,0),MATCH(P$3,'Budget by Source'!$A$5:$I$5,0))/10,0)*10)</f>
        <v>-4</v>
      </c>
      <c r="Q50" s="154">
        <f>INDEX('Budget by Source'!$A$6:$I$330,MATCH('Payment by Source'!$A50,'Budget by Source'!$A$6:$A$330,0),MATCH(Q$3,'Budget by Source'!$A$5:$I$5,0))-(ROUND(INDEX('Budget by Source'!$A$6:$I$330,MATCH('Payment by Source'!$A50,'Budget by Source'!$A$6:$A$330,0),MATCH(Q$3,'Budget by Source'!$A$5:$I$5,0))/10,0)*10)</f>
        <v>1</v>
      </c>
      <c r="R50" s="154">
        <f>INDEX('Budget by Source'!$A$6:$I$330,MATCH('Payment by Source'!$A50,'Budget by Source'!$A$6:$A$330,0),MATCH(R$3,'Budget by Source'!$A$5:$I$5,0))-(ROUND(INDEX('Budget by Source'!$A$6:$I$330,MATCH('Payment by Source'!$A50,'Budget by Source'!$A$6:$A$330,0),MATCH(R$3,'Budget by Source'!$A$5:$I$5,0))/10,0)*10)</f>
        <v>2</v>
      </c>
      <c r="S50" s="154">
        <f>INDEX('Budget by Source'!$A$6:$I$330,MATCH('Payment by Source'!$A50,'Budget by Source'!$A$6:$A$330,0),MATCH(S$3,'Budget by Source'!$A$5:$I$5,0))-(ROUND(INDEX('Budget by Source'!$A$6:$I$330,MATCH('Payment by Source'!$A50,'Budget by Source'!$A$6:$A$330,0),MATCH(S$3,'Budget by Source'!$A$5:$I$5,0))/10,0)*10)</f>
        <v>4</v>
      </c>
      <c r="T50" s="154">
        <f>INDEX('Budget by Source'!$A$6:$I$330,MATCH('Payment by Source'!$A50,'Budget by Source'!$A$6:$A$330,0),MATCH(T$3,'Budget by Source'!$A$5:$I$5,0))-(ROUND(INDEX('Budget by Source'!$A$6:$I$330,MATCH('Payment by Source'!$A50,'Budget by Source'!$A$6:$A$330,0),MATCH(T$3,'Budget by Source'!$A$5:$I$5,0))/10,0)*10)</f>
        <v>2</v>
      </c>
      <c r="U50" s="155">
        <f>INDEX('Budget by Source'!$A$6:$I$330,MATCH('Payment by Source'!$A50,'Budget by Source'!$A$6:$A$330,0),MATCH(U$3,'Budget by Source'!$A$5:$I$5,0))</f>
        <v>3677273</v>
      </c>
      <c r="V50" s="152">
        <f t="shared" si="1"/>
        <v>367727</v>
      </c>
      <c r="W50" s="152">
        <f t="shared" si="2"/>
        <v>3677270</v>
      </c>
    </row>
    <row r="51" spans="1:23" x14ac:dyDescent="0.2">
      <c r="A51" s="23" t="str">
        <f>Data!B47</f>
        <v>0981</v>
      </c>
      <c r="B51" s="21" t="str">
        <f>INDEX(Data[],MATCH($A51,Data[Dist],0),MATCH(B$5,Data[#Headers],0))</f>
        <v>Carlisle</v>
      </c>
      <c r="C51" s="22">
        <f>IF(Notes!$B$2="June",ROUND('Budget by Source'!C51/10,0)+P51,ROUND('Budget by Source'!C51/10,0))</f>
        <v>43711</v>
      </c>
      <c r="D51" s="22">
        <f>IF(Notes!$B$2="June",ROUND('Budget by Source'!D51/10,0)+Q51,ROUND('Budget by Source'!D51/10,0))</f>
        <v>128155</v>
      </c>
      <c r="E51" s="22">
        <f>IF(Notes!$B$2="June",ROUND('Budget by Source'!E51/10,0)+R51,ROUND('Budget by Source'!E51/10,0))</f>
        <v>15644</v>
      </c>
      <c r="F51" s="22">
        <f>IF(Notes!$B$2="June",ROUND('Budget by Source'!F51/10,0)+S51,ROUND('Budget by Source'!F51/10,0))</f>
        <v>13257</v>
      </c>
      <c r="G51" s="22">
        <f>IF(Notes!$B$2="June",ROUND('Budget by Source'!G51/10,0)+T51,ROUND('Budget by Source'!G51/10,0))</f>
        <v>74111</v>
      </c>
      <c r="H51" s="22">
        <f t="shared" si="0"/>
        <v>1361015</v>
      </c>
      <c r="I51" s="22">
        <f>INDEX(Data[],MATCH($A51,Data[Dist],0),MATCH(I$5,Data[#Headers],0))</f>
        <v>1635893</v>
      </c>
      <c r="K51" s="69">
        <f>INDEX('Payment Total'!$A$7:$H$331,MATCH('Payment by Source'!$A51,'Payment Total'!$A$7:$A$331,0),3)-I51</f>
        <v>0</v>
      </c>
      <c r="P51" s="154">
        <f>INDEX('Budget by Source'!$A$6:$I$330,MATCH('Payment by Source'!$A51,'Budget by Source'!$A$6:$A$330,0),MATCH(P$3,'Budget by Source'!$A$5:$I$5,0))-(ROUND(INDEX('Budget by Source'!$A$6:$I$330,MATCH('Payment by Source'!$A51,'Budget by Source'!$A$6:$A$330,0),MATCH(P$3,'Budget by Source'!$A$5:$I$5,0))/10,0)*10)</f>
        <v>-4</v>
      </c>
      <c r="Q51" s="154">
        <f>INDEX('Budget by Source'!$A$6:$I$330,MATCH('Payment by Source'!$A51,'Budget by Source'!$A$6:$A$330,0),MATCH(Q$3,'Budget by Source'!$A$5:$I$5,0))-(ROUND(INDEX('Budget by Source'!$A$6:$I$330,MATCH('Payment by Source'!$A51,'Budget by Source'!$A$6:$A$330,0),MATCH(Q$3,'Budget by Source'!$A$5:$I$5,0))/10,0)*10)</f>
        <v>0</v>
      </c>
      <c r="R51" s="154">
        <f>INDEX('Budget by Source'!$A$6:$I$330,MATCH('Payment by Source'!$A51,'Budget by Source'!$A$6:$A$330,0),MATCH(R$3,'Budget by Source'!$A$5:$I$5,0))-(ROUND(INDEX('Budget by Source'!$A$6:$I$330,MATCH('Payment by Source'!$A51,'Budget by Source'!$A$6:$A$330,0),MATCH(R$3,'Budget by Source'!$A$5:$I$5,0))/10,0)*10)</f>
        <v>-4</v>
      </c>
      <c r="S51" s="154">
        <f>INDEX('Budget by Source'!$A$6:$I$330,MATCH('Payment by Source'!$A51,'Budget by Source'!$A$6:$A$330,0),MATCH(S$3,'Budget by Source'!$A$5:$I$5,0))-(ROUND(INDEX('Budget by Source'!$A$6:$I$330,MATCH('Payment by Source'!$A51,'Budget by Source'!$A$6:$A$330,0),MATCH(S$3,'Budget by Source'!$A$5:$I$5,0))/10,0)*10)</f>
        <v>-5</v>
      </c>
      <c r="T51" s="154">
        <f>INDEX('Budget by Source'!$A$6:$I$330,MATCH('Payment by Source'!$A51,'Budget by Source'!$A$6:$A$330,0),MATCH(T$3,'Budget by Source'!$A$5:$I$5,0))-(ROUND(INDEX('Budget by Source'!$A$6:$I$330,MATCH('Payment by Source'!$A51,'Budget by Source'!$A$6:$A$330,0),MATCH(T$3,'Budget by Source'!$A$5:$I$5,0))/10,0)*10)</f>
        <v>4</v>
      </c>
      <c r="U51" s="155">
        <f>INDEX('Budget by Source'!$A$6:$I$330,MATCH('Payment by Source'!$A51,'Budget by Source'!$A$6:$A$330,0),MATCH(U$3,'Budget by Source'!$A$5:$I$5,0))</f>
        <v>13610160</v>
      </c>
      <c r="V51" s="152">
        <f t="shared" si="1"/>
        <v>1361016</v>
      </c>
      <c r="W51" s="152">
        <f t="shared" si="2"/>
        <v>13610160</v>
      </c>
    </row>
    <row r="52" spans="1:23" x14ac:dyDescent="0.2">
      <c r="A52" s="23" t="str">
        <f>Data!B48</f>
        <v>0999</v>
      </c>
      <c r="B52" s="21" t="str">
        <f>INDEX(Data[],MATCH($A52,Data[Dist],0),MATCH(B$5,Data[#Headers],0))</f>
        <v>Carroll</v>
      </c>
      <c r="C52" s="22">
        <f>IF(Notes!$B$2="June",ROUND('Budget by Source'!C52/10,0)+P52,ROUND('Budget by Source'!C52/10,0))</f>
        <v>62335</v>
      </c>
      <c r="D52" s="22">
        <f>IF(Notes!$B$2="June",ROUND('Budget by Source'!D52/10,0)+Q52,ROUND('Budget by Source'!D52/10,0))</f>
        <v>104728</v>
      </c>
      <c r="E52" s="22">
        <f>IF(Notes!$B$2="June",ROUND('Budget by Source'!E52/10,0)+R52,ROUND('Budget by Source'!E52/10,0))</f>
        <v>12227</v>
      </c>
      <c r="F52" s="22">
        <f>IF(Notes!$B$2="June",ROUND('Budget by Source'!F52/10,0)+S52,ROUND('Budget by Source'!F52/10,0))</f>
        <v>12028</v>
      </c>
      <c r="G52" s="22">
        <f>IF(Notes!$B$2="June",ROUND('Budget by Source'!G52/10,0)+T52,ROUND('Budget by Source'!G52/10,0))</f>
        <v>60612</v>
      </c>
      <c r="H52" s="22">
        <f t="shared" si="0"/>
        <v>712027</v>
      </c>
      <c r="I52" s="22">
        <f>INDEX(Data[],MATCH($A52,Data[Dist],0),MATCH(I$5,Data[#Headers],0))</f>
        <v>963957</v>
      </c>
      <c r="K52" s="69">
        <f>INDEX('Payment Total'!$A$7:$H$331,MATCH('Payment by Source'!$A52,'Payment Total'!$A$7:$A$331,0),3)-I52</f>
        <v>0</v>
      </c>
      <c r="P52" s="154">
        <f>INDEX('Budget by Source'!$A$6:$I$330,MATCH('Payment by Source'!$A52,'Budget by Source'!$A$6:$A$330,0),MATCH(P$3,'Budget by Source'!$A$5:$I$5,0))-(ROUND(INDEX('Budget by Source'!$A$6:$I$330,MATCH('Payment by Source'!$A52,'Budget by Source'!$A$6:$A$330,0),MATCH(P$3,'Budget by Source'!$A$5:$I$5,0))/10,0)*10)</f>
        <v>0</v>
      </c>
      <c r="Q52" s="154">
        <f>INDEX('Budget by Source'!$A$6:$I$330,MATCH('Payment by Source'!$A52,'Budget by Source'!$A$6:$A$330,0),MATCH(Q$3,'Budget by Source'!$A$5:$I$5,0))-(ROUND(INDEX('Budget by Source'!$A$6:$I$330,MATCH('Payment by Source'!$A52,'Budget by Source'!$A$6:$A$330,0),MATCH(Q$3,'Budget by Source'!$A$5:$I$5,0))/10,0)*10)</f>
        <v>-1</v>
      </c>
      <c r="R52" s="154">
        <f>INDEX('Budget by Source'!$A$6:$I$330,MATCH('Payment by Source'!$A52,'Budget by Source'!$A$6:$A$330,0),MATCH(R$3,'Budget by Source'!$A$5:$I$5,0))-(ROUND(INDEX('Budget by Source'!$A$6:$I$330,MATCH('Payment by Source'!$A52,'Budget by Source'!$A$6:$A$330,0),MATCH(R$3,'Budget by Source'!$A$5:$I$5,0))/10,0)*10)</f>
        <v>-3</v>
      </c>
      <c r="S52" s="154">
        <f>INDEX('Budget by Source'!$A$6:$I$330,MATCH('Payment by Source'!$A52,'Budget by Source'!$A$6:$A$330,0),MATCH(S$3,'Budget by Source'!$A$5:$I$5,0))-(ROUND(INDEX('Budget by Source'!$A$6:$I$330,MATCH('Payment by Source'!$A52,'Budget by Source'!$A$6:$A$330,0),MATCH(S$3,'Budget by Source'!$A$5:$I$5,0))/10,0)*10)</f>
        <v>-3</v>
      </c>
      <c r="T52" s="154">
        <f>INDEX('Budget by Source'!$A$6:$I$330,MATCH('Payment by Source'!$A52,'Budget by Source'!$A$6:$A$330,0),MATCH(T$3,'Budget by Source'!$A$5:$I$5,0))-(ROUND(INDEX('Budget by Source'!$A$6:$I$330,MATCH('Payment by Source'!$A52,'Budget by Source'!$A$6:$A$330,0),MATCH(T$3,'Budget by Source'!$A$5:$I$5,0))/10,0)*10)</f>
        <v>1</v>
      </c>
      <c r="U52" s="155">
        <f>INDEX('Budget by Source'!$A$6:$I$330,MATCH('Payment by Source'!$A52,'Budget by Source'!$A$6:$A$330,0),MATCH(U$3,'Budget by Source'!$A$5:$I$5,0))</f>
        <v>7120275</v>
      </c>
      <c r="V52" s="152">
        <f t="shared" si="1"/>
        <v>712028</v>
      </c>
      <c r="W52" s="152">
        <f t="shared" si="2"/>
        <v>7120280</v>
      </c>
    </row>
    <row r="53" spans="1:23" x14ac:dyDescent="0.2">
      <c r="A53" s="23" t="str">
        <f>Data!B49</f>
        <v>1044</v>
      </c>
      <c r="B53" s="21" t="str">
        <f>INDEX(Data[],MATCH($A53,Data[Dist],0),MATCH(B$5,Data[#Headers],0))</f>
        <v>Cedar Falls</v>
      </c>
      <c r="C53" s="22">
        <f>IF(Notes!$B$2="June",ROUND('Budget by Source'!C53/10,0)+P53,ROUND('Budget by Source'!C53/10,0))</f>
        <v>64236</v>
      </c>
      <c r="D53" s="22">
        <f>IF(Notes!$B$2="June",ROUND('Budget by Source'!D53/10,0)+Q53,ROUND('Budget by Source'!D53/10,0))</f>
        <v>355174</v>
      </c>
      <c r="E53" s="22">
        <f>IF(Notes!$B$2="June",ROUND('Budget by Source'!E53/10,0)+R53,ROUND('Budget by Source'!E53/10,0))</f>
        <v>42284</v>
      </c>
      <c r="F53" s="22">
        <f>IF(Notes!$B$2="June",ROUND('Budget by Source'!F53/10,0)+S53,ROUND('Budget by Source'!F53/10,0))</f>
        <v>41947</v>
      </c>
      <c r="G53" s="22">
        <f>IF(Notes!$B$2="June",ROUND('Budget by Source'!G53/10,0)+T53,ROUND('Budget by Source'!G53/10,0))</f>
        <v>203432</v>
      </c>
      <c r="H53" s="22">
        <f t="shared" si="0"/>
        <v>3118815</v>
      </c>
      <c r="I53" s="22">
        <f>INDEX(Data[],MATCH($A53,Data[Dist],0),MATCH(I$5,Data[#Headers],0))</f>
        <v>3825888</v>
      </c>
      <c r="K53" s="69">
        <f>INDEX('Payment Total'!$A$7:$H$331,MATCH('Payment by Source'!$A53,'Payment Total'!$A$7:$A$331,0),3)-I53</f>
        <v>0</v>
      </c>
      <c r="P53" s="154">
        <f>INDEX('Budget by Source'!$A$6:$I$330,MATCH('Payment by Source'!$A53,'Budget by Source'!$A$6:$A$330,0),MATCH(P$3,'Budget by Source'!$A$5:$I$5,0))-(ROUND(INDEX('Budget by Source'!$A$6:$I$330,MATCH('Payment by Source'!$A53,'Budget by Source'!$A$6:$A$330,0),MATCH(P$3,'Budget by Source'!$A$5:$I$5,0))/10,0)*10)</f>
        <v>-5</v>
      </c>
      <c r="Q53" s="154">
        <f>INDEX('Budget by Source'!$A$6:$I$330,MATCH('Payment by Source'!$A53,'Budget by Source'!$A$6:$A$330,0),MATCH(Q$3,'Budget by Source'!$A$5:$I$5,0))-(ROUND(INDEX('Budget by Source'!$A$6:$I$330,MATCH('Payment by Source'!$A53,'Budget by Source'!$A$6:$A$330,0),MATCH(Q$3,'Budget by Source'!$A$5:$I$5,0))/10,0)*10)</f>
        <v>3</v>
      </c>
      <c r="R53" s="154">
        <f>INDEX('Budget by Source'!$A$6:$I$330,MATCH('Payment by Source'!$A53,'Budget by Source'!$A$6:$A$330,0),MATCH(R$3,'Budget by Source'!$A$5:$I$5,0))-(ROUND(INDEX('Budget by Source'!$A$6:$I$330,MATCH('Payment by Source'!$A53,'Budget by Source'!$A$6:$A$330,0),MATCH(R$3,'Budget by Source'!$A$5:$I$5,0))/10,0)*10)</f>
        <v>0</v>
      </c>
      <c r="S53" s="154">
        <f>INDEX('Budget by Source'!$A$6:$I$330,MATCH('Payment by Source'!$A53,'Budget by Source'!$A$6:$A$330,0),MATCH(S$3,'Budget by Source'!$A$5:$I$5,0))-(ROUND(INDEX('Budget by Source'!$A$6:$I$330,MATCH('Payment by Source'!$A53,'Budget by Source'!$A$6:$A$330,0),MATCH(S$3,'Budget by Source'!$A$5:$I$5,0))/10,0)*10)</f>
        <v>2</v>
      </c>
      <c r="T53" s="154">
        <f>INDEX('Budget by Source'!$A$6:$I$330,MATCH('Payment by Source'!$A53,'Budget by Source'!$A$6:$A$330,0),MATCH(T$3,'Budget by Source'!$A$5:$I$5,0))-(ROUND(INDEX('Budget by Source'!$A$6:$I$330,MATCH('Payment by Source'!$A53,'Budget by Source'!$A$6:$A$330,0),MATCH(T$3,'Budget by Source'!$A$5:$I$5,0))/10,0)*10)</f>
        <v>2</v>
      </c>
      <c r="U53" s="155">
        <f>INDEX('Budget by Source'!$A$6:$I$330,MATCH('Payment by Source'!$A53,'Budget by Source'!$A$6:$A$330,0),MATCH(U$3,'Budget by Source'!$A$5:$I$5,0))</f>
        <v>31188144</v>
      </c>
      <c r="V53" s="152">
        <f t="shared" si="1"/>
        <v>3118814</v>
      </c>
      <c r="W53" s="152">
        <f t="shared" si="2"/>
        <v>31188140</v>
      </c>
    </row>
    <row r="54" spans="1:23" x14ac:dyDescent="0.2">
      <c r="A54" s="23" t="str">
        <f>Data!B50</f>
        <v>1053</v>
      </c>
      <c r="B54" s="21" t="str">
        <f>INDEX(Data[],MATCH($A54,Data[Dist],0),MATCH(B$5,Data[#Headers],0))</f>
        <v>Cedar Rapids</v>
      </c>
      <c r="C54" s="22">
        <f>IF(Notes!$B$2="June",ROUND('Budget by Source'!C54/10,0)+P54,ROUND('Budget by Source'!C54/10,0))</f>
        <v>266815</v>
      </c>
      <c r="D54" s="22">
        <f>IF(Notes!$B$2="June",ROUND('Budget by Source'!D54/10,0)+Q54,ROUND('Budget by Source'!D54/10,0))</f>
        <v>1027188</v>
      </c>
      <c r="E54" s="22">
        <f>IF(Notes!$B$2="June",ROUND('Budget by Source'!E54/10,0)+R54,ROUND('Budget by Source'!E54/10,0))</f>
        <v>131584</v>
      </c>
      <c r="F54" s="22">
        <f>IF(Notes!$B$2="June",ROUND('Budget by Source'!F54/10,0)+S54,ROUND('Budget by Source'!F54/10,0))</f>
        <v>120620</v>
      </c>
      <c r="G54" s="22">
        <f>IF(Notes!$B$2="June",ROUND('Budget by Source'!G54/10,0)+T54,ROUND('Budget by Source'!G54/10,0))</f>
        <v>588148</v>
      </c>
      <c r="H54" s="22">
        <f t="shared" si="0"/>
        <v>9465844</v>
      </c>
      <c r="I54" s="22">
        <f>INDEX(Data[],MATCH($A54,Data[Dist],0),MATCH(I$5,Data[#Headers],0))</f>
        <v>11600199</v>
      </c>
      <c r="K54" s="69">
        <f>INDEX('Payment Total'!$A$7:$H$331,MATCH('Payment by Source'!$A54,'Payment Total'!$A$7:$A$331,0),3)-I54</f>
        <v>0</v>
      </c>
      <c r="P54" s="154">
        <f>INDEX('Budget by Source'!$A$6:$I$330,MATCH('Payment by Source'!$A54,'Budget by Source'!$A$6:$A$330,0),MATCH(P$3,'Budget by Source'!$A$5:$I$5,0))-(ROUND(INDEX('Budget by Source'!$A$6:$I$330,MATCH('Payment by Source'!$A54,'Budget by Source'!$A$6:$A$330,0),MATCH(P$3,'Budget by Source'!$A$5:$I$5,0))/10,0)*10)</f>
        <v>-1</v>
      </c>
      <c r="Q54" s="154">
        <f>INDEX('Budget by Source'!$A$6:$I$330,MATCH('Payment by Source'!$A54,'Budget by Source'!$A$6:$A$330,0),MATCH(Q$3,'Budget by Source'!$A$5:$I$5,0))-(ROUND(INDEX('Budget by Source'!$A$6:$I$330,MATCH('Payment by Source'!$A54,'Budget by Source'!$A$6:$A$330,0),MATCH(Q$3,'Budget by Source'!$A$5:$I$5,0))/10,0)*10)</f>
        <v>4</v>
      </c>
      <c r="R54" s="154">
        <f>INDEX('Budget by Source'!$A$6:$I$330,MATCH('Payment by Source'!$A54,'Budget by Source'!$A$6:$A$330,0),MATCH(R$3,'Budget by Source'!$A$5:$I$5,0))-(ROUND(INDEX('Budget by Source'!$A$6:$I$330,MATCH('Payment by Source'!$A54,'Budget by Source'!$A$6:$A$330,0),MATCH(R$3,'Budget by Source'!$A$5:$I$5,0))/10,0)*10)</f>
        <v>4</v>
      </c>
      <c r="S54" s="154">
        <f>INDEX('Budget by Source'!$A$6:$I$330,MATCH('Payment by Source'!$A54,'Budget by Source'!$A$6:$A$330,0),MATCH(S$3,'Budget by Source'!$A$5:$I$5,0))-(ROUND(INDEX('Budget by Source'!$A$6:$I$330,MATCH('Payment by Source'!$A54,'Budget by Source'!$A$6:$A$330,0),MATCH(S$3,'Budget by Source'!$A$5:$I$5,0))/10,0)*10)</f>
        <v>4</v>
      </c>
      <c r="T54" s="154">
        <f>INDEX('Budget by Source'!$A$6:$I$330,MATCH('Payment by Source'!$A54,'Budget by Source'!$A$6:$A$330,0),MATCH(T$3,'Budget by Source'!$A$5:$I$5,0))-(ROUND(INDEX('Budget by Source'!$A$6:$I$330,MATCH('Payment by Source'!$A54,'Budget by Source'!$A$6:$A$330,0),MATCH(T$3,'Budget by Source'!$A$5:$I$5,0))/10,0)*10)</f>
        <v>1</v>
      </c>
      <c r="U54" s="155">
        <f>INDEX('Budget by Source'!$A$6:$I$330,MATCH('Payment by Source'!$A54,'Budget by Source'!$A$6:$A$330,0),MATCH(U$3,'Budget by Source'!$A$5:$I$5,0))</f>
        <v>94658429</v>
      </c>
      <c r="V54" s="152">
        <f t="shared" si="1"/>
        <v>9465843</v>
      </c>
      <c r="W54" s="152">
        <f t="shared" si="2"/>
        <v>94658430</v>
      </c>
    </row>
    <row r="55" spans="1:23" x14ac:dyDescent="0.2">
      <c r="A55" s="23" t="str">
        <f>Data!B51</f>
        <v>1062</v>
      </c>
      <c r="B55" s="21" t="str">
        <f>INDEX(Data[],MATCH($A55,Data[Dist],0),MATCH(B$5,Data[#Headers],0))</f>
        <v>Center Point-Urbana</v>
      </c>
      <c r="C55" s="22">
        <f>IF(Notes!$B$2="June",ROUND('Budget by Source'!C55/10,0)+P55,ROUND('Budget by Source'!C55/10,0))</f>
        <v>25466</v>
      </c>
      <c r="D55" s="22">
        <f>IF(Notes!$B$2="June",ROUND('Budget by Source'!D55/10,0)+Q55,ROUND('Budget by Source'!D55/10,0))</f>
        <v>79085</v>
      </c>
      <c r="E55" s="22">
        <f>IF(Notes!$B$2="June",ROUND('Budget by Source'!E55/10,0)+R55,ROUND('Budget by Source'!E55/10,0))</f>
        <v>9109</v>
      </c>
      <c r="F55" s="22">
        <f>IF(Notes!$B$2="June",ROUND('Budget by Source'!F55/10,0)+S55,ROUND('Budget by Source'!F55/10,0))</f>
        <v>8791</v>
      </c>
      <c r="G55" s="22">
        <f>IF(Notes!$B$2="June",ROUND('Budget by Source'!G55/10,0)+T55,ROUND('Budget by Source'!G55/10,0))</f>
        <v>44900</v>
      </c>
      <c r="H55" s="22">
        <f t="shared" si="0"/>
        <v>723149</v>
      </c>
      <c r="I55" s="22">
        <f>INDEX(Data[],MATCH($A55,Data[Dist],0),MATCH(I$5,Data[#Headers],0))</f>
        <v>890500</v>
      </c>
      <c r="K55" s="69">
        <f>INDEX('Payment Total'!$A$7:$H$331,MATCH('Payment by Source'!$A55,'Payment Total'!$A$7:$A$331,0),3)-I55</f>
        <v>0</v>
      </c>
      <c r="P55" s="154">
        <f>INDEX('Budget by Source'!$A$6:$I$330,MATCH('Payment by Source'!$A55,'Budget by Source'!$A$6:$A$330,0),MATCH(P$3,'Budget by Source'!$A$5:$I$5,0))-(ROUND(INDEX('Budget by Source'!$A$6:$I$330,MATCH('Payment by Source'!$A55,'Budget by Source'!$A$6:$A$330,0),MATCH(P$3,'Budget by Source'!$A$5:$I$5,0))/10,0)*10)</f>
        <v>2</v>
      </c>
      <c r="Q55" s="154">
        <f>INDEX('Budget by Source'!$A$6:$I$330,MATCH('Payment by Source'!$A55,'Budget by Source'!$A$6:$A$330,0),MATCH(Q$3,'Budget by Source'!$A$5:$I$5,0))-(ROUND(INDEX('Budget by Source'!$A$6:$I$330,MATCH('Payment by Source'!$A55,'Budget by Source'!$A$6:$A$330,0),MATCH(Q$3,'Budget by Source'!$A$5:$I$5,0))/10,0)*10)</f>
        <v>1</v>
      </c>
      <c r="R55" s="154">
        <f>INDEX('Budget by Source'!$A$6:$I$330,MATCH('Payment by Source'!$A55,'Budget by Source'!$A$6:$A$330,0),MATCH(R$3,'Budget by Source'!$A$5:$I$5,0))-(ROUND(INDEX('Budget by Source'!$A$6:$I$330,MATCH('Payment by Source'!$A55,'Budget by Source'!$A$6:$A$330,0),MATCH(R$3,'Budget by Source'!$A$5:$I$5,0))/10,0)*10)</f>
        <v>3</v>
      </c>
      <c r="S55" s="154">
        <f>INDEX('Budget by Source'!$A$6:$I$330,MATCH('Payment by Source'!$A55,'Budget by Source'!$A$6:$A$330,0),MATCH(S$3,'Budget by Source'!$A$5:$I$5,0))-(ROUND(INDEX('Budget by Source'!$A$6:$I$330,MATCH('Payment by Source'!$A55,'Budget by Source'!$A$6:$A$330,0),MATCH(S$3,'Budget by Source'!$A$5:$I$5,0))/10,0)*10)</f>
        <v>-4</v>
      </c>
      <c r="T55" s="154">
        <f>INDEX('Budget by Source'!$A$6:$I$330,MATCH('Payment by Source'!$A55,'Budget by Source'!$A$6:$A$330,0),MATCH(T$3,'Budget by Source'!$A$5:$I$5,0))-(ROUND(INDEX('Budget by Source'!$A$6:$I$330,MATCH('Payment by Source'!$A55,'Budget by Source'!$A$6:$A$330,0),MATCH(T$3,'Budget by Source'!$A$5:$I$5,0))/10,0)*10)</f>
        <v>3</v>
      </c>
      <c r="U55" s="155">
        <f>INDEX('Budget by Source'!$A$6:$I$330,MATCH('Payment by Source'!$A55,'Budget by Source'!$A$6:$A$330,0),MATCH(U$3,'Budget by Source'!$A$5:$I$5,0))</f>
        <v>7231485</v>
      </c>
      <c r="V55" s="152">
        <f t="shared" si="1"/>
        <v>723149</v>
      </c>
      <c r="W55" s="152">
        <f t="shared" si="2"/>
        <v>7231490</v>
      </c>
    </row>
    <row r="56" spans="1:23" x14ac:dyDescent="0.2">
      <c r="A56" s="23" t="str">
        <f>Data!B52</f>
        <v>1071</v>
      </c>
      <c r="B56" s="21" t="str">
        <f>INDEX(Data[],MATCH($A56,Data[Dist],0),MATCH(B$5,Data[#Headers],0))</f>
        <v>Centerville</v>
      </c>
      <c r="C56" s="22">
        <f>IF(Notes!$B$2="June",ROUND('Budget by Source'!C56/10,0)+P56,ROUND('Budget by Source'!C56/10,0))</f>
        <v>24326</v>
      </c>
      <c r="D56" s="22">
        <f>IF(Notes!$B$2="June",ROUND('Budget by Source'!D56/10,0)+Q56,ROUND('Budget by Source'!D56/10,0))</f>
        <v>87245</v>
      </c>
      <c r="E56" s="22">
        <f>IF(Notes!$B$2="June",ROUND('Budget by Source'!E56/10,0)+R56,ROUND('Budget by Source'!E56/10,0))</f>
        <v>10595</v>
      </c>
      <c r="F56" s="22">
        <f>IF(Notes!$B$2="June",ROUND('Budget by Source'!F56/10,0)+S56,ROUND('Budget by Source'!F56/10,0))</f>
        <v>9990</v>
      </c>
      <c r="G56" s="22">
        <f>IF(Notes!$B$2="June",ROUND('Budget by Source'!G56/10,0)+T56,ROUND('Budget by Source'!G56/10,0))</f>
        <v>49081</v>
      </c>
      <c r="H56" s="22">
        <f t="shared" si="0"/>
        <v>909814</v>
      </c>
      <c r="I56" s="22">
        <f>INDEX(Data[],MATCH($A56,Data[Dist],0),MATCH(I$5,Data[#Headers],0))</f>
        <v>1091051</v>
      </c>
      <c r="K56" s="69">
        <f>INDEX('Payment Total'!$A$7:$H$331,MATCH('Payment by Source'!$A56,'Payment Total'!$A$7:$A$331,0),3)-I56</f>
        <v>0</v>
      </c>
      <c r="P56" s="154">
        <f>INDEX('Budget by Source'!$A$6:$I$330,MATCH('Payment by Source'!$A56,'Budget by Source'!$A$6:$A$330,0),MATCH(P$3,'Budget by Source'!$A$5:$I$5,0))-(ROUND(INDEX('Budget by Source'!$A$6:$I$330,MATCH('Payment by Source'!$A56,'Budget by Source'!$A$6:$A$330,0),MATCH(P$3,'Budget by Source'!$A$5:$I$5,0))/10,0)*10)</f>
        <v>-1</v>
      </c>
      <c r="Q56" s="154">
        <f>INDEX('Budget by Source'!$A$6:$I$330,MATCH('Payment by Source'!$A56,'Budget by Source'!$A$6:$A$330,0),MATCH(Q$3,'Budget by Source'!$A$5:$I$5,0))-(ROUND(INDEX('Budget by Source'!$A$6:$I$330,MATCH('Payment by Source'!$A56,'Budget by Source'!$A$6:$A$330,0),MATCH(Q$3,'Budget by Source'!$A$5:$I$5,0))/10,0)*10)</f>
        <v>-1</v>
      </c>
      <c r="R56" s="154">
        <f>INDEX('Budget by Source'!$A$6:$I$330,MATCH('Payment by Source'!$A56,'Budget by Source'!$A$6:$A$330,0),MATCH(R$3,'Budget by Source'!$A$5:$I$5,0))-(ROUND(INDEX('Budget by Source'!$A$6:$I$330,MATCH('Payment by Source'!$A56,'Budget by Source'!$A$6:$A$330,0),MATCH(R$3,'Budget by Source'!$A$5:$I$5,0))/10,0)*10)</f>
        <v>-5</v>
      </c>
      <c r="S56" s="154">
        <f>INDEX('Budget by Source'!$A$6:$I$330,MATCH('Payment by Source'!$A56,'Budget by Source'!$A$6:$A$330,0),MATCH(S$3,'Budget by Source'!$A$5:$I$5,0))-(ROUND(INDEX('Budget by Source'!$A$6:$I$330,MATCH('Payment by Source'!$A56,'Budget by Source'!$A$6:$A$330,0),MATCH(S$3,'Budget by Source'!$A$5:$I$5,0))/10,0)*10)</f>
        <v>-2</v>
      </c>
      <c r="T56" s="154">
        <f>INDEX('Budget by Source'!$A$6:$I$330,MATCH('Payment by Source'!$A56,'Budget by Source'!$A$6:$A$330,0),MATCH(T$3,'Budget by Source'!$A$5:$I$5,0))-(ROUND(INDEX('Budget by Source'!$A$6:$I$330,MATCH('Payment by Source'!$A56,'Budget by Source'!$A$6:$A$330,0),MATCH(T$3,'Budget by Source'!$A$5:$I$5,0))/10,0)*10)</f>
        <v>-2</v>
      </c>
      <c r="U56" s="155">
        <f>INDEX('Budget by Source'!$A$6:$I$330,MATCH('Payment by Source'!$A56,'Budget by Source'!$A$6:$A$330,0),MATCH(U$3,'Budget by Source'!$A$5:$I$5,0))</f>
        <v>9098152</v>
      </c>
      <c r="V56" s="152">
        <f t="shared" si="1"/>
        <v>909815</v>
      </c>
      <c r="W56" s="152">
        <f t="shared" si="2"/>
        <v>9098150</v>
      </c>
    </row>
    <row r="57" spans="1:23" x14ac:dyDescent="0.2">
      <c r="A57" s="23" t="str">
        <f>Data!B53</f>
        <v>1079</v>
      </c>
      <c r="B57" s="21" t="str">
        <f>INDEX(Data[],MATCH($A57,Data[Dist],0),MATCH(B$5,Data[#Headers],0))</f>
        <v>Central Lee</v>
      </c>
      <c r="C57" s="22">
        <f>IF(Notes!$B$2="June",ROUND('Budget by Source'!C57/10,0)+P57,ROUND('Budget by Source'!C57/10,0))</f>
        <v>22425</v>
      </c>
      <c r="D57" s="22">
        <f>IF(Notes!$B$2="June",ROUND('Budget by Source'!D57/10,0)+Q57,ROUND('Budget by Source'!D57/10,0))</f>
        <v>54756</v>
      </c>
      <c r="E57" s="22">
        <f>IF(Notes!$B$2="June",ROUND('Budget by Source'!E57/10,0)+R57,ROUND('Budget by Source'!E57/10,0))</f>
        <v>6067</v>
      </c>
      <c r="F57" s="22">
        <f>IF(Notes!$B$2="June",ROUND('Budget by Source'!F57/10,0)+S57,ROUND('Budget by Source'!F57/10,0))</f>
        <v>6937</v>
      </c>
      <c r="G57" s="22">
        <f>IF(Notes!$B$2="June",ROUND('Budget by Source'!G57/10,0)+T57,ROUND('Budget by Source'!G57/10,0))</f>
        <v>29597</v>
      </c>
      <c r="H57" s="22">
        <f t="shared" si="0"/>
        <v>398599</v>
      </c>
      <c r="I57" s="22">
        <f>INDEX(Data[],MATCH($A57,Data[Dist],0),MATCH(I$5,Data[#Headers],0))</f>
        <v>518381</v>
      </c>
      <c r="K57" s="69">
        <f>INDEX('Payment Total'!$A$7:$H$331,MATCH('Payment by Source'!$A57,'Payment Total'!$A$7:$A$331,0),3)-I57</f>
        <v>0</v>
      </c>
      <c r="P57" s="154">
        <f>INDEX('Budget by Source'!$A$6:$I$330,MATCH('Payment by Source'!$A57,'Budget by Source'!$A$6:$A$330,0),MATCH(P$3,'Budget by Source'!$A$5:$I$5,0))-(ROUND(INDEX('Budget by Source'!$A$6:$I$330,MATCH('Payment by Source'!$A57,'Budget by Source'!$A$6:$A$330,0),MATCH(P$3,'Budget by Source'!$A$5:$I$5,0))/10,0)*10)</f>
        <v>4</v>
      </c>
      <c r="Q57" s="154">
        <f>INDEX('Budget by Source'!$A$6:$I$330,MATCH('Payment by Source'!$A57,'Budget by Source'!$A$6:$A$330,0),MATCH(Q$3,'Budget by Source'!$A$5:$I$5,0))-(ROUND(INDEX('Budget by Source'!$A$6:$I$330,MATCH('Payment by Source'!$A57,'Budget by Source'!$A$6:$A$330,0),MATCH(Q$3,'Budget by Source'!$A$5:$I$5,0))/10,0)*10)</f>
        <v>2</v>
      </c>
      <c r="R57" s="154">
        <f>INDEX('Budget by Source'!$A$6:$I$330,MATCH('Payment by Source'!$A57,'Budget by Source'!$A$6:$A$330,0),MATCH(R$3,'Budget by Source'!$A$5:$I$5,0))-(ROUND(INDEX('Budget by Source'!$A$6:$I$330,MATCH('Payment by Source'!$A57,'Budget by Source'!$A$6:$A$330,0),MATCH(R$3,'Budget by Source'!$A$5:$I$5,0))/10,0)*10)</f>
        <v>4</v>
      </c>
      <c r="S57" s="154">
        <f>INDEX('Budget by Source'!$A$6:$I$330,MATCH('Payment by Source'!$A57,'Budget by Source'!$A$6:$A$330,0),MATCH(S$3,'Budget by Source'!$A$5:$I$5,0))-(ROUND(INDEX('Budget by Source'!$A$6:$I$330,MATCH('Payment by Source'!$A57,'Budget by Source'!$A$6:$A$330,0),MATCH(S$3,'Budget by Source'!$A$5:$I$5,0))/10,0)*10)</f>
        <v>2</v>
      </c>
      <c r="T57" s="154">
        <f>INDEX('Budget by Source'!$A$6:$I$330,MATCH('Payment by Source'!$A57,'Budget by Source'!$A$6:$A$330,0),MATCH(T$3,'Budget by Source'!$A$5:$I$5,0))-(ROUND(INDEX('Budget by Source'!$A$6:$I$330,MATCH('Payment by Source'!$A57,'Budget by Source'!$A$6:$A$330,0),MATCH(T$3,'Budget by Source'!$A$5:$I$5,0))/10,0)*10)</f>
        <v>-4</v>
      </c>
      <c r="U57" s="155">
        <f>INDEX('Budget by Source'!$A$6:$I$330,MATCH('Payment by Source'!$A57,'Budget by Source'!$A$6:$A$330,0),MATCH(U$3,'Budget by Source'!$A$5:$I$5,0))</f>
        <v>3985978</v>
      </c>
      <c r="V57" s="152">
        <f t="shared" si="1"/>
        <v>398598</v>
      </c>
      <c r="W57" s="152">
        <f t="shared" si="2"/>
        <v>3985980</v>
      </c>
    </row>
    <row r="58" spans="1:23" x14ac:dyDescent="0.2">
      <c r="A58" s="23" t="str">
        <f>Data!B54</f>
        <v>1080</v>
      </c>
      <c r="B58" s="21" t="str">
        <f>INDEX(Data[],MATCH($A58,Data[Dist],0),MATCH(B$5,Data[#Headers],0))</f>
        <v>Central Clayton</v>
      </c>
      <c r="C58" s="22">
        <f>IF(Notes!$B$2="June",ROUND('Budget by Source'!C58/10,0)+P58,ROUND('Budget by Source'!C58/10,0))</f>
        <v>12543</v>
      </c>
      <c r="D58" s="22">
        <f>IF(Notes!$B$2="June",ROUND('Budget by Source'!D58/10,0)+Q58,ROUND('Budget by Source'!D58/10,0))</f>
        <v>30281</v>
      </c>
      <c r="E58" s="22">
        <f>IF(Notes!$B$2="June",ROUND('Budget by Source'!E58/10,0)+R58,ROUND('Budget by Source'!E58/10,0))</f>
        <v>3166</v>
      </c>
      <c r="F58" s="22">
        <f>IF(Notes!$B$2="June",ROUND('Budget by Source'!F58/10,0)+S58,ROUND('Budget by Source'!F58/10,0))</f>
        <v>3168</v>
      </c>
      <c r="G58" s="22">
        <f>IF(Notes!$B$2="June",ROUND('Budget by Source'!G58/10,0)+T58,ROUND('Budget by Source'!G58/10,0))</f>
        <v>16647</v>
      </c>
      <c r="H58" s="22">
        <f t="shared" si="0"/>
        <v>245875</v>
      </c>
      <c r="I58" s="22">
        <f>INDEX(Data[],MATCH($A58,Data[Dist],0),MATCH(I$5,Data[#Headers],0))</f>
        <v>311680</v>
      </c>
      <c r="K58" s="69">
        <f>INDEX('Payment Total'!$A$7:$H$331,MATCH('Payment by Source'!$A58,'Payment Total'!$A$7:$A$331,0),3)-I58</f>
        <v>0</v>
      </c>
      <c r="P58" s="154">
        <f>INDEX('Budget by Source'!$A$6:$I$330,MATCH('Payment by Source'!$A58,'Budget by Source'!$A$6:$A$330,0),MATCH(P$3,'Budget by Source'!$A$5:$I$5,0))-(ROUND(INDEX('Budget by Source'!$A$6:$I$330,MATCH('Payment by Source'!$A58,'Budget by Source'!$A$6:$A$330,0),MATCH(P$3,'Budget by Source'!$A$5:$I$5,0))/10,0)*10)</f>
        <v>1</v>
      </c>
      <c r="Q58" s="154">
        <f>INDEX('Budget by Source'!$A$6:$I$330,MATCH('Payment by Source'!$A58,'Budget by Source'!$A$6:$A$330,0),MATCH(Q$3,'Budget by Source'!$A$5:$I$5,0))-(ROUND(INDEX('Budget by Source'!$A$6:$I$330,MATCH('Payment by Source'!$A58,'Budget by Source'!$A$6:$A$330,0),MATCH(Q$3,'Budget by Source'!$A$5:$I$5,0))/10,0)*10)</f>
        <v>1</v>
      </c>
      <c r="R58" s="154">
        <f>INDEX('Budget by Source'!$A$6:$I$330,MATCH('Payment by Source'!$A58,'Budget by Source'!$A$6:$A$330,0),MATCH(R$3,'Budget by Source'!$A$5:$I$5,0))-(ROUND(INDEX('Budget by Source'!$A$6:$I$330,MATCH('Payment by Source'!$A58,'Budget by Source'!$A$6:$A$330,0),MATCH(R$3,'Budget by Source'!$A$5:$I$5,0))/10,0)*10)</f>
        <v>-5</v>
      </c>
      <c r="S58" s="154">
        <f>INDEX('Budget by Source'!$A$6:$I$330,MATCH('Payment by Source'!$A58,'Budget by Source'!$A$6:$A$330,0),MATCH(S$3,'Budget by Source'!$A$5:$I$5,0))-(ROUND(INDEX('Budget by Source'!$A$6:$I$330,MATCH('Payment by Source'!$A58,'Budget by Source'!$A$6:$A$330,0),MATCH(S$3,'Budget by Source'!$A$5:$I$5,0))/10,0)*10)</f>
        <v>-2</v>
      </c>
      <c r="T58" s="154">
        <f>INDEX('Budget by Source'!$A$6:$I$330,MATCH('Payment by Source'!$A58,'Budget by Source'!$A$6:$A$330,0),MATCH(T$3,'Budget by Source'!$A$5:$I$5,0))-(ROUND(INDEX('Budget by Source'!$A$6:$I$330,MATCH('Payment by Source'!$A58,'Budget by Source'!$A$6:$A$330,0),MATCH(T$3,'Budget by Source'!$A$5:$I$5,0))/10,0)*10)</f>
        <v>-5</v>
      </c>
      <c r="U58" s="155">
        <f>INDEX('Budget by Source'!$A$6:$I$330,MATCH('Payment by Source'!$A58,'Budget by Source'!$A$6:$A$330,0),MATCH(U$3,'Budget by Source'!$A$5:$I$5,0))</f>
        <v>2458760</v>
      </c>
      <c r="V58" s="152">
        <f t="shared" si="1"/>
        <v>245876</v>
      </c>
      <c r="W58" s="152">
        <f t="shared" si="2"/>
        <v>2458760</v>
      </c>
    </row>
    <row r="59" spans="1:23" x14ac:dyDescent="0.2">
      <c r="A59" s="23" t="str">
        <f>Data!B55</f>
        <v>1082</v>
      </c>
      <c r="B59" s="21" t="str">
        <f>INDEX(Data[],MATCH($A59,Data[Dist],0),MATCH(B$5,Data[#Headers],0))</f>
        <v>Central De Witt</v>
      </c>
      <c r="C59" s="22">
        <f>IF(Notes!$B$2="June",ROUND('Budget by Source'!C59/10,0)+P59,ROUND('Budget by Source'!C59/10,0))</f>
        <v>34588</v>
      </c>
      <c r="D59" s="22">
        <f>IF(Notes!$B$2="June",ROUND('Budget by Source'!D59/10,0)+Q59,ROUND('Budget by Source'!D59/10,0))</f>
        <v>97267</v>
      </c>
      <c r="E59" s="22">
        <f>IF(Notes!$B$2="June",ROUND('Budget by Source'!E59/10,0)+R59,ROUND('Budget by Source'!E59/10,0))</f>
        <v>10183</v>
      </c>
      <c r="F59" s="22">
        <f>IF(Notes!$B$2="June",ROUND('Budget by Source'!F59/10,0)+S59,ROUND('Budget by Source'!F59/10,0))</f>
        <v>10590</v>
      </c>
      <c r="G59" s="22">
        <f>IF(Notes!$B$2="June",ROUND('Budget by Source'!G59/10,0)+T59,ROUND('Budget by Source'!G59/10,0))</f>
        <v>53544</v>
      </c>
      <c r="H59" s="22">
        <f t="shared" si="0"/>
        <v>778213</v>
      </c>
      <c r="I59" s="22">
        <f>INDEX(Data[],MATCH($A59,Data[Dist],0),MATCH(I$5,Data[#Headers],0))</f>
        <v>984385</v>
      </c>
      <c r="K59" s="69">
        <f>INDEX('Payment Total'!$A$7:$H$331,MATCH('Payment by Source'!$A59,'Payment Total'!$A$7:$A$331,0),3)-I59</f>
        <v>0</v>
      </c>
      <c r="P59" s="154">
        <f>INDEX('Budget by Source'!$A$6:$I$330,MATCH('Payment by Source'!$A59,'Budget by Source'!$A$6:$A$330,0),MATCH(P$3,'Budget by Source'!$A$5:$I$5,0))-(ROUND(INDEX('Budget by Source'!$A$6:$I$330,MATCH('Payment by Source'!$A59,'Budget by Source'!$A$6:$A$330,0),MATCH(P$3,'Budget by Source'!$A$5:$I$5,0))/10,0)*10)</f>
        <v>4</v>
      </c>
      <c r="Q59" s="154">
        <f>INDEX('Budget by Source'!$A$6:$I$330,MATCH('Payment by Source'!$A59,'Budget by Source'!$A$6:$A$330,0),MATCH(Q$3,'Budget by Source'!$A$5:$I$5,0))-(ROUND(INDEX('Budget by Source'!$A$6:$I$330,MATCH('Payment by Source'!$A59,'Budget by Source'!$A$6:$A$330,0),MATCH(Q$3,'Budget by Source'!$A$5:$I$5,0))/10,0)*10)</f>
        <v>3</v>
      </c>
      <c r="R59" s="154">
        <f>INDEX('Budget by Source'!$A$6:$I$330,MATCH('Payment by Source'!$A59,'Budget by Source'!$A$6:$A$330,0),MATCH(R$3,'Budget by Source'!$A$5:$I$5,0))-(ROUND(INDEX('Budget by Source'!$A$6:$I$330,MATCH('Payment by Source'!$A59,'Budget by Source'!$A$6:$A$330,0),MATCH(R$3,'Budget by Source'!$A$5:$I$5,0))/10,0)*10)</f>
        <v>4</v>
      </c>
      <c r="S59" s="154">
        <f>INDEX('Budget by Source'!$A$6:$I$330,MATCH('Payment by Source'!$A59,'Budget by Source'!$A$6:$A$330,0),MATCH(S$3,'Budget by Source'!$A$5:$I$5,0))-(ROUND(INDEX('Budget by Source'!$A$6:$I$330,MATCH('Payment by Source'!$A59,'Budget by Source'!$A$6:$A$330,0),MATCH(S$3,'Budget by Source'!$A$5:$I$5,0))/10,0)*10)</f>
        <v>2</v>
      </c>
      <c r="T59" s="154">
        <f>INDEX('Budget by Source'!$A$6:$I$330,MATCH('Payment by Source'!$A59,'Budget by Source'!$A$6:$A$330,0),MATCH(T$3,'Budget by Source'!$A$5:$I$5,0))-(ROUND(INDEX('Budget by Source'!$A$6:$I$330,MATCH('Payment by Source'!$A59,'Budget by Source'!$A$6:$A$330,0),MATCH(T$3,'Budget by Source'!$A$5:$I$5,0))/10,0)*10)</f>
        <v>-3</v>
      </c>
      <c r="U59" s="155">
        <f>INDEX('Budget by Source'!$A$6:$I$330,MATCH('Payment by Source'!$A59,'Budget by Source'!$A$6:$A$330,0),MATCH(U$3,'Budget by Source'!$A$5:$I$5,0))</f>
        <v>7782121</v>
      </c>
      <c r="V59" s="152">
        <f t="shared" si="1"/>
        <v>778212</v>
      </c>
      <c r="W59" s="152">
        <f t="shared" si="2"/>
        <v>7782120</v>
      </c>
    </row>
    <row r="60" spans="1:23" x14ac:dyDescent="0.2">
      <c r="A60" s="23" t="str">
        <f>Data!B56</f>
        <v>1089</v>
      </c>
      <c r="B60" s="21" t="str">
        <f>INDEX(Data[],MATCH($A60,Data[Dist],0),MATCH(B$5,Data[#Headers],0))</f>
        <v>Central City</v>
      </c>
      <c r="C60" s="22">
        <f>IF(Notes!$B$2="June",ROUND('Budget by Source'!C60/10,0)+P60,ROUND('Budget by Source'!C60/10,0))</f>
        <v>6462</v>
      </c>
      <c r="D60" s="22">
        <f>IF(Notes!$B$2="June",ROUND('Budget by Source'!D60/10,0)+Q60,ROUND('Budget by Source'!D60/10,0))</f>
        <v>31609</v>
      </c>
      <c r="E60" s="22">
        <f>IF(Notes!$B$2="June",ROUND('Budget by Source'!E60/10,0)+R60,ROUND('Budget by Source'!E60/10,0))</f>
        <v>3564</v>
      </c>
      <c r="F60" s="22">
        <f>IF(Notes!$B$2="June",ROUND('Budget by Source'!F60/10,0)+S60,ROUND('Budget by Source'!F60/10,0))</f>
        <v>3137</v>
      </c>
      <c r="G60" s="22">
        <f>IF(Notes!$B$2="June",ROUND('Budget by Source'!G60/10,0)+T60,ROUND('Budget by Source'!G60/10,0))</f>
        <v>16623</v>
      </c>
      <c r="H60" s="22">
        <f t="shared" si="0"/>
        <v>242953</v>
      </c>
      <c r="I60" s="22">
        <f>INDEX(Data[],MATCH($A60,Data[Dist],0),MATCH(I$5,Data[#Headers],0))</f>
        <v>304348</v>
      </c>
      <c r="K60" s="69">
        <f>INDEX('Payment Total'!$A$7:$H$331,MATCH('Payment by Source'!$A60,'Payment Total'!$A$7:$A$331,0),3)-I60</f>
        <v>0</v>
      </c>
      <c r="P60" s="154">
        <f>INDEX('Budget by Source'!$A$6:$I$330,MATCH('Payment by Source'!$A60,'Budget by Source'!$A$6:$A$330,0),MATCH(P$3,'Budget by Source'!$A$5:$I$5,0))-(ROUND(INDEX('Budget by Source'!$A$6:$I$330,MATCH('Payment by Source'!$A60,'Budget by Source'!$A$6:$A$330,0),MATCH(P$3,'Budget by Source'!$A$5:$I$5,0))/10,0)*10)</f>
        <v>-4</v>
      </c>
      <c r="Q60" s="154">
        <f>INDEX('Budget by Source'!$A$6:$I$330,MATCH('Payment by Source'!$A60,'Budget by Source'!$A$6:$A$330,0),MATCH(Q$3,'Budget by Source'!$A$5:$I$5,0))-(ROUND(INDEX('Budget by Source'!$A$6:$I$330,MATCH('Payment by Source'!$A60,'Budget by Source'!$A$6:$A$330,0),MATCH(Q$3,'Budget by Source'!$A$5:$I$5,0))/10,0)*10)</f>
        <v>-4</v>
      </c>
      <c r="R60" s="154">
        <f>INDEX('Budget by Source'!$A$6:$I$330,MATCH('Payment by Source'!$A60,'Budget by Source'!$A$6:$A$330,0),MATCH(R$3,'Budget by Source'!$A$5:$I$5,0))-(ROUND(INDEX('Budget by Source'!$A$6:$I$330,MATCH('Payment by Source'!$A60,'Budget by Source'!$A$6:$A$330,0),MATCH(R$3,'Budget by Source'!$A$5:$I$5,0))/10,0)*10)</f>
        <v>4</v>
      </c>
      <c r="S60" s="154">
        <f>INDEX('Budget by Source'!$A$6:$I$330,MATCH('Payment by Source'!$A60,'Budget by Source'!$A$6:$A$330,0),MATCH(S$3,'Budget by Source'!$A$5:$I$5,0))-(ROUND(INDEX('Budget by Source'!$A$6:$I$330,MATCH('Payment by Source'!$A60,'Budget by Source'!$A$6:$A$330,0),MATCH(S$3,'Budget by Source'!$A$5:$I$5,0))/10,0)*10)</f>
        <v>4</v>
      </c>
      <c r="T60" s="154">
        <f>INDEX('Budget by Source'!$A$6:$I$330,MATCH('Payment by Source'!$A60,'Budget by Source'!$A$6:$A$330,0),MATCH(T$3,'Budget by Source'!$A$5:$I$5,0))-(ROUND(INDEX('Budget by Source'!$A$6:$I$330,MATCH('Payment by Source'!$A60,'Budget by Source'!$A$6:$A$330,0),MATCH(T$3,'Budget by Source'!$A$5:$I$5,0))/10,0)*10)</f>
        <v>4</v>
      </c>
      <c r="U60" s="155">
        <f>INDEX('Budget by Source'!$A$6:$I$330,MATCH('Payment by Source'!$A60,'Budget by Source'!$A$6:$A$330,0),MATCH(U$3,'Budget by Source'!$A$5:$I$5,0))</f>
        <v>2429529</v>
      </c>
      <c r="V60" s="152">
        <f t="shared" si="1"/>
        <v>242953</v>
      </c>
      <c r="W60" s="152">
        <f t="shared" si="2"/>
        <v>2429530</v>
      </c>
    </row>
    <row r="61" spans="1:23" x14ac:dyDescent="0.2">
      <c r="A61" s="23" t="str">
        <f>Data!B57</f>
        <v>1093</v>
      </c>
      <c r="B61" s="21" t="str">
        <f>INDEX(Data[],MATCH($A61,Data[Dist],0),MATCH(B$5,Data[#Headers],0))</f>
        <v>Central Decatur</v>
      </c>
      <c r="C61" s="22">
        <f>IF(Notes!$B$2="June",ROUND('Budget by Source'!C61/10,0)+P61,ROUND('Budget by Source'!C61/10,0))</f>
        <v>15584</v>
      </c>
      <c r="D61" s="22">
        <f>IF(Notes!$B$2="June",ROUND('Budget by Source'!D61/10,0)+Q61,ROUND('Budget by Source'!D61/10,0))</f>
        <v>43646</v>
      </c>
      <c r="E61" s="22">
        <f>IF(Notes!$B$2="June",ROUND('Budget by Source'!E61/10,0)+R61,ROUND('Budget by Source'!E61/10,0))</f>
        <v>5809</v>
      </c>
      <c r="F61" s="22">
        <f>IF(Notes!$B$2="June",ROUND('Budget by Source'!F61/10,0)+S61,ROUND('Budget by Source'!F61/10,0))</f>
        <v>4559</v>
      </c>
      <c r="G61" s="22">
        <f>IF(Notes!$B$2="June",ROUND('Budget by Source'!G61/10,0)+T61,ROUND('Budget by Source'!G61/10,0))</f>
        <v>23685</v>
      </c>
      <c r="H61" s="22">
        <f t="shared" si="0"/>
        <v>456030</v>
      </c>
      <c r="I61" s="22">
        <f>INDEX(Data[],MATCH($A61,Data[Dist],0),MATCH(I$5,Data[#Headers],0))</f>
        <v>549313</v>
      </c>
      <c r="K61" s="69">
        <f>INDEX('Payment Total'!$A$7:$H$331,MATCH('Payment by Source'!$A61,'Payment Total'!$A$7:$A$331,0),3)-I61</f>
        <v>0</v>
      </c>
      <c r="P61" s="154">
        <f>INDEX('Budget by Source'!$A$6:$I$330,MATCH('Payment by Source'!$A61,'Budget by Source'!$A$6:$A$330,0),MATCH(P$3,'Budget by Source'!$A$5:$I$5,0))-(ROUND(INDEX('Budget by Source'!$A$6:$I$330,MATCH('Payment by Source'!$A61,'Budget by Source'!$A$6:$A$330,0),MATCH(P$3,'Budget by Source'!$A$5:$I$5,0))/10,0)*10)</f>
        <v>-2</v>
      </c>
      <c r="Q61" s="154">
        <f>INDEX('Budget by Source'!$A$6:$I$330,MATCH('Payment by Source'!$A61,'Budget by Source'!$A$6:$A$330,0),MATCH(Q$3,'Budget by Source'!$A$5:$I$5,0))-(ROUND(INDEX('Budget by Source'!$A$6:$I$330,MATCH('Payment by Source'!$A61,'Budget by Source'!$A$6:$A$330,0),MATCH(Q$3,'Budget by Source'!$A$5:$I$5,0))/10,0)*10)</f>
        <v>-2</v>
      </c>
      <c r="R61" s="154">
        <f>INDEX('Budget by Source'!$A$6:$I$330,MATCH('Payment by Source'!$A61,'Budget by Source'!$A$6:$A$330,0),MATCH(R$3,'Budget by Source'!$A$5:$I$5,0))-(ROUND(INDEX('Budget by Source'!$A$6:$I$330,MATCH('Payment by Source'!$A61,'Budget by Source'!$A$6:$A$330,0),MATCH(R$3,'Budget by Source'!$A$5:$I$5,0))/10,0)*10)</f>
        <v>4</v>
      </c>
      <c r="S61" s="154">
        <f>INDEX('Budget by Source'!$A$6:$I$330,MATCH('Payment by Source'!$A61,'Budget by Source'!$A$6:$A$330,0),MATCH(S$3,'Budget by Source'!$A$5:$I$5,0))-(ROUND(INDEX('Budget by Source'!$A$6:$I$330,MATCH('Payment by Source'!$A61,'Budget by Source'!$A$6:$A$330,0),MATCH(S$3,'Budget by Source'!$A$5:$I$5,0))/10,0)*10)</f>
        <v>3</v>
      </c>
      <c r="T61" s="154">
        <f>INDEX('Budget by Source'!$A$6:$I$330,MATCH('Payment by Source'!$A61,'Budget by Source'!$A$6:$A$330,0),MATCH(T$3,'Budget by Source'!$A$5:$I$5,0))-(ROUND(INDEX('Budget by Source'!$A$6:$I$330,MATCH('Payment by Source'!$A61,'Budget by Source'!$A$6:$A$330,0),MATCH(T$3,'Budget by Source'!$A$5:$I$5,0))/10,0)*10)</f>
        <v>4</v>
      </c>
      <c r="U61" s="155">
        <f>INDEX('Budget by Source'!$A$6:$I$330,MATCH('Payment by Source'!$A61,'Budget by Source'!$A$6:$A$330,0),MATCH(U$3,'Budget by Source'!$A$5:$I$5,0))</f>
        <v>4560291</v>
      </c>
      <c r="V61" s="152">
        <f t="shared" si="1"/>
        <v>456029</v>
      </c>
      <c r="W61" s="152">
        <f t="shared" si="2"/>
        <v>4560290</v>
      </c>
    </row>
    <row r="62" spans="1:23" x14ac:dyDescent="0.2">
      <c r="A62" s="23" t="str">
        <f>Data!B58</f>
        <v>1095</v>
      </c>
      <c r="B62" s="21" t="str">
        <f>INDEX(Data[],MATCH($A62,Data[Dist],0),MATCH(B$5,Data[#Headers],0))</f>
        <v>Central Lyon</v>
      </c>
      <c r="C62" s="22">
        <f>IF(Notes!$B$2="June",ROUND('Budget by Source'!C62/10,0)+P62,ROUND('Budget by Source'!C62/10,0))</f>
        <v>16724</v>
      </c>
      <c r="D62" s="22">
        <f>IF(Notes!$B$2="June",ROUND('Budget by Source'!D62/10,0)+Q62,ROUND('Budget by Source'!D62/10,0))</f>
        <v>48874</v>
      </c>
      <c r="E62" s="22">
        <f>IF(Notes!$B$2="June",ROUND('Budget by Source'!E62/10,0)+R62,ROUND('Budget by Source'!E62/10,0))</f>
        <v>5298</v>
      </c>
      <c r="F62" s="22">
        <f>IF(Notes!$B$2="June",ROUND('Budget by Source'!F62/10,0)+S62,ROUND('Budget by Source'!F62/10,0))</f>
        <v>5620</v>
      </c>
      <c r="G62" s="22">
        <f>IF(Notes!$B$2="June",ROUND('Budget by Source'!G62/10,0)+T62,ROUND('Budget by Source'!G62/10,0))</f>
        <v>28196</v>
      </c>
      <c r="H62" s="22">
        <f t="shared" si="0"/>
        <v>407223</v>
      </c>
      <c r="I62" s="22">
        <f>INDEX(Data[],MATCH($A62,Data[Dist],0),MATCH(I$5,Data[#Headers],0))</f>
        <v>511935</v>
      </c>
      <c r="K62" s="69">
        <f>INDEX('Payment Total'!$A$7:$H$331,MATCH('Payment by Source'!$A62,'Payment Total'!$A$7:$A$331,0),3)-I62</f>
        <v>0</v>
      </c>
      <c r="P62" s="154">
        <f>INDEX('Budget by Source'!$A$6:$I$330,MATCH('Payment by Source'!$A62,'Budget by Source'!$A$6:$A$330,0),MATCH(P$3,'Budget by Source'!$A$5:$I$5,0))-(ROUND(INDEX('Budget by Source'!$A$6:$I$330,MATCH('Payment by Source'!$A62,'Budget by Source'!$A$6:$A$330,0),MATCH(P$3,'Budget by Source'!$A$5:$I$5,0))/10,0)*10)</f>
        <v>0</v>
      </c>
      <c r="Q62" s="154">
        <f>INDEX('Budget by Source'!$A$6:$I$330,MATCH('Payment by Source'!$A62,'Budget by Source'!$A$6:$A$330,0),MATCH(Q$3,'Budget by Source'!$A$5:$I$5,0))-(ROUND(INDEX('Budget by Source'!$A$6:$I$330,MATCH('Payment by Source'!$A62,'Budget by Source'!$A$6:$A$330,0),MATCH(Q$3,'Budget by Source'!$A$5:$I$5,0))/10,0)*10)</f>
        <v>-2</v>
      </c>
      <c r="R62" s="154">
        <f>INDEX('Budget by Source'!$A$6:$I$330,MATCH('Payment by Source'!$A62,'Budget by Source'!$A$6:$A$330,0),MATCH(R$3,'Budget by Source'!$A$5:$I$5,0))-(ROUND(INDEX('Budget by Source'!$A$6:$I$330,MATCH('Payment by Source'!$A62,'Budget by Source'!$A$6:$A$330,0),MATCH(R$3,'Budget by Source'!$A$5:$I$5,0))/10,0)*10)</f>
        <v>3</v>
      </c>
      <c r="S62" s="154">
        <f>INDEX('Budget by Source'!$A$6:$I$330,MATCH('Payment by Source'!$A62,'Budget by Source'!$A$6:$A$330,0),MATCH(S$3,'Budget by Source'!$A$5:$I$5,0))-(ROUND(INDEX('Budget by Source'!$A$6:$I$330,MATCH('Payment by Source'!$A62,'Budget by Source'!$A$6:$A$330,0),MATCH(S$3,'Budget by Source'!$A$5:$I$5,0))/10,0)*10)</f>
        <v>-3</v>
      </c>
      <c r="T62" s="154">
        <f>INDEX('Budget by Source'!$A$6:$I$330,MATCH('Payment by Source'!$A62,'Budget by Source'!$A$6:$A$330,0),MATCH(T$3,'Budget by Source'!$A$5:$I$5,0))-(ROUND(INDEX('Budget by Source'!$A$6:$I$330,MATCH('Payment by Source'!$A62,'Budget by Source'!$A$6:$A$330,0),MATCH(T$3,'Budget by Source'!$A$5:$I$5,0))/10,0)*10)</f>
        <v>2</v>
      </c>
      <c r="U62" s="155">
        <f>INDEX('Budget by Source'!$A$6:$I$330,MATCH('Payment by Source'!$A62,'Budget by Source'!$A$6:$A$330,0),MATCH(U$3,'Budget by Source'!$A$5:$I$5,0))</f>
        <v>4072228</v>
      </c>
      <c r="V62" s="152">
        <f t="shared" si="1"/>
        <v>407223</v>
      </c>
      <c r="W62" s="152">
        <f t="shared" si="2"/>
        <v>4072230</v>
      </c>
    </row>
    <row r="63" spans="1:23" x14ac:dyDescent="0.2">
      <c r="A63" s="23" t="str">
        <f>Data!B59</f>
        <v>1107</v>
      </c>
      <c r="B63" s="21" t="str">
        <f>INDEX(Data[],MATCH($A63,Data[Dist],0),MATCH(B$5,Data[#Headers],0))</f>
        <v>Chariton</v>
      </c>
      <c r="C63" s="22">
        <f>IF(Notes!$B$2="June",ROUND('Budget by Source'!C63/10,0)+P63,ROUND('Budget by Source'!C63/10,0))</f>
        <v>22045</v>
      </c>
      <c r="D63" s="22">
        <f>IF(Notes!$B$2="June",ROUND('Budget by Source'!D63/10,0)+Q63,ROUND('Budget by Source'!D63/10,0))</f>
        <v>82015</v>
      </c>
      <c r="E63" s="22">
        <f>IF(Notes!$B$2="June",ROUND('Budget by Source'!E63/10,0)+R63,ROUND('Budget by Source'!E63/10,0))</f>
        <v>11176</v>
      </c>
      <c r="F63" s="22">
        <f>IF(Notes!$B$2="June",ROUND('Budget by Source'!F63/10,0)+S63,ROUND('Budget by Source'!F63/10,0))</f>
        <v>8829</v>
      </c>
      <c r="G63" s="22">
        <f>IF(Notes!$B$2="June",ROUND('Budget by Source'!G63/10,0)+T63,ROUND('Budget by Source'!G63/10,0))</f>
        <v>46851</v>
      </c>
      <c r="H63" s="22">
        <f t="shared" si="0"/>
        <v>803349</v>
      </c>
      <c r="I63" s="22">
        <f>INDEX(Data[],MATCH($A63,Data[Dist],0),MATCH(I$5,Data[#Headers],0))</f>
        <v>974265</v>
      </c>
      <c r="K63" s="69">
        <f>INDEX('Payment Total'!$A$7:$H$331,MATCH('Payment by Source'!$A63,'Payment Total'!$A$7:$A$331,0),3)-I63</f>
        <v>0</v>
      </c>
      <c r="P63" s="154">
        <f>INDEX('Budget by Source'!$A$6:$I$330,MATCH('Payment by Source'!$A63,'Budget by Source'!$A$6:$A$330,0),MATCH(P$3,'Budget by Source'!$A$5:$I$5,0))-(ROUND(INDEX('Budget by Source'!$A$6:$I$330,MATCH('Payment by Source'!$A63,'Budget by Source'!$A$6:$A$330,0),MATCH(P$3,'Budget by Source'!$A$5:$I$5,0))/10,0)*10)</f>
        <v>3</v>
      </c>
      <c r="Q63" s="154">
        <f>INDEX('Budget by Source'!$A$6:$I$330,MATCH('Payment by Source'!$A63,'Budget by Source'!$A$6:$A$330,0),MATCH(Q$3,'Budget by Source'!$A$5:$I$5,0))-(ROUND(INDEX('Budget by Source'!$A$6:$I$330,MATCH('Payment by Source'!$A63,'Budget by Source'!$A$6:$A$330,0),MATCH(Q$3,'Budget by Source'!$A$5:$I$5,0))/10,0)*10)</f>
        <v>4</v>
      </c>
      <c r="R63" s="154">
        <f>INDEX('Budget by Source'!$A$6:$I$330,MATCH('Payment by Source'!$A63,'Budget by Source'!$A$6:$A$330,0),MATCH(R$3,'Budget by Source'!$A$5:$I$5,0))-(ROUND(INDEX('Budget by Source'!$A$6:$I$330,MATCH('Payment by Source'!$A63,'Budget by Source'!$A$6:$A$330,0),MATCH(R$3,'Budget by Source'!$A$5:$I$5,0))/10,0)*10)</f>
        <v>0</v>
      </c>
      <c r="S63" s="154">
        <f>INDEX('Budget by Source'!$A$6:$I$330,MATCH('Payment by Source'!$A63,'Budget by Source'!$A$6:$A$330,0),MATCH(S$3,'Budget by Source'!$A$5:$I$5,0))-(ROUND(INDEX('Budget by Source'!$A$6:$I$330,MATCH('Payment by Source'!$A63,'Budget by Source'!$A$6:$A$330,0),MATCH(S$3,'Budget by Source'!$A$5:$I$5,0))/10,0)*10)</f>
        <v>2</v>
      </c>
      <c r="T63" s="154">
        <f>INDEX('Budget by Source'!$A$6:$I$330,MATCH('Payment by Source'!$A63,'Budget by Source'!$A$6:$A$330,0),MATCH(T$3,'Budget by Source'!$A$5:$I$5,0))-(ROUND(INDEX('Budget by Source'!$A$6:$I$330,MATCH('Payment by Source'!$A63,'Budget by Source'!$A$6:$A$330,0),MATCH(T$3,'Budget by Source'!$A$5:$I$5,0))/10,0)*10)</f>
        <v>2</v>
      </c>
      <c r="U63" s="155">
        <f>INDEX('Budget by Source'!$A$6:$I$330,MATCH('Payment by Source'!$A63,'Budget by Source'!$A$6:$A$330,0),MATCH(U$3,'Budget by Source'!$A$5:$I$5,0))</f>
        <v>8033480</v>
      </c>
      <c r="V63" s="152">
        <f t="shared" si="1"/>
        <v>803348</v>
      </c>
      <c r="W63" s="152">
        <f t="shared" si="2"/>
        <v>8033480</v>
      </c>
    </row>
    <row r="64" spans="1:23" x14ac:dyDescent="0.2">
      <c r="A64" s="23" t="str">
        <f>Data!B60</f>
        <v>1116</v>
      </c>
      <c r="B64" s="21" t="str">
        <f>INDEX(Data[],MATCH($A64,Data[Dist],0),MATCH(B$5,Data[#Headers],0))</f>
        <v>Charles City</v>
      </c>
      <c r="C64" s="22">
        <f>IF(Notes!$B$2="June",ROUND('Budget by Source'!C64/10,0)+P64,ROUND('Budget by Source'!C64/10,0))</f>
        <v>28498</v>
      </c>
      <c r="D64" s="22">
        <f>IF(Notes!$B$2="June",ROUND('Budget by Source'!D64/10,0)+Q64,ROUND('Budget by Source'!D64/10,0))</f>
        <v>98557</v>
      </c>
      <c r="E64" s="22">
        <f>IF(Notes!$B$2="June",ROUND('Budget by Source'!E64/10,0)+R64,ROUND('Budget by Source'!E64/10,0))</f>
        <v>11547</v>
      </c>
      <c r="F64" s="22">
        <f>IF(Notes!$B$2="June",ROUND('Budget by Source'!F64/10,0)+S64,ROUND('Budget by Source'!F64/10,0))</f>
        <v>11603</v>
      </c>
      <c r="G64" s="22">
        <f>IF(Notes!$B$2="June",ROUND('Budget by Source'!G64/10,0)+T64,ROUND('Budget by Source'!G64/10,0))</f>
        <v>55620</v>
      </c>
      <c r="H64" s="22">
        <f t="shared" si="0"/>
        <v>900035</v>
      </c>
      <c r="I64" s="22">
        <f>INDEX(Data[],MATCH($A64,Data[Dist],0),MATCH(I$5,Data[#Headers],0))</f>
        <v>1105860</v>
      </c>
      <c r="K64" s="69">
        <f>INDEX('Payment Total'!$A$7:$H$331,MATCH('Payment by Source'!$A64,'Payment Total'!$A$7:$A$331,0),3)-I64</f>
        <v>0</v>
      </c>
      <c r="P64" s="154">
        <f>INDEX('Budget by Source'!$A$6:$I$330,MATCH('Payment by Source'!$A64,'Budget by Source'!$A$6:$A$330,0),MATCH(P$3,'Budget by Source'!$A$5:$I$5,0))-(ROUND(INDEX('Budget by Source'!$A$6:$I$330,MATCH('Payment by Source'!$A64,'Budget by Source'!$A$6:$A$330,0),MATCH(P$3,'Budget by Source'!$A$5:$I$5,0))/10,0)*10)</f>
        <v>-5</v>
      </c>
      <c r="Q64" s="154">
        <f>INDEX('Budget by Source'!$A$6:$I$330,MATCH('Payment by Source'!$A64,'Budget by Source'!$A$6:$A$330,0),MATCH(Q$3,'Budget by Source'!$A$5:$I$5,0))-(ROUND(INDEX('Budget by Source'!$A$6:$I$330,MATCH('Payment by Source'!$A64,'Budget by Source'!$A$6:$A$330,0),MATCH(Q$3,'Budget by Source'!$A$5:$I$5,0))/10,0)*10)</f>
        <v>-1</v>
      </c>
      <c r="R64" s="154">
        <f>INDEX('Budget by Source'!$A$6:$I$330,MATCH('Payment by Source'!$A64,'Budget by Source'!$A$6:$A$330,0),MATCH(R$3,'Budget by Source'!$A$5:$I$5,0))-(ROUND(INDEX('Budget by Source'!$A$6:$I$330,MATCH('Payment by Source'!$A64,'Budget by Source'!$A$6:$A$330,0),MATCH(R$3,'Budget by Source'!$A$5:$I$5,0))/10,0)*10)</f>
        <v>-2</v>
      </c>
      <c r="S64" s="154">
        <f>INDEX('Budget by Source'!$A$6:$I$330,MATCH('Payment by Source'!$A64,'Budget by Source'!$A$6:$A$330,0),MATCH(S$3,'Budget by Source'!$A$5:$I$5,0))-(ROUND(INDEX('Budget by Source'!$A$6:$I$330,MATCH('Payment by Source'!$A64,'Budget by Source'!$A$6:$A$330,0),MATCH(S$3,'Budget by Source'!$A$5:$I$5,0))/10,0)*10)</f>
        <v>-2</v>
      </c>
      <c r="T64" s="154">
        <f>INDEX('Budget by Source'!$A$6:$I$330,MATCH('Payment by Source'!$A64,'Budget by Source'!$A$6:$A$330,0),MATCH(T$3,'Budget by Source'!$A$5:$I$5,0))-(ROUND(INDEX('Budget by Source'!$A$6:$I$330,MATCH('Payment by Source'!$A64,'Budget by Source'!$A$6:$A$330,0),MATCH(T$3,'Budget by Source'!$A$5:$I$5,0))/10,0)*10)</f>
        <v>0</v>
      </c>
      <c r="U64" s="155">
        <f>INDEX('Budget by Source'!$A$6:$I$330,MATCH('Payment by Source'!$A64,'Budget by Source'!$A$6:$A$330,0),MATCH(U$3,'Budget by Source'!$A$5:$I$5,0))</f>
        <v>9000355</v>
      </c>
      <c r="V64" s="152">
        <f t="shared" si="1"/>
        <v>900036</v>
      </c>
      <c r="W64" s="152">
        <f t="shared" si="2"/>
        <v>9000360</v>
      </c>
    </row>
    <row r="65" spans="1:23" x14ac:dyDescent="0.2">
      <c r="A65" s="23" t="str">
        <f>Data!B61</f>
        <v>1134</v>
      </c>
      <c r="B65" s="21" t="str">
        <f>INDEX(Data[],MATCH($A65,Data[Dist],0),MATCH(B$5,Data[#Headers],0))</f>
        <v>Charter Oak-Ute</v>
      </c>
      <c r="C65" s="22">
        <f>IF(Notes!$B$2="June",ROUND('Budget by Source'!C65/10,0)+P65,ROUND('Budget by Source'!C65/10,0))</f>
        <v>4941</v>
      </c>
      <c r="D65" s="22">
        <f>IF(Notes!$B$2="June",ROUND('Budget by Source'!D65/10,0)+Q65,ROUND('Budget by Source'!D65/10,0))</f>
        <v>20731</v>
      </c>
      <c r="E65" s="22">
        <f>IF(Notes!$B$2="June",ROUND('Budget by Source'!E65/10,0)+R65,ROUND('Budget by Source'!E65/10,0))</f>
        <v>2398</v>
      </c>
      <c r="F65" s="22">
        <f>IF(Notes!$B$2="June",ROUND('Budget by Source'!F65/10,0)+S65,ROUND('Budget by Source'!F65/10,0))</f>
        <v>2190</v>
      </c>
      <c r="G65" s="22">
        <f>IF(Notes!$B$2="June",ROUND('Budget by Source'!G65/10,0)+T65,ROUND('Budget by Source'!G65/10,0))</f>
        <v>10584</v>
      </c>
      <c r="H65" s="22">
        <f t="shared" si="0"/>
        <v>132416</v>
      </c>
      <c r="I65" s="22">
        <f>INDEX(Data[],MATCH($A65,Data[Dist],0),MATCH(I$5,Data[#Headers],0))</f>
        <v>173260</v>
      </c>
      <c r="K65" s="69">
        <f>INDEX('Payment Total'!$A$7:$H$331,MATCH('Payment by Source'!$A65,'Payment Total'!$A$7:$A$331,0),3)-I65</f>
        <v>0</v>
      </c>
      <c r="P65" s="154">
        <f>INDEX('Budget by Source'!$A$6:$I$330,MATCH('Payment by Source'!$A65,'Budget by Source'!$A$6:$A$330,0),MATCH(P$3,'Budget by Source'!$A$5:$I$5,0))-(ROUND(INDEX('Budget by Source'!$A$6:$I$330,MATCH('Payment by Source'!$A65,'Budget by Source'!$A$6:$A$330,0),MATCH(P$3,'Budget by Source'!$A$5:$I$5,0))/10,0)*10)</f>
        <v>2</v>
      </c>
      <c r="Q65" s="154">
        <f>INDEX('Budget by Source'!$A$6:$I$330,MATCH('Payment by Source'!$A65,'Budget by Source'!$A$6:$A$330,0),MATCH(Q$3,'Budget by Source'!$A$5:$I$5,0))-(ROUND(INDEX('Budget by Source'!$A$6:$I$330,MATCH('Payment by Source'!$A65,'Budget by Source'!$A$6:$A$330,0),MATCH(Q$3,'Budget by Source'!$A$5:$I$5,0))/10,0)*10)</f>
        <v>0</v>
      </c>
      <c r="R65" s="154">
        <f>INDEX('Budget by Source'!$A$6:$I$330,MATCH('Payment by Source'!$A65,'Budget by Source'!$A$6:$A$330,0),MATCH(R$3,'Budget by Source'!$A$5:$I$5,0))-(ROUND(INDEX('Budget by Source'!$A$6:$I$330,MATCH('Payment by Source'!$A65,'Budget by Source'!$A$6:$A$330,0),MATCH(R$3,'Budget by Source'!$A$5:$I$5,0))/10,0)*10)</f>
        <v>-5</v>
      </c>
      <c r="S65" s="154">
        <f>INDEX('Budget by Source'!$A$6:$I$330,MATCH('Payment by Source'!$A65,'Budget by Source'!$A$6:$A$330,0),MATCH(S$3,'Budget by Source'!$A$5:$I$5,0))-(ROUND(INDEX('Budget by Source'!$A$6:$I$330,MATCH('Payment by Source'!$A65,'Budget by Source'!$A$6:$A$330,0),MATCH(S$3,'Budget by Source'!$A$5:$I$5,0))/10,0)*10)</f>
        <v>-4</v>
      </c>
      <c r="T65" s="154">
        <f>INDEX('Budget by Source'!$A$6:$I$330,MATCH('Payment by Source'!$A65,'Budget by Source'!$A$6:$A$330,0),MATCH(T$3,'Budget by Source'!$A$5:$I$5,0))-(ROUND(INDEX('Budget by Source'!$A$6:$I$330,MATCH('Payment by Source'!$A65,'Budget by Source'!$A$6:$A$330,0),MATCH(T$3,'Budget by Source'!$A$5:$I$5,0))/10,0)*10)</f>
        <v>2</v>
      </c>
      <c r="U65" s="155">
        <f>INDEX('Budget by Source'!$A$6:$I$330,MATCH('Payment by Source'!$A65,'Budget by Source'!$A$6:$A$330,0),MATCH(U$3,'Budget by Source'!$A$5:$I$5,0))</f>
        <v>1324161</v>
      </c>
      <c r="V65" s="152">
        <f t="shared" si="1"/>
        <v>132416</v>
      </c>
      <c r="W65" s="152">
        <f t="shared" si="2"/>
        <v>1324160</v>
      </c>
    </row>
    <row r="66" spans="1:23" x14ac:dyDescent="0.2">
      <c r="A66" s="23" t="str">
        <f>Data!B62</f>
        <v>1152</v>
      </c>
      <c r="B66" s="21" t="str">
        <f>INDEX(Data[],MATCH($A66,Data[Dist],0),MATCH(B$5,Data[#Headers],0))</f>
        <v>Cherokee</v>
      </c>
      <c r="C66" s="22">
        <f>IF(Notes!$B$2="June",ROUND('Budget by Source'!C66/10,0)+P66,ROUND('Budget by Source'!C66/10,0))</f>
        <v>14444</v>
      </c>
      <c r="D66" s="22">
        <f>IF(Notes!$B$2="June",ROUND('Budget by Source'!D66/10,0)+Q66,ROUND('Budget by Source'!D66/10,0))</f>
        <v>69128</v>
      </c>
      <c r="E66" s="22">
        <f>IF(Notes!$B$2="June",ROUND('Budget by Source'!E66/10,0)+R66,ROUND('Budget by Source'!E66/10,0))</f>
        <v>8335</v>
      </c>
      <c r="F66" s="22">
        <f>IF(Notes!$B$2="June",ROUND('Budget by Source'!F66/10,0)+S66,ROUND('Budget by Source'!F66/10,0))</f>
        <v>7781</v>
      </c>
      <c r="G66" s="22">
        <f>IF(Notes!$B$2="June",ROUND('Budget by Source'!G66/10,0)+T66,ROUND('Budget by Source'!G66/10,0))</f>
        <v>38154</v>
      </c>
      <c r="H66" s="22">
        <f t="shared" si="0"/>
        <v>646893</v>
      </c>
      <c r="I66" s="22">
        <f>INDEX(Data[],MATCH($A66,Data[Dist],0),MATCH(I$5,Data[#Headers],0))</f>
        <v>784735</v>
      </c>
      <c r="K66" s="69">
        <f>INDEX('Payment Total'!$A$7:$H$331,MATCH('Payment by Source'!$A66,'Payment Total'!$A$7:$A$331,0),3)-I66</f>
        <v>0</v>
      </c>
      <c r="P66" s="154">
        <f>INDEX('Budget by Source'!$A$6:$I$330,MATCH('Payment by Source'!$A66,'Budget by Source'!$A$6:$A$330,0),MATCH(P$3,'Budget by Source'!$A$5:$I$5,0))-(ROUND(INDEX('Budget by Source'!$A$6:$I$330,MATCH('Payment by Source'!$A66,'Budget by Source'!$A$6:$A$330,0),MATCH(P$3,'Budget by Source'!$A$5:$I$5,0))/10,0)*10)</f>
        <v>-5</v>
      </c>
      <c r="Q66" s="154">
        <f>INDEX('Budget by Source'!$A$6:$I$330,MATCH('Payment by Source'!$A66,'Budget by Source'!$A$6:$A$330,0),MATCH(Q$3,'Budget by Source'!$A$5:$I$5,0))-(ROUND(INDEX('Budget by Source'!$A$6:$I$330,MATCH('Payment by Source'!$A66,'Budget by Source'!$A$6:$A$330,0),MATCH(Q$3,'Budget by Source'!$A$5:$I$5,0))/10,0)*10)</f>
        <v>0</v>
      </c>
      <c r="R66" s="154">
        <f>INDEX('Budget by Source'!$A$6:$I$330,MATCH('Payment by Source'!$A66,'Budget by Source'!$A$6:$A$330,0),MATCH(R$3,'Budget by Source'!$A$5:$I$5,0))-(ROUND(INDEX('Budget by Source'!$A$6:$I$330,MATCH('Payment by Source'!$A66,'Budget by Source'!$A$6:$A$330,0),MATCH(R$3,'Budget by Source'!$A$5:$I$5,0))/10,0)*10)</f>
        <v>2</v>
      </c>
      <c r="S66" s="154">
        <f>INDEX('Budget by Source'!$A$6:$I$330,MATCH('Payment by Source'!$A66,'Budget by Source'!$A$6:$A$330,0),MATCH(S$3,'Budget by Source'!$A$5:$I$5,0))-(ROUND(INDEX('Budget by Source'!$A$6:$I$330,MATCH('Payment by Source'!$A66,'Budget by Source'!$A$6:$A$330,0),MATCH(S$3,'Budget by Source'!$A$5:$I$5,0))/10,0)*10)</f>
        <v>3</v>
      </c>
      <c r="T66" s="154">
        <f>INDEX('Budget by Source'!$A$6:$I$330,MATCH('Payment by Source'!$A66,'Budget by Source'!$A$6:$A$330,0),MATCH(T$3,'Budget by Source'!$A$5:$I$5,0))-(ROUND(INDEX('Budget by Source'!$A$6:$I$330,MATCH('Payment by Source'!$A66,'Budget by Source'!$A$6:$A$330,0),MATCH(T$3,'Budget by Source'!$A$5:$I$5,0))/10,0)*10)</f>
        <v>-1</v>
      </c>
      <c r="U66" s="155">
        <f>INDEX('Budget by Source'!$A$6:$I$330,MATCH('Payment by Source'!$A66,'Budget by Source'!$A$6:$A$330,0),MATCH(U$3,'Budget by Source'!$A$5:$I$5,0))</f>
        <v>6468931</v>
      </c>
      <c r="V66" s="152">
        <f t="shared" si="1"/>
        <v>646893</v>
      </c>
      <c r="W66" s="152">
        <f t="shared" si="2"/>
        <v>6468930</v>
      </c>
    </row>
    <row r="67" spans="1:23" x14ac:dyDescent="0.2">
      <c r="A67" s="23" t="str">
        <f>Data!B63</f>
        <v>1197</v>
      </c>
      <c r="B67" s="21" t="str">
        <f>INDEX(Data[],MATCH($A67,Data[Dist],0),MATCH(B$5,Data[#Headers],0))</f>
        <v>Clarinda</v>
      </c>
      <c r="C67" s="22">
        <f>IF(Notes!$B$2="June",ROUND('Budget by Source'!C67/10,0)+P67,ROUND('Budget by Source'!C67/10,0))</f>
        <v>10263</v>
      </c>
      <c r="D67" s="22">
        <f>IF(Notes!$B$2="June",ROUND('Budget by Source'!D67/10,0)+Q67,ROUND('Budget by Source'!D67/10,0))</f>
        <v>62807</v>
      </c>
      <c r="E67" s="22">
        <f>IF(Notes!$B$2="June",ROUND('Budget by Source'!E67/10,0)+R67,ROUND('Budget by Source'!E67/10,0))</f>
        <v>7022</v>
      </c>
      <c r="F67" s="22">
        <f>IF(Notes!$B$2="June",ROUND('Budget by Source'!F67/10,0)+S67,ROUND('Budget by Source'!F67/10,0))</f>
        <v>6065</v>
      </c>
      <c r="G67" s="22">
        <f>IF(Notes!$B$2="June",ROUND('Budget by Source'!G67/10,0)+T67,ROUND('Budget by Source'!G67/10,0))</f>
        <v>36451</v>
      </c>
      <c r="H67" s="22">
        <f t="shared" si="0"/>
        <v>577200</v>
      </c>
      <c r="I67" s="22">
        <f>INDEX(Data[],MATCH($A67,Data[Dist],0),MATCH(I$5,Data[#Headers],0))</f>
        <v>699808</v>
      </c>
      <c r="K67" s="69">
        <f>INDEX('Payment Total'!$A$7:$H$331,MATCH('Payment by Source'!$A67,'Payment Total'!$A$7:$A$331,0),3)-I67</f>
        <v>0</v>
      </c>
      <c r="P67" s="154">
        <f>INDEX('Budget by Source'!$A$6:$I$330,MATCH('Payment by Source'!$A67,'Budget by Source'!$A$6:$A$330,0),MATCH(P$3,'Budget by Source'!$A$5:$I$5,0))-(ROUND(INDEX('Budget by Source'!$A$6:$I$330,MATCH('Payment by Source'!$A67,'Budget by Source'!$A$6:$A$330,0),MATCH(P$3,'Budget by Source'!$A$5:$I$5,0))/10,0)*10)</f>
        <v>-5</v>
      </c>
      <c r="Q67" s="154">
        <f>INDEX('Budget by Source'!$A$6:$I$330,MATCH('Payment by Source'!$A67,'Budget by Source'!$A$6:$A$330,0),MATCH(Q$3,'Budget by Source'!$A$5:$I$5,0))-(ROUND(INDEX('Budget by Source'!$A$6:$I$330,MATCH('Payment by Source'!$A67,'Budget by Source'!$A$6:$A$330,0),MATCH(Q$3,'Budget by Source'!$A$5:$I$5,0))/10,0)*10)</f>
        <v>-1</v>
      </c>
      <c r="R67" s="154">
        <f>INDEX('Budget by Source'!$A$6:$I$330,MATCH('Payment by Source'!$A67,'Budget by Source'!$A$6:$A$330,0),MATCH(R$3,'Budget by Source'!$A$5:$I$5,0))-(ROUND(INDEX('Budget by Source'!$A$6:$I$330,MATCH('Payment by Source'!$A67,'Budget by Source'!$A$6:$A$330,0),MATCH(R$3,'Budget by Source'!$A$5:$I$5,0))/10,0)*10)</f>
        <v>-4</v>
      </c>
      <c r="S67" s="154">
        <f>INDEX('Budget by Source'!$A$6:$I$330,MATCH('Payment by Source'!$A67,'Budget by Source'!$A$6:$A$330,0),MATCH(S$3,'Budget by Source'!$A$5:$I$5,0))-(ROUND(INDEX('Budget by Source'!$A$6:$I$330,MATCH('Payment by Source'!$A67,'Budget by Source'!$A$6:$A$330,0),MATCH(S$3,'Budget by Source'!$A$5:$I$5,0))/10,0)*10)</f>
        <v>2</v>
      </c>
      <c r="T67" s="154">
        <f>INDEX('Budget by Source'!$A$6:$I$330,MATCH('Payment by Source'!$A67,'Budget by Source'!$A$6:$A$330,0),MATCH(T$3,'Budget by Source'!$A$5:$I$5,0))-(ROUND(INDEX('Budget by Source'!$A$6:$I$330,MATCH('Payment by Source'!$A67,'Budget by Source'!$A$6:$A$330,0),MATCH(T$3,'Budget by Source'!$A$5:$I$5,0))/10,0)*10)</f>
        <v>3</v>
      </c>
      <c r="U67" s="155">
        <f>INDEX('Budget by Source'!$A$6:$I$330,MATCH('Payment by Source'!$A67,'Budget by Source'!$A$6:$A$330,0),MATCH(U$3,'Budget by Source'!$A$5:$I$5,0))</f>
        <v>5772009</v>
      </c>
      <c r="V67" s="152">
        <f t="shared" si="1"/>
        <v>577201</v>
      </c>
      <c r="W67" s="152">
        <f t="shared" si="2"/>
        <v>5772010</v>
      </c>
    </row>
    <row r="68" spans="1:23" x14ac:dyDescent="0.2">
      <c r="A68" s="23" t="str">
        <f>Data!B64</f>
        <v>1206</v>
      </c>
      <c r="B68" s="21" t="str">
        <f>INDEX(Data[],MATCH($A68,Data[Dist],0),MATCH(B$5,Data[#Headers],0))</f>
        <v>Clarion-Goldfield-Dows</v>
      </c>
      <c r="C68" s="22">
        <f>IF(Notes!$B$2="June",ROUND('Budget by Source'!C68/10,0)+P68,ROUND('Budget by Source'!C68/10,0))</f>
        <v>25466</v>
      </c>
      <c r="D68" s="22">
        <f>IF(Notes!$B$2="June",ROUND('Budget by Source'!D68/10,0)+Q68,ROUND('Budget by Source'!D68/10,0))</f>
        <v>67226</v>
      </c>
      <c r="E68" s="22">
        <f>IF(Notes!$B$2="June",ROUND('Budget by Source'!E68/10,0)+R68,ROUND('Budget by Source'!E68/10,0))</f>
        <v>8264</v>
      </c>
      <c r="F68" s="22">
        <f>IF(Notes!$B$2="June",ROUND('Budget by Source'!F68/10,0)+S68,ROUND('Budget by Source'!F68/10,0))</f>
        <v>7579</v>
      </c>
      <c r="G68" s="22">
        <f>IF(Notes!$B$2="June",ROUND('Budget by Source'!G68/10,0)+T68,ROUND('Budget by Source'!G68/10,0))</f>
        <v>37262</v>
      </c>
      <c r="H68" s="22">
        <f t="shared" si="0"/>
        <v>497965</v>
      </c>
      <c r="I68" s="22">
        <f>INDEX(Data[],MATCH($A68,Data[Dist],0),MATCH(I$5,Data[#Headers],0))</f>
        <v>643762</v>
      </c>
      <c r="K68" s="69">
        <f>INDEX('Payment Total'!$A$7:$H$331,MATCH('Payment by Source'!$A68,'Payment Total'!$A$7:$A$331,0),3)-I68</f>
        <v>0</v>
      </c>
      <c r="P68" s="154">
        <f>INDEX('Budget by Source'!$A$6:$I$330,MATCH('Payment by Source'!$A68,'Budget by Source'!$A$6:$A$330,0),MATCH(P$3,'Budget by Source'!$A$5:$I$5,0))-(ROUND(INDEX('Budget by Source'!$A$6:$I$330,MATCH('Payment by Source'!$A68,'Budget by Source'!$A$6:$A$330,0),MATCH(P$3,'Budget by Source'!$A$5:$I$5,0))/10,0)*10)</f>
        <v>2</v>
      </c>
      <c r="Q68" s="154">
        <f>INDEX('Budget by Source'!$A$6:$I$330,MATCH('Payment by Source'!$A68,'Budget by Source'!$A$6:$A$330,0),MATCH(Q$3,'Budget by Source'!$A$5:$I$5,0))-(ROUND(INDEX('Budget by Source'!$A$6:$I$330,MATCH('Payment by Source'!$A68,'Budget by Source'!$A$6:$A$330,0),MATCH(Q$3,'Budget by Source'!$A$5:$I$5,0))/10,0)*10)</f>
        <v>0</v>
      </c>
      <c r="R68" s="154">
        <f>INDEX('Budget by Source'!$A$6:$I$330,MATCH('Payment by Source'!$A68,'Budget by Source'!$A$6:$A$330,0),MATCH(R$3,'Budget by Source'!$A$5:$I$5,0))-(ROUND(INDEX('Budget by Source'!$A$6:$I$330,MATCH('Payment by Source'!$A68,'Budget by Source'!$A$6:$A$330,0),MATCH(R$3,'Budget by Source'!$A$5:$I$5,0))/10,0)*10)</f>
        <v>-3</v>
      </c>
      <c r="S68" s="154">
        <f>INDEX('Budget by Source'!$A$6:$I$330,MATCH('Payment by Source'!$A68,'Budget by Source'!$A$6:$A$330,0),MATCH(S$3,'Budget by Source'!$A$5:$I$5,0))-(ROUND(INDEX('Budget by Source'!$A$6:$I$330,MATCH('Payment by Source'!$A68,'Budget by Source'!$A$6:$A$330,0),MATCH(S$3,'Budget by Source'!$A$5:$I$5,0))/10,0)*10)</f>
        <v>2</v>
      </c>
      <c r="T68" s="154">
        <f>INDEX('Budget by Source'!$A$6:$I$330,MATCH('Payment by Source'!$A68,'Budget by Source'!$A$6:$A$330,0),MATCH(T$3,'Budget by Source'!$A$5:$I$5,0))-(ROUND(INDEX('Budget by Source'!$A$6:$I$330,MATCH('Payment by Source'!$A68,'Budget by Source'!$A$6:$A$330,0),MATCH(T$3,'Budget by Source'!$A$5:$I$5,0))/10,0)*10)</f>
        <v>1</v>
      </c>
      <c r="U68" s="155">
        <f>INDEX('Budget by Source'!$A$6:$I$330,MATCH('Payment by Source'!$A68,'Budget by Source'!$A$6:$A$330,0),MATCH(U$3,'Budget by Source'!$A$5:$I$5,0))</f>
        <v>4979645</v>
      </c>
      <c r="V68" s="152">
        <f t="shared" si="1"/>
        <v>497965</v>
      </c>
      <c r="W68" s="152">
        <f t="shared" si="2"/>
        <v>4979650</v>
      </c>
    </row>
    <row r="69" spans="1:23" x14ac:dyDescent="0.2">
      <c r="A69" s="23" t="str">
        <f>Data!B65</f>
        <v>1211</v>
      </c>
      <c r="B69" s="21" t="str">
        <f>INDEX(Data[],MATCH($A69,Data[Dist],0),MATCH(B$5,Data[#Headers],0))</f>
        <v>Clarke</v>
      </c>
      <c r="C69" s="22">
        <f>IF(Notes!$B$2="June",ROUND('Budget by Source'!C69/10,0)+P69,ROUND('Budget by Source'!C69/10,0))</f>
        <v>22425</v>
      </c>
      <c r="D69" s="22">
        <f>IF(Notes!$B$2="June",ROUND('Budget by Source'!D69/10,0)+Q69,ROUND('Budget by Source'!D69/10,0))</f>
        <v>94396</v>
      </c>
      <c r="E69" s="22">
        <f>IF(Notes!$B$2="June",ROUND('Budget by Source'!E69/10,0)+R69,ROUND('Budget by Source'!E69/10,0))</f>
        <v>12302</v>
      </c>
      <c r="F69" s="22">
        <f>IF(Notes!$B$2="June",ROUND('Budget by Source'!F69/10,0)+S69,ROUND('Budget by Source'!F69/10,0))</f>
        <v>9860</v>
      </c>
      <c r="G69" s="22">
        <f>IF(Notes!$B$2="June",ROUND('Budget by Source'!G69/10,0)+T69,ROUND('Budget by Source'!G69/10,0))</f>
        <v>53161</v>
      </c>
      <c r="H69" s="22">
        <f t="shared" si="0"/>
        <v>942774</v>
      </c>
      <c r="I69" s="22">
        <f>INDEX(Data[],MATCH($A69,Data[Dist],0),MATCH(I$5,Data[#Headers],0))</f>
        <v>1134918</v>
      </c>
      <c r="K69" s="69">
        <f>INDEX('Payment Total'!$A$7:$H$331,MATCH('Payment by Source'!$A69,'Payment Total'!$A$7:$A$331,0),3)-I69</f>
        <v>0</v>
      </c>
      <c r="P69" s="154">
        <f>INDEX('Budget by Source'!$A$6:$I$330,MATCH('Payment by Source'!$A69,'Budget by Source'!$A$6:$A$330,0),MATCH(P$3,'Budget by Source'!$A$5:$I$5,0))-(ROUND(INDEX('Budget by Source'!$A$6:$I$330,MATCH('Payment by Source'!$A69,'Budget by Source'!$A$6:$A$330,0),MATCH(P$3,'Budget by Source'!$A$5:$I$5,0))/10,0)*10)</f>
        <v>4</v>
      </c>
      <c r="Q69" s="154">
        <f>INDEX('Budget by Source'!$A$6:$I$330,MATCH('Payment by Source'!$A69,'Budget by Source'!$A$6:$A$330,0),MATCH(Q$3,'Budget by Source'!$A$5:$I$5,0))-(ROUND(INDEX('Budget by Source'!$A$6:$I$330,MATCH('Payment by Source'!$A69,'Budget by Source'!$A$6:$A$330,0),MATCH(Q$3,'Budget by Source'!$A$5:$I$5,0))/10,0)*10)</f>
        <v>-2</v>
      </c>
      <c r="R69" s="154">
        <f>INDEX('Budget by Source'!$A$6:$I$330,MATCH('Payment by Source'!$A69,'Budget by Source'!$A$6:$A$330,0),MATCH(R$3,'Budget by Source'!$A$5:$I$5,0))-(ROUND(INDEX('Budget by Source'!$A$6:$I$330,MATCH('Payment by Source'!$A69,'Budget by Source'!$A$6:$A$330,0),MATCH(R$3,'Budget by Source'!$A$5:$I$5,0))/10,0)*10)</f>
        <v>-4</v>
      </c>
      <c r="S69" s="154">
        <f>INDEX('Budget by Source'!$A$6:$I$330,MATCH('Payment by Source'!$A69,'Budget by Source'!$A$6:$A$330,0),MATCH(S$3,'Budget by Source'!$A$5:$I$5,0))-(ROUND(INDEX('Budget by Source'!$A$6:$I$330,MATCH('Payment by Source'!$A69,'Budget by Source'!$A$6:$A$330,0),MATCH(S$3,'Budget by Source'!$A$5:$I$5,0))/10,0)*10)</f>
        <v>-5</v>
      </c>
      <c r="T69" s="154">
        <f>INDEX('Budget by Source'!$A$6:$I$330,MATCH('Payment by Source'!$A69,'Budget by Source'!$A$6:$A$330,0),MATCH(T$3,'Budget by Source'!$A$5:$I$5,0))-(ROUND(INDEX('Budget by Source'!$A$6:$I$330,MATCH('Payment by Source'!$A69,'Budget by Source'!$A$6:$A$330,0),MATCH(T$3,'Budget by Source'!$A$5:$I$5,0))/10,0)*10)</f>
        <v>-5</v>
      </c>
      <c r="U69" s="155">
        <f>INDEX('Budget by Source'!$A$6:$I$330,MATCH('Payment by Source'!$A69,'Budget by Source'!$A$6:$A$330,0),MATCH(U$3,'Budget by Source'!$A$5:$I$5,0))</f>
        <v>9427754</v>
      </c>
      <c r="V69" s="152">
        <f t="shared" si="1"/>
        <v>942775</v>
      </c>
      <c r="W69" s="152">
        <f t="shared" si="2"/>
        <v>9427750</v>
      </c>
    </row>
    <row r="70" spans="1:23" x14ac:dyDescent="0.2">
      <c r="A70" s="23" t="str">
        <f>Data!B66</f>
        <v>1215</v>
      </c>
      <c r="B70" s="21" t="str">
        <f>INDEX(Data[],MATCH($A70,Data[Dist],0),MATCH(B$5,Data[#Headers],0))</f>
        <v>Clarksville</v>
      </c>
      <c r="C70" s="22">
        <f>IF(Notes!$B$2="June",ROUND('Budget by Source'!C70/10,0)+P70,ROUND('Budget by Source'!C70/10,0))</f>
        <v>4181</v>
      </c>
      <c r="D70" s="22">
        <f>IF(Notes!$B$2="June",ROUND('Budget by Source'!D70/10,0)+Q70,ROUND('Budget by Source'!D70/10,0))</f>
        <v>21521</v>
      </c>
      <c r="E70" s="22">
        <f>IF(Notes!$B$2="June",ROUND('Budget by Source'!E70/10,0)+R70,ROUND('Budget by Source'!E70/10,0))</f>
        <v>2394</v>
      </c>
      <c r="F70" s="22">
        <f>IF(Notes!$B$2="June",ROUND('Budget by Source'!F70/10,0)+S70,ROUND('Budget by Source'!F70/10,0))</f>
        <v>2316</v>
      </c>
      <c r="G70" s="22">
        <f>IF(Notes!$B$2="June",ROUND('Budget by Source'!G70/10,0)+T70,ROUND('Budget by Source'!G70/10,0))</f>
        <v>10665</v>
      </c>
      <c r="H70" s="22">
        <f t="shared" si="0"/>
        <v>181326</v>
      </c>
      <c r="I70" s="22">
        <f>INDEX(Data[],MATCH($A70,Data[Dist],0),MATCH(I$5,Data[#Headers],0))</f>
        <v>222403</v>
      </c>
      <c r="K70" s="69">
        <f>INDEX('Payment Total'!$A$7:$H$331,MATCH('Payment by Source'!$A70,'Payment Total'!$A$7:$A$331,0),3)-I70</f>
        <v>0</v>
      </c>
      <c r="P70" s="154">
        <f>INDEX('Budget by Source'!$A$6:$I$330,MATCH('Payment by Source'!$A70,'Budget by Source'!$A$6:$A$330,0),MATCH(P$3,'Budget by Source'!$A$5:$I$5,0))-(ROUND(INDEX('Budget by Source'!$A$6:$I$330,MATCH('Payment by Source'!$A70,'Budget by Source'!$A$6:$A$330,0),MATCH(P$3,'Budget by Source'!$A$5:$I$5,0))/10,0)*10)</f>
        <v>1</v>
      </c>
      <c r="Q70" s="154">
        <f>INDEX('Budget by Source'!$A$6:$I$330,MATCH('Payment by Source'!$A70,'Budget by Source'!$A$6:$A$330,0),MATCH(Q$3,'Budget by Source'!$A$5:$I$5,0))-(ROUND(INDEX('Budget by Source'!$A$6:$I$330,MATCH('Payment by Source'!$A70,'Budget by Source'!$A$6:$A$330,0),MATCH(Q$3,'Budget by Source'!$A$5:$I$5,0))/10,0)*10)</f>
        <v>-3</v>
      </c>
      <c r="R70" s="154">
        <f>INDEX('Budget by Source'!$A$6:$I$330,MATCH('Payment by Source'!$A70,'Budget by Source'!$A$6:$A$330,0),MATCH(R$3,'Budget by Source'!$A$5:$I$5,0))-(ROUND(INDEX('Budget by Source'!$A$6:$I$330,MATCH('Payment by Source'!$A70,'Budget by Source'!$A$6:$A$330,0),MATCH(R$3,'Budget by Source'!$A$5:$I$5,0))/10,0)*10)</f>
        <v>-1</v>
      </c>
      <c r="S70" s="154">
        <f>INDEX('Budget by Source'!$A$6:$I$330,MATCH('Payment by Source'!$A70,'Budget by Source'!$A$6:$A$330,0),MATCH(S$3,'Budget by Source'!$A$5:$I$5,0))-(ROUND(INDEX('Budget by Source'!$A$6:$I$330,MATCH('Payment by Source'!$A70,'Budget by Source'!$A$6:$A$330,0),MATCH(S$3,'Budget by Source'!$A$5:$I$5,0))/10,0)*10)</f>
        <v>-2</v>
      </c>
      <c r="T70" s="154">
        <f>INDEX('Budget by Source'!$A$6:$I$330,MATCH('Payment by Source'!$A70,'Budget by Source'!$A$6:$A$330,0),MATCH(T$3,'Budget by Source'!$A$5:$I$5,0))-(ROUND(INDEX('Budget by Source'!$A$6:$I$330,MATCH('Payment by Source'!$A70,'Budget by Source'!$A$6:$A$330,0),MATCH(T$3,'Budget by Source'!$A$5:$I$5,0))/10,0)*10)</f>
        <v>3</v>
      </c>
      <c r="U70" s="155">
        <f>INDEX('Budget by Source'!$A$6:$I$330,MATCH('Payment by Source'!$A70,'Budget by Source'!$A$6:$A$330,0),MATCH(U$3,'Budget by Source'!$A$5:$I$5,0))</f>
        <v>1813262</v>
      </c>
      <c r="V70" s="152">
        <f t="shared" si="1"/>
        <v>181326</v>
      </c>
      <c r="W70" s="152">
        <f t="shared" si="2"/>
        <v>1813260</v>
      </c>
    </row>
    <row r="71" spans="1:23" x14ac:dyDescent="0.2">
      <c r="A71" s="23" t="str">
        <f>Data!B67</f>
        <v>1218</v>
      </c>
      <c r="B71" s="21" t="str">
        <f>INDEX(Data[],MATCH($A71,Data[Dist],0),MATCH(B$5,Data[#Headers],0))</f>
        <v>Clay Central-Everly</v>
      </c>
      <c r="C71" s="22">
        <f>IF(Notes!$B$2="June",ROUND('Budget by Source'!C71/10,0)+P71,ROUND('Budget by Source'!C71/10,0))</f>
        <v>2670</v>
      </c>
      <c r="D71" s="22">
        <f>IF(Notes!$B$2="June",ROUND('Budget by Source'!D71/10,0)+Q71,ROUND('Budget by Source'!D71/10,0))</f>
        <v>20645</v>
      </c>
      <c r="E71" s="22">
        <f>IF(Notes!$B$2="June",ROUND('Budget by Source'!E71/10,0)+R71,ROUND('Budget by Source'!E71/10,0))</f>
        <v>2122</v>
      </c>
      <c r="F71" s="22">
        <f>IF(Notes!$B$2="June",ROUND('Budget by Source'!F71/10,0)+S71,ROUND('Budget by Source'!F71/10,0))</f>
        <v>2277</v>
      </c>
      <c r="G71" s="22">
        <f>IF(Notes!$B$2="June",ROUND('Budget by Source'!G71/10,0)+T71,ROUND('Budget by Source'!G71/10,0))</f>
        <v>10691</v>
      </c>
      <c r="H71" s="22">
        <f t="shared" ref="H71:H134" si="3">I71-SUM(C71:G71)</f>
        <v>72755</v>
      </c>
      <c r="I71" s="22">
        <f>INDEX(Data[],MATCH($A71,Data[Dist],0),MATCH(I$5,Data[#Headers],0))</f>
        <v>111160</v>
      </c>
      <c r="K71" s="69">
        <f>INDEX('Payment Total'!$A$7:$H$331,MATCH('Payment by Source'!$A71,'Payment Total'!$A$7:$A$331,0),3)-I71</f>
        <v>0</v>
      </c>
      <c r="P71" s="154">
        <f>INDEX('Budget by Source'!$A$6:$I$330,MATCH('Payment by Source'!$A71,'Budget by Source'!$A$6:$A$330,0),MATCH(P$3,'Budget by Source'!$A$5:$I$5,0))-(ROUND(INDEX('Budget by Source'!$A$6:$I$330,MATCH('Payment by Source'!$A71,'Budget by Source'!$A$6:$A$330,0),MATCH(P$3,'Budget by Source'!$A$5:$I$5,0))/10,0)*10)</f>
        <v>0</v>
      </c>
      <c r="Q71" s="154">
        <f>INDEX('Budget by Source'!$A$6:$I$330,MATCH('Payment by Source'!$A71,'Budget by Source'!$A$6:$A$330,0),MATCH(Q$3,'Budget by Source'!$A$5:$I$5,0))-(ROUND(INDEX('Budget by Source'!$A$6:$I$330,MATCH('Payment by Source'!$A71,'Budget by Source'!$A$6:$A$330,0),MATCH(Q$3,'Budget by Source'!$A$5:$I$5,0))/10,0)*10)</f>
        <v>3</v>
      </c>
      <c r="R71" s="154">
        <f>INDEX('Budget by Source'!$A$6:$I$330,MATCH('Payment by Source'!$A71,'Budget by Source'!$A$6:$A$330,0),MATCH(R$3,'Budget by Source'!$A$5:$I$5,0))-(ROUND(INDEX('Budget by Source'!$A$6:$I$330,MATCH('Payment by Source'!$A71,'Budget by Source'!$A$6:$A$330,0),MATCH(R$3,'Budget by Source'!$A$5:$I$5,0))/10,0)*10)</f>
        <v>-5</v>
      </c>
      <c r="S71" s="154">
        <f>INDEX('Budget by Source'!$A$6:$I$330,MATCH('Payment by Source'!$A71,'Budget by Source'!$A$6:$A$330,0),MATCH(S$3,'Budget by Source'!$A$5:$I$5,0))-(ROUND(INDEX('Budget by Source'!$A$6:$I$330,MATCH('Payment by Source'!$A71,'Budget by Source'!$A$6:$A$330,0),MATCH(S$3,'Budget by Source'!$A$5:$I$5,0))/10,0)*10)</f>
        <v>3</v>
      </c>
      <c r="T71" s="154">
        <f>INDEX('Budget by Source'!$A$6:$I$330,MATCH('Payment by Source'!$A71,'Budget by Source'!$A$6:$A$330,0),MATCH(T$3,'Budget by Source'!$A$5:$I$5,0))-(ROUND(INDEX('Budget by Source'!$A$6:$I$330,MATCH('Payment by Source'!$A71,'Budget by Source'!$A$6:$A$330,0),MATCH(T$3,'Budget by Source'!$A$5:$I$5,0))/10,0)*10)</f>
        <v>1</v>
      </c>
      <c r="U71" s="155">
        <f>INDEX('Budget by Source'!$A$6:$I$330,MATCH('Payment by Source'!$A71,'Budget by Source'!$A$6:$A$330,0),MATCH(U$3,'Budget by Source'!$A$5:$I$5,0))</f>
        <v>727551</v>
      </c>
      <c r="V71" s="152">
        <f t="shared" ref="V71:V134" si="4">ROUND(U71/10,0)</f>
        <v>72755</v>
      </c>
      <c r="W71" s="152">
        <f t="shared" ref="W71:W134" si="5">V71*10</f>
        <v>727550</v>
      </c>
    </row>
    <row r="72" spans="1:23" x14ac:dyDescent="0.2">
      <c r="A72" s="23" t="str">
        <f>Data!B68</f>
        <v>1221</v>
      </c>
      <c r="B72" s="21" t="str">
        <f>INDEX(Data[],MATCH($A72,Data[Dist],0),MATCH(B$5,Data[#Headers],0))</f>
        <v>Clear Creek-Amana</v>
      </c>
      <c r="C72" s="22">
        <f>IF(Notes!$B$2="June",ROUND('Budget by Source'!C72/10,0)+P72,ROUND('Budget by Source'!C72/10,0))</f>
        <v>58154</v>
      </c>
      <c r="D72" s="22">
        <f>IF(Notes!$B$2="June",ROUND('Budget by Source'!D72/10,0)+Q72,ROUND('Budget by Source'!D72/10,0))</f>
        <v>193070</v>
      </c>
      <c r="E72" s="22">
        <f>IF(Notes!$B$2="June",ROUND('Budget by Source'!E72/10,0)+R72,ROUND('Budget by Source'!E72/10,0))</f>
        <v>19546</v>
      </c>
      <c r="F72" s="22">
        <f>IF(Notes!$B$2="June",ROUND('Budget by Source'!F72/10,0)+S72,ROUND('Budget by Source'!F72/10,0))</f>
        <v>21091</v>
      </c>
      <c r="G72" s="22">
        <f>IF(Notes!$B$2="June",ROUND('Budget by Source'!G72/10,0)+T72,ROUND('Budget by Source'!G72/10,0))</f>
        <v>108270</v>
      </c>
      <c r="H72" s="22">
        <f t="shared" si="3"/>
        <v>1555281</v>
      </c>
      <c r="I72" s="22">
        <f>INDEX(Data[],MATCH($A72,Data[Dist],0),MATCH(I$5,Data[#Headers],0))</f>
        <v>1955412</v>
      </c>
      <c r="K72" s="69">
        <f>INDEX('Payment Total'!$A$7:$H$331,MATCH('Payment by Source'!$A72,'Payment Total'!$A$7:$A$331,0),3)-I72</f>
        <v>0</v>
      </c>
      <c r="P72" s="154">
        <f>INDEX('Budget by Source'!$A$6:$I$330,MATCH('Payment by Source'!$A72,'Budget by Source'!$A$6:$A$330,0),MATCH(P$3,'Budget by Source'!$A$5:$I$5,0))-(ROUND(INDEX('Budget by Source'!$A$6:$I$330,MATCH('Payment by Source'!$A72,'Budget by Source'!$A$6:$A$330,0),MATCH(P$3,'Budget by Source'!$A$5:$I$5,0))/10,0)*10)</f>
        <v>0</v>
      </c>
      <c r="Q72" s="154">
        <f>INDEX('Budget by Source'!$A$6:$I$330,MATCH('Payment by Source'!$A72,'Budget by Source'!$A$6:$A$330,0),MATCH(Q$3,'Budget by Source'!$A$5:$I$5,0))-(ROUND(INDEX('Budget by Source'!$A$6:$I$330,MATCH('Payment by Source'!$A72,'Budget by Source'!$A$6:$A$330,0),MATCH(Q$3,'Budget by Source'!$A$5:$I$5,0))/10,0)*10)</f>
        <v>0</v>
      </c>
      <c r="R72" s="154">
        <f>INDEX('Budget by Source'!$A$6:$I$330,MATCH('Payment by Source'!$A72,'Budget by Source'!$A$6:$A$330,0),MATCH(R$3,'Budget by Source'!$A$5:$I$5,0))-(ROUND(INDEX('Budget by Source'!$A$6:$I$330,MATCH('Payment by Source'!$A72,'Budget by Source'!$A$6:$A$330,0),MATCH(R$3,'Budget by Source'!$A$5:$I$5,0))/10,0)*10)</f>
        <v>-2</v>
      </c>
      <c r="S72" s="154">
        <f>INDEX('Budget by Source'!$A$6:$I$330,MATCH('Payment by Source'!$A72,'Budget by Source'!$A$6:$A$330,0),MATCH(S$3,'Budget by Source'!$A$5:$I$5,0))-(ROUND(INDEX('Budget by Source'!$A$6:$I$330,MATCH('Payment by Source'!$A72,'Budget by Source'!$A$6:$A$330,0),MATCH(S$3,'Budget by Source'!$A$5:$I$5,0))/10,0)*10)</f>
        <v>2</v>
      </c>
      <c r="T72" s="154">
        <f>INDEX('Budget by Source'!$A$6:$I$330,MATCH('Payment by Source'!$A72,'Budget by Source'!$A$6:$A$330,0),MATCH(T$3,'Budget by Source'!$A$5:$I$5,0))-(ROUND(INDEX('Budget by Source'!$A$6:$I$330,MATCH('Payment by Source'!$A72,'Budget by Source'!$A$6:$A$330,0),MATCH(T$3,'Budget by Source'!$A$5:$I$5,0))/10,0)*10)</f>
        <v>4</v>
      </c>
      <c r="U72" s="155">
        <f>INDEX('Budget by Source'!$A$6:$I$330,MATCH('Payment by Source'!$A72,'Budget by Source'!$A$6:$A$330,0),MATCH(U$3,'Budget by Source'!$A$5:$I$5,0))</f>
        <v>15552804</v>
      </c>
      <c r="V72" s="152">
        <f t="shared" si="4"/>
        <v>1555280</v>
      </c>
      <c r="W72" s="152">
        <f t="shared" si="5"/>
        <v>15552800</v>
      </c>
    </row>
    <row r="73" spans="1:23" x14ac:dyDescent="0.2">
      <c r="A73" s="23" t="str">
        <f>Data!B69</f>
        <v>1233</v>
      </c>
      <c r="B73" s="21" t="str">
        <f>INDEX(Data[],MATCH($A73,Data[Dist],0),MATCH(B$5,Data[#Headers],0))</f>
        <v>Clear Lake</v>
      </c>
      <c r="C73" s="22">
        <f>IF(Notes!$B$2="June",ROUND('Budget by Source'!C73/10,0)+P73,ROUND('Budget by Source'!C73/10,0))</f>
        <v>20525</v>
      </c>
      <c r="D73" s="22">
        <f>IF(Notes!$B$2="June",ROUND('Budget by Source'!D73/10,0)+Q73,ROUND('Budget by Source'!D73/10,0))</f>
        <v>74295</v>
      </c>
      <c r="E73" s="22">
        <f>IF(Notes!$B$2="June",ROUND('Budget by Source'!E73/10,0)+R73,ROUND('Budget by Source'!E73/10,0))</f>
        <v>8591</v>
      </c>
      <c r="F73" s="22">
        <f>IF(Notes!$B$2="June",ROUND('Budget by Source'!F73/10,0)+S73,ROUND('Budget by Source'!F73/10,0))</f>
        <v>8191</v>
      </c>
      <c r="G73" s="22">
        <f>IF(Notes!$B$2="June",ROUND('Budget by Source'!G73/10,0)+T73,ROUND('Budget by Source'!G73/10,0))</f>
        <v>43232</v>
      </c>
      <c r="H73" s="22">
        <f t="shared" si="3"/>
        <v>351001</v>
      </c>
      <c r="I73" s="22">
        <f>INDEX(Data[],MATCH($A73,Data[Dist],0),MATCH(I$5,Data[#Headers],0))</f>
        <v>505835</v>
      </c>
      <c r="K73" s="69">
        <f>INDEX('Payment Total'!$A$7:$H$331,MATCH('Payment by Source'!$A73,'Payment Total'!$A$7:$A$331,0),3)-I73</f>
        <v>0</v>
      </c>
      <c r="P73" s="154">
        <f>INDEX('Budget by Source'!$A$6:$I$330,MATCH('Payment by Source'!$A73,'Budget by Source'!$A$6:$A$330,0),MATCH(P$3,'Budget by Source'!$A$5:$I$5,0))-(ROUND(INDEX('Budget by Source'!$A$6:$I$330,MATCH('Payment by Source'!$A73,'Budget by Source'!$A$6:$A$330,0),MATCH(P$3,'Budget by Source'!$A$5:$I$5,0))/10,0)*10)</f>
        <v>-1</v>
      </c>
      <c r="Q73" s="154">
        <f>INDEX('Budget by Source'!$A$6:$I$330,MATCH('Payment by Source'!$A73,'Budget by Source'!$A$6:$A$330,0),MATCH(Q$3,'Budget by Source'!$A$5:$I$5,0))-(ROUND(INDEX('Budget by Source'!$A$6:$I$330,MATCH('Payment by Source'!$A73,'Budget by Source'!$A$6:$A$330,0),MATCH(Q$3,'Budget by Source'!$A$5:$I$5,0))/10,0)*10)</f>
        <v>-2</v>
      </c>
      <c r="R73" s="154">
        <f>INDEX('Budget by Source'!$A$6:$I$330,MATCH('Payment by Source'!$A73,'Budget by Source'!$A$6:$A$330,0),MATCH(R$3,'Budget by Source'!$A$5:$I$5,0))-(ROUND(INDEX('Budget by Source'!$A$6:$I$330,MATCH('Payment by Source'!$A73,'Budget by Source'!$A$6:$A$330,0),MATCH(R$3,'Budget by Source'!$A$5:$I$5,0))/10,0)*10)</f>
        <v>-4</v>
      </c>
      <c r="S73" s="154">
        <f>INDEX('Budget by Source'!$A$6:$I$330,MATCH('Payment by Source'!$A73,'Budget by Source'!$A$6:$A$330,0),MATCH(S$3,'Budget by Source'!$A$5:$I$5,0))-(ROUND(INDEX('Budget by Source'!$A$6:$I$330,MATCH('Payment by Source'!$A73,'Budget by Source'!$A$6:$A$330,0),MATCH(S$3,'Budget by Source'!$A$5:$I$5,0))/10,0)*10)</f>
        <v>-4</v>
      </c>
      <c r="T73" s="154">
        <f>INDEX('Budget by Source'!$A$6:$I$330,MATCH('Payment by Source'!$A73,'Budget by Source'!$A$6:$A$330,0),MATCH(T$3,'Budget by Source'!$A$5:$I$5,0))-(ROUND(INDEX('Budget by Source'!$A$6:$I$330,MATCH('Payment by Source'!$A73,'Budget by Source'!$A$6:$A$330,0),MATCH(T$3,'Budget by Source'!$A$5:$I$5,0))/10,0)*10)</f>
        <v>3</v>
      </c>
      <c r="U73" s="155">
        <f>INDEX('Budget by Source'!$A$6:$I$330,MATCH('Payment by Source'!$A73,'Budget by Source'!$A$6:$A$330,0),MATCH(U$3,'Budget by Source'!$A$5:$I$5,0))</f>
        <v>3510021</v>
      </c>
      <c r="V73" s="152">
        <f t="shared" si="4"/>
        <v>351002</v>
      </c>
      <c r="W73" s="152">
        <f t="shared" si="5"/>
        <v>3510020</v>
      </c>
    </row>
    <row r="74" spans="1:23" x14ac:dyDescent="0.2">
      <c r="A74" s="23" t="str">
        <f>Data!B70</f>
        <v>1278</v>
      </c>
      <c r="B74" s="21" t="str">
        <f>INDEX(Data[],MATCH($A74,Data[Dist],0),MATCH(B$5,Data[#Headers],0))</f>
        <v>Clinton</v>
      </c>
      <c r="C74" s="22">
        <f>IF(Notes!$B$2="June",ROUND('Budget by Source'!C74/10,0)+P74,ROUND('Budget by Source'!C74/10,0))</f>
        <v>73358</v>
      </c>
      <c r="D74" s="22">
        <f>IF(Notes!$B$2="June",ROUND('Budget by Source'!D74/10,0)+Q74,ROUND('Budget by Source'!D74/10,0))</f>
        <v>236457</v>
      </c>
      <c r="E74" s="22">
        <f>IF(Notes!$B$2="June",ROUND('Budget by Source'!E74/10,0)+R74,ROUND('Budget by Source'!E74/10,0))</f>
        <v>31458</v>
      </c>
      <c r="F74" s="22">
        <f>IF(Notes!$B$2="June",ROUND('Budget by Source'!F74/10,0)+S74,ROUND('Budget by Source'!F74/10,0))</f>
        <v>27197</v>
      </c>
      <c r="G74" s="22">
        <f>IF(Notes!$B$2="June",ROUND('Budget by Source'!G74/10,0)+T74,ROUND('Budget by Source'!G74/10,0))</f>
        <v>132826</v>
      </c>
      <c r="H74" s="22">
        <f t="shared" si="3"/>
        <v>2635273</v>
      </c>
      <c r="I74" s="22">
        <f>INDEX(Data[],MATCH($A74,Data[Dist],0),MATCH(I$5,Data[#Headers],0))</f>
        <v>3136569</v>
      </c>
      <c r="K74" s="69">
        <f>INDEX('Payment Total'!$A$7:$H$331,MATCH('Payment by Source'!$A74,'Payment Total'!$A$7:$A$331,0),3)-I74</f>
        <v>0</v>
      </c>
      <c r="P74" s="154">
        <f>INDEX('Budget by Source'!$A$6:$I$330,MATCH('Payment by Source'!$A74,'Budget by Source'!$A$6:$A$330,0),MATCH(P$3,'Budget by Source'!$A$5:$I$5,0))-(ROUND(INDEX('Budget by Source'!$A$6:$I$330,MATCH('Payment by Source'!$A74,'Budget by Source'!$A$6:$A$330,0),MATCH(P$3,'Budget by Source'!$A$5:$I$5,0))/10,0)*10)</f>
        <v>-3</v>
      </c>
      <c r="Q74" s="154">
        <f>INDEX('Budget by Source'!$A$6:$I$330,MATCH('Payment by Source'!$A74,'Budget by Source'!$A$6:$A$330,0),MATCH(Q$3,'Budget by Source'!$A$5:$I$5,0))-(ROUND(INDEX('Budget by Source'!$A$6:$I$330,MATCH('Payment by Source'!$A74,'Budget by Source'!$A$6:$A$330,0),MATCH(Q$3,'Budget by Source'!$A$5:$I$5,0))/10,0)*10)</f>
        <v>1</v>
      </c>
      <c r="R74" s="154">
        <f>INDEX('Budget by Source'!$A$6:$I$330,MATCH('Payment by Source'!$A74,'Budget by Source'!$A$6:$A$330,0),MATCH(R$3,'Budget by Source'!$A$5:$I$5,0))-(ROUND(INDEX('Budget by Source'!$A$6:$I$330,MATCH('Payment by Source'!$A74,'Budget by Source'!$A$6:$A$330,0),MATCH(R$3,'Budget by Source'!$A$5:$I$5,0))/10,0)*10)</f>
        <v>-5</v>
      </c>
      <c r="S74" s="154">
        <f>INDEX('Budget by Source'!$A$6:$I$330,MATCH('Payment by Source'!$A74,'Budget by Source'!$A$6:$A$330,0),MATCH(S$3,'Budget by Source'!$A$5:$I$5,0))-(ROUND(INDEX('Budget by Source'!$A$6:$I$330,MATCH('Payment by Source'!$A74,'Budget by Source'!$A$6:$A$330,0),MATCH(S$3,'Budget by Source'!$A$5:$I$5,0))/10,0)*10)</f>
        <v>3</v>
      </c>
      <c r="T74" s="154">
        <f>INDEX('Budget by Source'!$A$6:$I$330,MATCH('Payment by Source'!$A74,'Budget by Source'!$A$6:$A$330,0),MATCH(T$3,'Budget by Source'!$A$5:$I$5,0))-(ROUND(INDEX('Budget by Source'!$A$6:$I$330,MATCH('Payment by Source'!$A74,'Budget by Source'!$A$6:$A$330,0),MATCH(T$3,'Budget by Source'!$A$5:$I$5,0))/10,0)*10)</f>
        <v>-4</v>
      </c>
      <c r="U74" s="155">
        <f>INDEX('Budget by Source'!$A$6:$I$330,MATCH('Payment by Source'!$A74,'Budget by Source'!$A$6:$A$330,0),MATCH(U$3,'Budget by Source'!$A$5:$I$5,0))</f>
        <v>26352734</v>
      </c>
      <c r="V74" s="152">
        <f t="shared" si="4"/>
        <v>2635273</v>
      </c>
      <c r="W74" s="152">
        <f t="shared" si="5"/>
        <v>26352730</v>
      </c>
    </row>
    <row r="75" spans="1:23" x14ac:dyDescent="0.2">
      <c r="A75" s="23" t="str">
        <f>Data!B71</f>
        <v>1332</v>
      </c>
      <c r="B75" s="21" t="str">
        <f>INDEX(Data[],MATCH($A75,Data[Dist],0),MATCH(B$5,Data[#Headers],0))</f>
        <v>Colfax-Mingo</v>
      </c>
      <c r="C75" s="22">
        <f>IF(Notes!$B$2="June",ROUND('Budget by Source'!C75/10,0)+P75,ROUND('Budget by Source'!C75/10,0))</f>
        <v>14444</v>
      </c>
      <c r="D75" s="22">
        <f>IF(Notes!$B$2="June",ROUND('Budget by Source'!D75/10,0)+Q75,ROUND('Budget by Source'!D75/10,0))</f>
        <v>46271</v>
      </c>
      <c r="E75" s="22">
        <f>IF(Notes!$B$2="June",ROUND('Budget by Source'!E75/10,0)+R75,ROUND('Budget by Source'!E75/10,0))</f>
        <v>5361</v>
      </c>
      <c r="F75" s="22">
        <f>IF(Notes!$B$2="June",ROUND('Budget by Source'!F75/10,0)+S75,ROUND('Budget by Source'!F75/10,0))</f>
        <v>4612</v>
      </c>
      <c r="G75" s="22">
        <f>IF(Notes!$B$2="June",ROUND('Budget by Source'!G75/10,0)+T75,ROUND('Budget by Source'!G75/10,0))</f>
        <v>26062</v>
      </c>
      <c r="H75" s="22">
        <f t="shared" si="3"/>
        <v>407052</v>
      </c>
      <c r="I75" s="22">
        <f>INDEX(Data[],MATCH($A75,Data[Dist],0),MATCH(I$5,Data[#Headers],0))</f>
        <v>503802</v>
      </c>
      <c r="K75" s="69">
        <f>INDEX('Payment Total'!$A$7:$H$331,MATCH('Payment by Source'!$A75,'Payment Total'!$A$7:$A$331,0),3)-I75</f>
        <v>0</v>
      </c>
      <c r="P75" s="154">
        <f>INDEX('Budget by Source'!$A$6:$I$330,MATCH('Payment by Source'!$A75,'Budget by Source'!$A$6:$A$330,0),MATCH(P$3,'Budget by Source'!$A$5:$I$5,0))-(ROUND(INDEX('Budget by Source'!$A$6:$I$330,MATCH('Payment by Source'!$A75,'Budget by Source'!$A$6:$A$330,0),MATCH(P$3,'Budget by Source'!$A$5:$I$5,0))/10,0)*10)</f>
        <v>-5</v>
      </c>
      <c r="Q75" s="154">
        <f>INDEX('Budget by Source'!$A$6:$I$330,MATCH('Payment by Source'!$A75,'Budget by Source'!$A$6:$A$330,0),MATCH(Q$3,'Budget by Source'!$A$5:$I$5,0))-(ROUND(INDEX('Budget by Source'!$A$6:$I$330,MATCH('Payment by Source'!$A75,'Budget by Source'!$A$6:$A$330,0),MATCH(Q$3,'Budget by Source'!$A$5:$I$5,0))/10,0)*10)</f>
        <v>-3</v>
      </c>
      <c r="R75" s="154">
        <f>INDEX('Budget by Source'!$A$6:$I$330,MATCH('Payment by Source'!$A75,'Budget by Source'!$A$6:$A$330,0),MATCH(R$3,'Budget by Source'!$A$5:$I$5,0))-(ROUND(INDEX('Budget by Source'!$A$6:$I$330,MATCH('Payment by Source'!$A75,'Budget by Source'!$A$6:$A$330,0),MATCH(R$3,'Budget by Source'!$A$5:$I$5,0))/10,0)*10)</f>
        <v>-4</v>
      </c>
      <c r="S75" s="154">
        <f>INDEX('Budget by Source'!$A$6:$I$330,MATCH('Payment by Source'!$A75,'Budget by Source'!$A$6:$A$330,0),MATCH(S$3,'Budget by Source'!$A$5:$I$5,0))-(ROUND(INDEX('Budget by Source'!$A$6:$I$330,MATCH('Payment by Source'!$A75,'Budget by Source'!$A$6:$A$330,0),MATCH(S$3,'Budget by Source'!$A$5:$I$5,0))/10,0)*10)</f>
        <v>-3</v>
      </c>
      <c r="T75" s="154">
        <f>INDEX('Budget by Source'!$A$6:$I$330,MATCH('Payment by Source'!$A75,'Budget by Source'!$A$6:$A$330,0),MATCH(T$3,'Budget by Source'!$A$5:$I$5,0))-(ROUND(INDEX('Budget by Source'!$A$6:$I$330,MATCH('Payment by Source'!$A75,'Budget by Source'!$A$6:$A$330,0),MATCH(T$3,'Budget by Source'!$A$5:$I$5,0))/10,0)*10)</f>
        <v>4</v>
      </c>
      <c r="U75" s="155">
        <f>INDEX('Budget by Source'!$A$6:$I$330,MATCH('Payment by Source'!$A75,'Budget by Source'!$A$6:$A$330,0),MATCH(U$3,'Budget by Source'!$A$5:$I$5,0))</f>
        <v>4070534</v>
      </c>
      <c r="V75" s="152">
        <f t="shared" si="4"/>
        <v>407053</v>
      </c>
      <c r="W75" s="152">
        <f t="shared" si="5"/>
        <v>4070530</v>
      </c>
    </row>
    <row r="76" spans="1:23" x14ac:dyDescent="0.2">
      <c r="A76" s="23" t="str">
        <f>Data!B72</f>
        <v>1337</v>
      </c>
      <c r="B76" s="21" t="str">
        <f>INDEX(Data[],MATCH($A76,Data[Dist],0),MATCH(B$5,Data[#Headers],0))</f>
        <v>College Community</v>
      </c>
      <c r="C76" s="22">
        <f>IF(Notes!$B$2="June",ROUND('Budget by Source'!C76/10,0)+P76,ROUND('Budget by Source'!C76/10,0))</f>
        <v>92761</v>
      </c>
      <c r="D76" s="22">
        <f>IF(Notes!$B$2="June",ROUND('Budget by Source'!D76/10,0)+Q76,ROUND('Budget by Source'!D76/10,0))</f>
        <v>322140</v>
      </c>
      <c r="E76" s="22">
        <f>IF(Notes!$B$2="June",ROUND('Budget by Source'!E76/10,0)+R76,ROUND('Budget by Source'!E76/10,0))</f>
        <v>41420</v>
      </c>
      <c r="F76" s="22">
        <f>IF(Notes!$B$2="June",ROUND('Budget by Source'!F76/10,0)+S76,ROUND('Budget by Source'!F76/10,0))</f>
        <v>39412</v>
      </c>
      <c r="G76" s="22">
        <f>IF(Notes!$B$2="June",ROUND('Budget by Source'!G76/10,0)+T76,ROUND('Budget by Source'!G76/10,0))</f>
        <v>189716</v>
      </c>
      <c r="H76" s="22">
        <f t="shared" si="3"/>
        <v>2668781</v>
      </c>
      <c r="I76" s="22">
        <f>INDEX(Data[],MATCH($A76,Data[Dist],0),MATCH(I$5,Data[#Headers],0))</f>
        <v>3354230</v>
      </c>
      <c r="K76" s="69">
        <f>INDEX('Payment Total'!$A$7:$H$331,MATCH('Payment by Source'!$A76,'Payment Total'!$A$7:$A$331,0),3)-I76</f>
        <v>0</v>
      </c>
      <c r="P76" s="154">
        <f>INDEX('Budget by Source'!$A$6:$I$330,MATCH('Payment by Source'!$A76,'Budget by Source'!$A$6:$A$330,0),MATCH(P$3,'Budget by Source'!$A$5:$I$5,0))-(ROUND(INDEX('Budget by Source'!$A$6:$I$330,MATCH('Payment by Source'!$A76,'Budget by Source'!$A$6:$A$330,0),MATCH(P$3,'Budget by Source'!$A$5:$I$5,0))/10,0)*10)</f>
        <v>2</v>
      </c>
      <c r="Q76" s="154">
        <f>INDEX('Budget by Source'!$A$6:$I$330,MATCH('Payment by Source'!$A76,'Budget by Source'!$A$6:$A$330,0),MATCH(Q$3,'Budget by Source'!$A$5:$I$5,0))-(ROUND(INDEX('Budget by Source'!$A$6:$I$330,MATCH('Payment by Source'!$A76,'Budget by Source'!$A$6:$A$330,0),MATCH(Q$3,'Budget by Source'!$A$5:$I$5,0))/10,0)*10)</f>
        <v>1</v>
      </c>
      <c r="R76" s="154">
        <f>INDEX('Budget by Source'!$A$6:$I$330,MATCH('Payment by Source'!$A76,'Budget by Source'!$A$6:$A$330,0),MATCH(R$3,'Budget by Source'!$A$5:$I$5,0))-(ROUND(INDEX('Budget by Source'!$A$6:$I$330,MATCH('Payment by Source'!$A76,'Budget by Source'!$A$6:$A$330,0),MATCH(R$3,'Budget by Source'!$A$5:$I$5,0))/10,0)*10)</f>
        <v>0</v>
      </c>
      <c r="S76" s="154">
        <f>INDEX('Budget by Source'!$A$6:$I$330,MATCH('Payment by Source'!$A76,'Budget by Source'!$A$6:$A$330,0),MATCH(S$3,'Budget by Source'!$A$5:$I$5,0))-(ROUND(INDEX('Budget by Source'!$A$6:$I$330,MATCH('Payment by Source'!$A76,'Budget by Source'!$A$6:$A$330,0),MATCH(S$3,'Budget by Source'!$A$5:$I$5,0))/10,0)*10)</f>
        <v>3</v>
      </c>
      <c r="T76" s="154">
        <f>INDEX('Budget by Source'!$A$6:$I$330,MATCH('Payment by Source'!$A76,'Budget by Source'!$A$6:$A$330,0),MATCH(T$3,'Budget by Source'!$A$5:$I$5,0))-(ROUND(INDEX('Budget by Source'!$A$6:$I$330,MATCH('Payment by Source'!$A76,'Budget by Source'!$A$6:$A$330,0),MATCH(T$3,'Budget by Source'!$A$5:$I$5,0))/10,0)*10)</f>
        <v>-4</v>
      </c>
      <c r="U76" s="155">
        <f>INDEX('Budget by Source'!$A$6:$I$330,MATCH('Payment by Source'!$A76,'Budget by Source'!$A$6:$A$330,0),MATCH(U$3,'Budget by Source'!$A$5:$I$5,0))</f>
        <v>26687806</v>
      </c>
      <c r="V76" s="152">
        <f t="shared" si="4"/>
        <v>2668781</v>
      </c>
      <c r="W76" s="152">
        <f t="shared" si="5"/>
        <v>26687810</v>
      </c>
    </row>
    <row r="77" spans="1:23" x14ac:dyDescent="0.2">
      <c r="A77" s="23" t="str">
        <f>Data!B73</f>
        <v>1350</v>
      </c>
      <c r="B77" s="21" t="str">
        <f>INDEX(Data[],MATCH($A77,Data[Dist],0),MATCH(B$5,Data[#Headers],0))</f>
        <v>Collins-Maxwell</v>
      </c>
      <c r="C77" s="22">
        <f>IF(Notes!$B$2="June",ROUND('Budget by Source'!C77/10,0)+P77,ROUND('Budget by Source'!C77/10,0))</f>
        <v>5701</v>
      </c>
      <c r="D77" s="22">
        <f>IF(Notes!$B$2="June",ROUND('Budget by Source'!D77/10,0)+Q77,ROUND('Budget by Source'!D77/10,0))</f>
        <v>31238</v>
      </c>
      <c r="E77" s="22">
        <f>IF(Notes!$B$2="June",ROUND('Budget by Source'!E77/10,0)+R77,ROUND('Budget by Source'!E77/10,0))</f>
        <v>3526</v>
      </c>
      <c r="F77" s="22">
        <f>IF(Notes!$B$2="June",ROUND('Budget by Source'!F77/10,0)+S77,ROUND('Budget by Source'!F77/10,0))</f>
        <v>3229</v>
      </c>
      <c r="G77" s="22">
        <f>IF(Notes!$B$2="June",ROUND('Budget by Source'!G77/10,0)+T77,ROUND('Budget by Source'!G77/10,0))</f>
        <v>17096</v>
      </c>
      <c r="H77" s="22">
        <f t="shared" si="3"/>
        <v>256319</v>
      </c>
      <c r="I77" s="22">
        <f>INDEX(Data[],MATCH($A77,Data[Dist],0),MATCH(I$5,Data[#Headers],0))</f>
        <v>317109</v>
      </c>
      <c r="K77" s="69">
        <f>INDEX('Payment Total'!$A$7:$H$331,MATCH('Payment by Source'!$A77,'Payment Total'!$A$7:$A$331,0),3)-I77</f>
        <v>0</v>
      </c>
      <c r="P77" s="154">
        <f>INDEX('Budget by Source'!$A$6:$I$330,MATCH('Payment by Source'!$A77,'Budget by Source'!$A$6:$A$330,0),MATCH(P$3,'Budget by Source'!$A$5:$I$5,0))-(ROUND(INDEX('Budget by Source'!$A$6:$I$330,MATCH('Payment by Source'!$A77,'Budget by Source'!$A$6:$A$330,0),MATCH(P$3,'Budget by Source'!$A$5:$I$5,0))/10,0)*10)</f>
        <v>4</v>
      </c>
      <c r="Q77" s="154">
        <f>INDEX('Budget by Source'!$A$6:$I$330,MATCH('Payment by Source'!$A77,'Budget by Source'!$A$6:$A$330,0),MATCH(Q$3,'Budget by Source'!$A$5:$I$5,0))-(ROUND(INDEX('Budget by Source'!$A$6:$I$330,MATCH('Payment by Source'!$A77,'Budget by Source'!$A$6:$A$330,0),MATCH(Q$3,'Budget by Source'!$A$5:$I$5,0))/10,0)*10)</f>
        <v>1</v>
      </c>
      <c r="R77" s="154">
        <f>INDEX('Budget by Source'!$A$6:$I$330,MATCH('Payment by Source'!$A77,'Budget by Source'!$A$6:$A$330,0),MATCH(R$3,'Budget by Source'!$A$5:$I$5,0))-(ROUND(INDEX('Budget by Source'!$A$6:$I$330,MATCH('Payment by Source'!$A77,'Budget by Source'!$A$6:$A$330,0),MATCH(R$3,'Budget by Source'!$A$5:$I$5,0))/10,0)*10)</f>
        <v>1</v>
      </c>
      <c r="S77" s="154">
        <f>INDEX('Budget by Source'!$A$6:$I$330,MATCH('Payment by Source'!$A77,'Budget by Source'!$A$6:$A$330,0),MATCH(S$3,'Budget by Source'!$A$5:$I$5,0))-(ROUND(INDEX('Budget by Source'!$A$6:$I$330,MATCH('Payment by Source'!$A77,'Budget by Source'!$A$6:$A$330,0),MATCH(S$3,'Budget by Source'!$A$5:$I$5,0))/10,0)*10)</f>
        <v>2</v>
      </c>
      <c r="T77" s="154">
        <f>INDEX('Budget by Source'!$A$6:$I$330,MATCH('Payment by Source'!$A77,'Budget by Source'!$A$6:$A$330,0),MATCH(T$3,'Budget by Source'!$A$5:$I$5,0))-(ROUND(INDEX('Budget by Source'!$A$6:$I$330,MATCH('Payment by Source'!$A77,'Budget by Source'!$A$6:$A$330,0),MATCH(T$3,'Budget by Source'!$A$5:$I$5,0))/10,0)*10)</f>
        <v>1</v>
      </c>
      <c r="U77" s="155">
        <f>INDEX('Budget by Source'!$A$6:$I$330,MATCH('Payment by Source'!$A77,'Budget by Source'!$A$6:$A$330,0),MATCH(U$3,'Budget by Source'!$A$5:$I$5,0))</f>
        <v>2563178</v>
      </c>
      <c r="V77" s="152">
        <f t="shared" si="4"/>
        <v>256318</v>
      </c>
      <c r="W77" s="152">
        <f t="shared" si="5"/>
        <v>2563180</v>
      </c>
    </row>
    <row r="78" spans="1:23" x14ac:dyDescent="0.2">
      <c r="A78" s="23" t="str">
        <f>Data!B74</f>
        <v>1359</v>
      </c>
      <c r="B78" s="21" t="str">
        <f>INDEX(Data[],MATCH($A78,Data[Dist],0),MATCH(B$5,Data[#Headers],0))</f>
        <v>Colo-Nesco</v>
      </c>
      <c r="C78" s="22">
        <f>IF(Notes!$B$2="June",ROUND('Budget by Source'!C78/10,0)+P78,ROUND('Budget by Source'!C78/10,0))</f>
        <v>7602</v>
      </c>
      <c r="D78" s="22">
        <f>IF(Notes!$B$2="June",ROUND('Budget by Source'!D78/10,0)+Q78,ROUND('Budget by Source'!D78/10,0))</f>
        <v>33003</v>
      </c>
      <c r="E78" s="22">
        <f>IF(Notes!$B$2="June",ROUND('Budget by Source'!E78/10,0)+R78,ROUND('Budget by Source'!E78/10,0))</f>
        <v>3549</v>
      </c>
      <c r="F78" s="22">
        <f>IF(Notes!$B$2="June",ROUND('Budget by Source'!F78/10,0)+S78,ROUND('Budget by Source'!F78/10,0))</f>
        <v>3336</v>
      </c>
      <c r="G78" s="22">
        <f>IF(Notes!$B$2="June",ROUND('Budget by Source'!G78/10,0)+T78,ROUND('Budget by Source'!G78/10,0))</f>
        <v>17246</v>
      </c>
      <c r="H78" s="22">
        <f t="shared" si="3"/>
        <v>179378</v>
      </c>
      <c r="I78" s="22">
        <f>INDEX(Data[],MATCH($A78,Data[Dist],0),MATCH(I$5,Data[#Headers],0))</f>
        <v>244114</v>
      </c>
      <c r="K78" s="69">
        <f>INDEX('Payment Total'!$A$7:$H$331,MATCH('Payment by Source'!$A78,'Payment Total'!$A$7:$A$331,0),3)-I78</f>
        <v>0</v>
      </c>
      <c r="P78" s="154">
        <f>INDEX('Budget by Source'!$A$6:$I$330,MATCH('Payment by Source'!$A78,'Budget by Source'!$A$6:$A$330,0),MATCH(P$3,'Budget by Source'!$A$5:$I$5,0))-(ROUND(INDEX('Budget by Source'!$A$6:$I$330,MATCH('Payment by Source'!$A78,'Budget by Source'!$A$6:$A$330,0),MATCH(P$3,'Budget by Source'!$A$5:$I$5,0))/10,0)*10)</f>
        <v>-2</v>
      </c>
      <c r="Q78" s="154">
        <f>INDEX('Budget by Source'!$A$6:$I$330,MATCH('Payment by Source'!$A78,'Budget by Source'!$A$6:$A$330,0),MATCH(Q$3,'Budget by Source'!$A$5:$I$5,0))-(ROUND(INDEX('Budget by Source'!$A$6:$I$330,MATCH('Payment by Source'!$A78,'Budget by Source'!$A$6:$A$330,0),MATCH(Q$3,'Budget by Source'!$A$5:$I$5,0))/10,0)*10)</f>
        <v>-5</v>
      </c>
      <c r="R78" s="154">
        <f>INDEX('Budget by Source'!$A$6:$I$330,MATCH('Payment by Source'!$A78,'Budget by Source'!$A$6:$A$330,0),MATCH(R$3,'Budget by Source'!$A$5:$I$5,0))-(ROUND(INDEX('Budget by Source'!$A$6:$I$330,MATCH('Payment by Source'!$A78,'Budget by Source'!$A$6:$A$330,0),MATCH(R$3,'Budget by Source'!$A$5:$I$5,0))/10,0)*10)</f>
        <v>-5</v>
      </c>
      <c r="S78" s="154">
        <f>INDEX('Budget by Source'!$A$6:$I$330,MATCH('Payment by Source'!$A78,'Budget by Source'!$A$6:$A$330,0),MATCH(S$3,'Budget by Source'!$A$5:$I$5,0))-(ROUND(INDEX('Budget by Source'!$A$6:$I$330,MATCH('Payment by Source'!$A78,'Budget by Source'!$A$6:$A$330,0),MATCH(S$3,'Budget by Source'!$A$5:$I$5,0))/10,0)*10)</f>
        <v>-1</v>
      </c>
      <c r="T78" s="154">
        <f>INDEX('Budget by Source'!$A$6:$I$330,MATCH('Payment by Source'!$A78,'Budget by Source'!$A$6:$A$330,0),MATCH(T$3,'Budget by Source'!$A$5:$I$5,0))-(ROUND(INDEX('Budget by Source'!$A$6:$I$330,MATCH('Payment by Source'!$A78,'Budget by Source'!$A$6:$A$330,0),MATCH(T$3,'Budget by Source'!$A$5:$I$5,0))/10,0)*10)</f>
        <v>0</v>
      </c>
      <c r="U78" s="155">
        <f>INDEX('Budget by Source'!$A$6:$I$330,MATCH('Payment by Source'!$A78,'Budget by Source'!$A$6:$A$330,0),MATCH(U$3,'Budget by Source'!$A$5:$I$5,0))</f>
        <v>1793791</v>
      </c>
      <c r="V78" s="152">
        <f t="shared" si="4"/>
        <v>179379</v>
      </c>
      <c r="W78" s="152">
        <f t="shared" si="5"/>
        <v>1793790</v>
      </c>
    </row>
    <row r="79" spans="1:23" x14ac:dyDescent="0.2">
      <c r="A79" s="23" t="str">
        <f>Data!B75</f>
        <v>1368</v>
      </c>
      <c r="B79" s="21" t="str">
        <f>INDEX(Data[],MATCH($A79,Data[Dist],0),MATCH(B$5,Data[#Headers],0))</f>
        <v>Columbus</v>
      </c>
      <c r="C79" s="22">
        <f>IF(Notes!$B$2="June",ROUND('Budget by Source'!C79/10,0)+P79,ROUND('Budget by Source'!C79/10,0))</f>
        <v>13303</v>
      </c>
      <c r="D79" s="22">
        <f>IF(Notes!$B$2="June",ROUND('Budget by Source'!D79/10,0)+Q79,ROUND('Budget by Source'!D79/10,0))</f>
        <v>51179</v>
      </c>
      <c r="E79" s="22">
        <f>IF(Notes!$B$2="June",ROUND('Budget by Source'!E79/10,0)+R79,ROUND('Budget by Source'!E79/10,0))</f>
        <v>6318</v>
      </c>
      <c r="F79" s="22">
        <f>IF(Notes!$B$2="June",ROUND('Budget by Source'!F79/10,0)+S79,ROUND('Budget by Source'!F79/10,0))</f>
        <v>6062</v>
      </c>
      <c r="G79" s="22">
        <f>IF(Notes!$B$2="June",ROUND('Budget by Source'!G79/10,0)+T79,ROUND('Budget by Source'!G79/10,0))</f>
        <v>27341</v>
      </c>
      <c r="H79" s="22">
        <f t="shared" si="3"/>
        <v>458887</v>
      </c>
      <c r="I79" s="22">
        <f>INDEX(Data[],MATCH($A79,Data[Dist],0),MATCH(I$5,Data[#Headers],0))</f>
        <v>563090</v>
      </c>
      <c r="K79" s="69">
        <f>INDEX('Payment Total'!$A$7:$H$331,MATCH('Payment by Source'!$A79,'Payment Total'!$A$7:$A$331,0),3)-I79</f>
        <v>0</v>
      </c>
      <c r="P79" s="154">
        <f>INDEX('Budget by Source'!$A$6:$I$330,MATCH('Payment by Source'!$A79,'Budget by Source'!$A$6:$A$330,0),MATCH(P$3,'Budget by Source'!$A$5:$I$5,0))-(ROUND(INDEX('Budget by Source'!$A$6:$I$330,MATCH('Payment by Source'!$A79,'Budget by Source'!$A$6:$A$330,0),MATCH(P$3,'Budget by Source'!$A$5:$I$5,0))/10,0)*10)</f>
        <v>3</v>
      </c>
      <c r="Q79" s="154">
        <f>INDEX('Budget by Source'!$A$6:$I$330,MATCH('Payment by Source'!$A79,'Budget by Source'!$A$6:$A$330,0),MATCH(Q$3,'Budget by Source'!$A$5:$I$5,0))-(ROUND(INDEX('Budget by Source'!$A$6:$I$330,MATCH('Payment by Source'!$A79,'Budget by Source'!$A$6:$A$330,0),MATCH(Q$3,'Budget by Source'!$A$5:$I$5,0))/10,0)*10)</f>
        <v>2</v>
      </c>
      <c r="R79" s="154">
        <f>INDEX('Budget by Source'!$A$6:$I$330,MATCH('Payment by Source'!$A79,'Budget by Source'!$A$6:$A$330,0),MATCH(R$3,'Budget by Source'!$A$5:$I$5,0))-(ROUND(INDEX('Budget by Source'!$A$6:$I$330,MATCH('Payment by Source'!$A79,'Budget by Source'!$A$6:$A$330,0),MATCH(R$3,'Budget by Source'!$A$5:$I$5,0))/10,0)*10)</f>
        <v>0</v>
      </c>
      <c r="S79" s="154">
        <f>INDEX('Budget by Source'!$A$6:$I$330,MATCH('Payment by Source'!$A79,'Budget by Source'!$A$6:$A$330,0),MATCH(S$3,'Budget by Source'!$A$5:$I$5,0))-(ROUND(INDEX('Budget by Source'!$A$6:$I$330,MATCH('Payment by Source'!$A79,'Budget by Source'!$A$6:$A$330,0),MATCH(S$3,'Budget by Source'!$A$5:$I$5,0))/10,0)*10)</f>
        <v>1</v>
      </c>
      <c r="T79" s="154">
        <f>INDEX('Budget by Source'!$A$6:$I$330,MATCH('Payment by Source'!$A79,'Budget by Source'!$A$6:$A$330,0),MATCH(T$3,'Budget by Source'!$A$5:$I$5,0))-(ROUND(INDEX('Budget by Source'!$A$6:$I$330,MATCH('Payment by Source'!$A79,'Budget by Source'!$A$6:$A$330,0),MATCH(T$3,'Budget by Source'!$A$5:$I$5,0))/10,0)*10)</f>
        <v>2</v>
      </c>
      <c r="U79" s="155">
        <f>INDEX('Budget by Source'!$A$6:$I$330,MATCH('Payment by Source'!$A79,'Budget by Source'!$A$6:$A$330,0),MATCH(U$3,'Budget by Source'!$A$5:$I$5,0))</f>
        <v>4588862</v>
      </c>
      <c r="V79" s="152">
        <f t="shared" si="4"/>
        <v>458886</v>
      </c>
      <c r="W79" s="152">
        <f t="shared" si="5"/>
        <v>4588860</v>
      </c>
    </row>
    <row r="80" spans="1:23" x14ac:dyDescent="0.2">
      <c r="A80" s="23" t="str">
        <f>Data!B76</f>
        <v>1413</v>
      </c>
      <c r="B80" s="21" t="str">
        <f>INDEX(Data[],MATCH($A80,Data[Dist],0),MATCH(B$5,Data[#Headers],0))</f>
        <v>Coon Rapids-Bayard</v>
      </c>
      <c r="C80" s="22">
        <f>IF(Notes!$B$2="June",ROUND('Budget by Source'!C80/10,0)+P80,ROUND('Budget by Source'!C80/10,0))</f>
        <v>9122</v>
      </c>
      <c r="D80" s="22">
        <f>IF(Notes!$B$2="June",ROUND('Budget by Source'!D80/10,0)+Q80,ROUND('Budget by Source'!D80/10,0))</f>
        <v>31080</v>
      </c>
      <c r="E80" s="22">
        <f>IF(Notes!$B$2="June",ROUND('Budget by Source'!E80/10,0)+R80,ROUND('Budget by Source'!E80/10,0))</f>
        <v>3595</v>
      </c>
      <c r="F80" s="22">
        <f>IF(Notes!$B$2="June",ROUND('Budget by Source'!F80/10,0)+S80,ROUND('Budget by Source'!F80/10,0))</f>
        <v>3344</v>
      </c>
      <c r="G80" s="22">
        <f>IF(Notes!$B$2="June",ROUND('Budget by Source'!G80/10,0)+T80,ROUND('Budget by Source'!G80/10,0))</f>
        <v>15663</v>
      </c>
      <c r="H80" s="22">
        <f t="shared" si="3"/>
        <v>229559</v>
      </c>
      <c r="I80" s="22">
        <f>INDEX(Data[],MATCH($A80,Data[Dist],0),MATCH(I$5,Data[#Headers],0))</f>
        <v>292363</v>
      </c>
      <c r="K80" s="69">
        <f>INDEX('Payment Total'!$A$7:$H$331,MATCH('Payment by Source'!$A80,'Payment Total'!$A$7:$A$331,0),3)-I80</f>
        <v>0</v>
      </c>
      <c r="P80" s="154">
        <f>INDEX('Budget by Source'!$A$6:$I$330,MATCH('Payment by Source'!$A80,'Budget by Source'!$A$6:$A$330,0),MATCH(P$3,'Budget by Source'!$A$5:$I$5,0))-(ROUND(INDEX('Budget by Source'!$A$6:$I$330,MATCH('Payment by Source'!$A80,'Budget by Source'!$A$6:$A$330,0),MATCH(P$3,'Budget by Source'!$A$5:$I$5,0))/10,0)*10)</f>
        <v>2</v>
      </c>
      <c r="Q80" s="154">
        <f>INDEX('Budget by Source'!$A$6:$I$330,MATCH('Payment by Source'!$A80,'Budget by Source'!$A$6:$A$330,0),MATCH(Q$3,'Budget by Source'!$A$5:$I$5,0))-(ROUND(INDEX('Budget by Source'!$A$6:$I$330,MATCH('Payment by Source'!$A80,'Budget by Source'!$A$6:$A$330,0),MATCH(Q$3,'Budget by Source'!$A$5:$I$5,0))/10,0)*10)</f>
        <v>3</v>
      </c>
      <c r="R80" s="154">
        <f>INDEX('Budget by Source'!$A$6:$I$330,MATCH('Payment by Source'!$A80,'Budget by Source'!$A$6:$A$330,0),MATCH(R$3,'Budget by Source'!$A$5:$I$5,0))-(ROUND(INDEX('Budget by Source'!$A$6:$I$330,MATCH('Payment by Source'!$A80,'Budget by Source'!$A$6:$A$330,0),MATCH(R$3,'Budget by Source'!$A$5:$I$5,0))/10,0)*10)</f>
        <v>1</v>
      </c>
      <c r="S80" s="154">
        <f>INDEX('Budget by Source'!$A$6:$I$330,MATCH('Payment by Source'!$A80,'Budget by Source'!$A$6:$A$330,0),MATCH(S$3,'Budget by Source'!$A$5:$I$5,0))-(ROUND(INDEX('Budget by Source'!$A$6:$I$330,MATCH('Payment by Source'!$A80,'Budget by Source'!$A$6:$A$330,0),MATCH(S$3,'Budget by Source'!$A$5:$I$5,0))/10,0)*10)</f>
        <v>-5</v>
      </c>
      <c r="T80" s="154">
        <f>INDEX('Budget by Source'!$A$6:$I$330,MATCH('Payment by Source'!$A80,'Budget by Source'!$A$6:$A$330,0),MATCH(T$3,'Budget by Source'!$A$5:$I$5,0))-(ROUND(INDEX('Budget by Source'!$A$6:$I$330,MATCH('Payment by Source'!$A80,'Budget by Source'!$A$6:$A$330,0),MATCH(T$3,'Budget by Source'!$A$5:$I$5,0))/10,0)*10)</f>
        <v>-5</v>
      </c>
      <c r="U80" s="155">
        <f>INDEX('Budget by Source'!$A$6:$I$330,MATCH('Payment by Source'!$A80,'Budget by Source'!$A$6:$A$330,0),MATCH(U$3,'Budget by Source'!$A$5:$I$5,0))</f>
        <v>2295592</v>
      </c>
      <c r="V80" s="152">
        <f t="shared" si="4"/>
        <v>229559</v>
      </c>
      <c r="W80" s="152">
        <f t="shared" si="5"/>
        <v>2295590</v>
      </c>
    </row>
    <row r="81" spans="1:23" x14ac:dyDescent="0.2">
      <c r="A81" s="23" t="str">
        <f>Data!B77</f>
        <v>1431</v>
      </c>
      <c r="B81" s="21" t="str">
        <f>INDEX(Data[],MATCH($A81,Data[Dist],0),MATCH(B$5,Data[#Headers],0))</f>
        <v>Corning</v>
      </c>
      <c r="C81" s="22">
        <f>IF(Notes!$B$2="June",ROUND('Budget by Source'!C81/10,0)+P81,ROUND('Budget by Source'!C81/10,0))</f>
        <v>7982</v>
      </c>
      <c r="D81" s="22">
        <f>IF(Notes!$B$2="June",ROUND('Budget by Source'!D81/10,0)+Q81,ROUND('Budget by Source'!D81/10,0))</f>
        <v>29636</v>
      </c>
      <c r="E81" s="22">
        <f>IF(Notes!$B$2="June",ROUND('Budget by Source'!E81/10,0)+R81,ROUND('Budget by Source'!E81/10,0))</f>
        <v>3548</v>
      </c>
      <c r="F81" s="22">
        <f>IF(Notes!$B$2="June",ROUND('Budget by Source'!F81/10,0)+S81,ROUND('Budget by Source'!F81/10,0))</f>
        <v>3019</v>
      </c>
      <c r="G81" s="22">
        <f>IF(Notes!$B$2="June",ROUND('Budget by Source'!G81/10,0)+T81,ROUND('Budget by Source'!G81/10,0))</f>
        <v>14756</v>
      </c>
      <c r="H81" s="22">
        <f t="shared" si="3"/>
        <v>122094</v>
      </c>
      <c r="I81" s="22">
        <f>INDEX(Data[],MATCH($A81,Data[Dist],0),MATCH(I$5,Data[#Headers],0))</f>
        <v>181035</v>
      </c>
      <c r="K81" s="69">
        <f>INDEX('Payment Total'!$A$7:$H$331,MATCH('Payment by Source'!$A81,'Payment Total'!$A$7:$A$331,0),3)-I81</f>
        <v>0</v>
      </c>
      <c r="P81" s="154">
        <f>INDEX('Budget by Source'!$A$6:$I$330,MATCH('Payment by Source'!$A81,'Budget by Source'!$A$6:$A$330,0),MATCH(P$3,'Budget by Source'!$A$5:$I$5,0))-(ROUND(INDEX('Budget by Source'!$A$6:$I$330,MATCH('Payment by Source'!$A81,'Budget by Source'!$A$6:$A$330,0),MATCH(P$3,'Budget by Source'!$A$5:$I$5,0))/10,0)*10)</f>
        <v>0</v>
      </c>
      <c r="Q81" s="154">
        <f>INDEX('Budget by Source'!$A$6:$I$330,MATCH('Payment by Source'!$A81,'Budget by Source'!$A$6:$A$330,0),MATCH(Q$3,'Budget by Source'!$A$5:$I$5,0))-(ROUND(INDEX('Budget by Source'!$A$6:$I$330,MATCH('Payment by Source'!$A81,'Budget by Source'!$A$6:$A$330,0),MATCH(Q$3,'Budget by Source'!$A$5:$I$5,0))/10,0)*10)</f>
        <v>-1</v>
      </c>
      <c r="R81" s="154">
        <f>INDEX('Budget by Source'!$A$6:$I$330,MATCH('Payment by Source'!$A81,'Budget by Source'!$A$6:$A$330,0),MATCH(R$3,'Budget by Source'!$A$5:$I$5,0))-(ROUND(INDEX('Budget by Source'!$A$6:$I$330,MATCH('Payment by Source'!$A81,'Budget by Source'!$A$6:$A$330,0),MATCH(R$3,'Budget by Source'!$A$5:$I$5,0))/10,0)*10)</f>
        <v>-1</v>
      </c>
      <c r="S81" s="154">
        <f>INDEX('Budget by Source'!$A$6:$I$330,MATCH('Payment by Source'!$A81,'Budget by Source'!$A$6:$A$330,0),MATCH(S$3,'Budget by Source'!$A$5:$I$5,0))-(ROUND(INDEX('Budget by Source'!$A$6:$I$330,MATCH('Payment by Source'!$A81,'Budget by Source'!$A$6:$A$330,0),MATCH(S$3,'Budget by Source'!$A$5:$I$5,0))/10,0)*10)</f>
        <v>2</v>
      </c>
      <c r="T81" s="154">
        <f>INDEX('Budget by Source'!$A$6:$I$330,MATCH('Payment by Source'!$A81,'Budget by Source'!$A$6:$A$330,0),MATCH(T$3,'Budget by Source'!$A$5:$I$5,0))-(ROUND(INDEX('Budget by Source'!$A$6:$I$330,MATCH('Payment by Source'!$A81,'Budget by Source'!$A$6:$A$330,0),MATCH(T$3,'Budget by Source'!$A$5:$I$5,0))/10,0)*10)</f>
        <v>-3</v>
      </c>
      <c r="U81" s="155">
        <f>INDEX('Budget by Source'!$A$6:$I$330,MATCH('Payment by Source'!$A81,'Budget by Source'!$A$6:$A$330,0),MATCH(U$3,'Budget by Source'!$A$5:$I$5,0))</f>
        <v>1220943</v>
      </c>
      <c r="V81" s="152">
        <f t="shared" si="4"/>
        <v>122094</v>
      </c>
      <c r="W81" s="152">
        <f t="shared" si="5"/>
        <v>1220940</v>
      </c>
    </row>
    <row r="82" spans="1:23" x14ac:dyDescent="0.2">
      <c r="A82" s="23" t="str">
        <f>Data!B78</f>
        <v>1476</v>
      </c>
      <c r="B82" s="21" t="str">
        <f>INDEX(Data[],MATCH($A82,Data[Dist],0),MATCH(B$5,Data[#Headers],0))</f>
        <v>Council Bluffs</v>
      </c>
      <c r="C82" s="22">
        <f>IF(Notes!$B$2="June",ROUND('Budget by Source'!C82/10,0)+P82,ROUND('Budget by Source'!C82/10,0))</f>
        <v>156218</v>
      </c>
      <c r="D82" s="22">
        <f>IF(Notes!$B$2="June",ROUND('Budget by Source'!D82/10,0)+Q82,ROUND('Budget by Source'!D82/10,0))</f>
        <v>550205</v>
      </c>
      <c r="E82" s="22">
        <f>IF(Notes!$B$2="June",ROUND('Budget by Source'!E82/10,0)+R82,ROUND('Budget by Source'!E82/10,0))</f>
        <v>80093</v>
      </c>
      <c r="F82" s="22">
        <f>IF(Notes!$B$2="June",ROUND('Budget by Source'!F82/10,0)+S82,ROUND('Budget by Source'!F82/10,0))</f>
        <v>63688</v>
      </c>
      <c r="G82" s="22">
        <f>IF(Notes!$B$2="June",ROUND('Budget by Source'!G82/10,0)+T82,ROUND('Budget by Source'!G82/10,0))</f>
        <v>320905</v>
      </c>
      <c r="H82" s="22">
        <f t="shared" si="3"/>
        <v>6461355</v>
      </c>
      <c r="I82" s="22">
        <f>INDEX(Data[],MATCH($A82,Data[Dist],0),MATCH(I$5,Data[#Headers],0))</f>
        <v>7632464</v>
      </c>
      <c r="K82" s="69">
        <f>INDEX('Payment Total'!$A$7:$H$331,MATCH('Payment by Source'!$A82,'Payment Total'!$A$7:$A$331,0),3)-I82</f>
        <v>0</v>
      </c>
      <c r="P82" s="154">
        <f>INDEX('Budget by Source'!$A$6:$I$330,MATCH('Payment by Source'!$A82,'Budget by Source'!$A$6:$A$330,0),MATCH(P$3,'Budget by Source'!$A$5:$I$5,0))-(ROUND(INDEX('Budget by Source'!$A$6:$I$330,MATCH('Payment by Source'!$A82,'Budget by Source'!$A$6:$A$330,0),MATCH(P$3,'Budget by Source'!$A$5:$I$5,0))/10,0)*10)</f>
        <v>-3</v>
      </c>
      <c r="Q82" s="154">
        <f>INDEX('Budget by Source'!$A$6:$I$330,MATCH('Payment by Source'!$A82,'Budget by Source'!$A$6:$A$330,0),MATCH(Q$3,'Budget by Source'!$A$5:$I$5,0))-(ROUND(INDEX('Budget by Source'!$A$6:$I$330,MATCH('Payment by Source'!$A82,'Budget by Source'!$A$6:$A$330,0),MATCH(Q$3,'Budget by Source'!$A$5:$I$5,0))/10,0)*10)</f>
        <v>-3</v>
      </c>
      <c r="R82" s="154">
        <f>INDEX('Budget by Source'!$A$6:$I$330,MATCH('Payment by Source'!$A82,'Budget by Source'!$A$6:$A$330,0),MATCH(R$3,'Budget by Source'!$A$5:$I$5,0))-(ROUND(INDEX('Budget by Source'!$A$6:$I$330,MATCH('Payment by Source'!$A82,'Budget by Source'!$A$6:$A$330,0),MATCH(R$3,'Budget by Source'!$A$5:$I$5,0))/10,0)*10)</f>
        <v>4</v>
      </c>
      <c r="S82" s="154">
        <f>INDEX('Budget by Source'!$A$6:$I$330,MATCH('Payment by Source'!$A82,'Budget by Source'!$A$6:$A$330,0),MATCH(S$3,'Budget by Source'!$A$5:$I$5,0))-(ROUND(INDEX('Budget by Source'!$A$6:$I$330,MATCH('Payment by Source'!$A82,'Budget by Source'!$A$6:$A$330,0),MATCH(S$3,'Budget by Source'!$A$5:$I$5,0))/10,0)*10)</f>
        <v>1</v>
      </c>
      <c r="T82" s="154">
        <f>INDEX('Budget by Source'!$A$6:$I$330,MATCH('Payment by Source'!$A82,'Budget by Source'!$A$6:$A$330,0),MATCH(T$3,'Budget by Source'!$A$5:$I$5,0))-(ROUND(INDEX('Budget by Source'!$A$6:$I$330,MATCH('Payment by Source'!$A82,'Budget by Source'!$A$6:$A$330,0),MATCH(T$3,'Budget by Source'!$A$5:$I$5,0))/10,0)*10)</f>
        <v>-1</v>
      </c>
      <c r="U82" s="155">
        <f>INDEX('Budget by Source'!$A$6:$I$330,MATCH('Payment by Source'!$A82,'Budget by Source'!$A$6:$A$330,0),MATCH(U$3,'Budget by Source'!$A$5:$I$5,0))</f>
        <v>64613553</v>
      </c>
      <c r="V82" s="152">
        <f t="shared" si="4"/>
        <v>6461355</v>
      </c>
      <c r="W82" s="152">
        <f t="shared" si="5"/>
        <v>64613550</v>
      </c>
    </row>
    <row r="83" spans="1:23" x14ac:dyDescent="0.2">
      <c r="A83" s="23" t="str">
        <f>Data!B79</f>
        <v>1503</v>
      </c>
      <c r="B83" s="21" t="str">
        <f>INDEX(Data[],MATCH($A83,Data[Dist],0),MATCH(B$5,Data[#Headers],0))</f>
        <v>Creston</v>
      </c>
      <c r="C83" s="22">
        <f>IF(Notes!$B$2="June",ROUND('Budget by Source'!C83/10,0)+P83,ROUND('Budget by Source'!C83/10,0))</f>
        <v>32688</v>
      </c>
      <c r="D83" s="22">
        <f>IF(Notes!$B$2="June",ROUND('Budget by Source'!D83/10,0)+Q83,ROUND('Budget by Source'!D83/10,0))</f>
        <v>93332</v>
      </c>
      <c r="E83" s="22">
        <f>IF(Notes!$B$2="June",ROUND('Budget by Source'!E83/10,0)+R83,ROUND('Budget by Source'!E83/10,0))</f>
        <v>11658</v>
      </c>
      <c r="F83" s="22">
        <f>IF(Notes!$B$2="June",ROUND('Budget by Source'!F83/10,0)+S83,ROUND('Budget by Source'!F83/10,0))</f>
        <v>10247</v>
      </c>
      <c r="G83" s="22">
        <f>IF(Notes!$B$2="June",ROUND('Budget by Source'!G83/10,0)+T83,ROUND('Budget by Source'!G83/10,0))</f>
        <v>51484</v>
      </c>
      <c r="H83" s="22">
        <f t="shared" si="3"/>
        <v>832166</v>
      </c>
      <c r="I83" s="22">
        <f>INDEX(Data[],MATCH($A83,Data[Dist],0),MATCH(I$5,Data[#Headers],0))</f>
        <v>1031575</v>
      </c>
      <c r="K83" s="69">
        <f>INDEX('Payment Total'!$A$7:$H$331,MATCH('Payment by Source'!$A83,'Payment Total'!$A$7:$A$331,0),3)-I83</f>
        <v>0</v>
      </c>
      <c r="P83" s="154">
        <f>INDEX('Budget by Source'!$A$6:$I$330,MATCH('Payment by Source'!$A83,'Budget by Source'!$A$6:$A$330,0),MATCH(P$3,'Budget by Source'!$A$5:$I$5,0))-(ROUND(INDEX('Budget by Source'!$A$6:$I$330,MATCH('Payment by Source'!$A83,'Budget by Source'!$A$6:$A$330,0),MATCH(P$3,'Budget by Source'!$A$5:$I$5,0))/10,0)*10)</f>
        <v>-1</v>
      </c>
      <c r="Q83" s="154">
        <f>INDEX('Budget by Source'!$A$6:$I$330,MATCH('Payment by Source'!$A83,'Budget by Source'!$A$6:$A$330,0),MATCH(Q$3,'Budget by Source'!$A$5:$I$5,0))-(ROUND(INDEX('Budget by Source'!$A$6:$I$330,MATCH('Payment by Source'!$A83,'Budget by Source'!$A$6:$A$330,0),MATCH(Q$3,'Budget by Source'!$A$5:$I$5,0))/10,0)*10)</f>
        <v>2</v>
      </c>
      <c r="R83" s="154">
        <f>INDEX('Budget by Source'!$A$6:$I$330,MATCH('Payment by Source'!$A83,'Budget by Source'!$A$6:$A$330,0),MATCH(R$3,'Budget by Source'!$A$5:$I$5,0))-(ROUND(INDEX('Budget by Source'!$A$6:$I$330,MATCH('Payment by Source'!$A83,'Budget by Source'!$A$6:$A$330,0),MATCH(R$3,'Budget by Source'!$A$5:$I$5,0))/10,0)*10)</f>
        <v>0</v>
      </c>
      <c r="S83" s="154">
        <f>INDEX('Budget by Source'!$A$6:$I$330,MATCH('Payment by Source'!$A83,'Budget by Source'!$A$6:$A$330,0),MATCH(S$3,'Budget by Source'!$A$5:$I$5,0))-(ROUND(INDEX('Budget by Source'!$A$6:$I$330,MATCH('Payment by Source'!$A83,'Budget by Source'!$A$6:$A$330,0),MATCH(S$3,'Budget by Source'!$A$5:$I$5,0))/10,0)*10)</f>
        <v>0</v>
      </c>
      <c r="T83" s="154">
        <f>INDEX('Budget by Source'!$A$6:$I$330,MATCH('Payment by Source'!$A83,'Budget by Source'!$A$6:$A$330,0),MATCH(T$3,'Budget by Source'!$A$5:$I$5,0))-(ROUND(INDEX('Budget by Source'!$A$6:$I$330,MATCH('Payment by Source'!$A83,'Budget by Source'!$A$6:$A$330,0),MATCH(T$3,'Budget by Source'!$A$5:$I$5,0))/10,0)*10)</f>
        <v>-4</v>
      </c>
      <c r="U83" s="155">
        <f>INDEX('Budget by Source'!$A$6:$I$330,MATCH('Payment by Source'!$A83,'Budget by Source'!$A$6:$A$330,0),MATCH(U$3,'Budget by Source'!$A$5:$I$5,0))</f>
        <v>8321667</v>
      </c>
      <c r="V83" s="152">
        <f t="shared" si="4"/>
        <v>832167</v>
      </c>
      <c r="W83" s="152">
        <f t="shared" si="5"/>
        <v>8321670</v>
      </c>
    </row>
    <row r="84" spans="1:23" x14ac:dyDescent="0.2">
      <c r="A84" s="23" t="str">
        <f>Data!B80</f>
        <v>1576</v>
      </c>
      <c r="B84" s="21" t="str">
        <f>INDEX(Data[],MATCH($A84,Data[Dist],0),MATCH(B$5,Data[#Headers],0))</f>
        <v>Dallas Center-Grimes</v>
      </c>
      <c r="C84" s="22">
        <f>IF(Notes!$B$2="June",ROUND('Budget by Source'!C84/10,0)+P84,ROUND('Budget by Source'!C84/10,0))</f>
        <v>66896</v>
      </c>
      <c r="D84" s="22">
        <f>IF(Notes!$B$2="June",ROUND('Budget by Source'!D84/10,0)+Q84,ROUND('Budget by Source'!D84/10,0))</f>
        <v>218561</v>
      </c>
      <c r="E84" s="22">
        <f>IF(Notes!$B$2="June",ROUND('Budget by Source'!E84/10,0)+R84,ROUND('Budget by Source'!E84/10,0))</f>
        <v>26057</v>
      </c>
      <c r="F84" s="22">
        <f>IF(Notes!$B$2="June",ROUND('Budget by Source'!F84/10,0)+S84,ROUND('Budget by Source'!F84/10,0))</f>
        <v>23247</v>
      </c>
      <c r="G84" s="22">
        <f>IF(Notes!$B$2="June",ROUND('Budget by Source'!G84/10,0)+T84,ROUND('Budget by Source'!G84/10,0))</f>
        <v>128175</v>
      </c>
      <c r="H84" s="22">
        <f t="shared" si="3"/>
        <v>1909344</v>
      </c>
      <c r="I84" s="22">
        <f>INDEX(Data[],MATCH($A84,Data[Dist],0),MATCH(I$5,Data[#Headers],0))</f>
        <v>2372280</v>
      </c>
      <c r="K84" s="69">
        <f>INDEX('Payment Total'!$A$7:$H$331,MATCH('Payment by Source'!$A84,'Payment Total'!$A$7:$A$331,0),3)-I84</f>
        <v>0</v>
      </c>
      <c r="P84" s="154">
        <f>INDEX('Budget by Source'!$A$6:$I$330,MATCH('Payment by Source'!$A84,'Budget by Source'!$A$6:$A$330,0),MATCH(P$3,'Budget by Source'!$A$5:$I$5,0))-(ROUND(INDEX('Budget by Source'!$A$6:$I$330,MATCH('Payment by Source'!$A84,'Budget by Source'!$A$6:$A$330,0),MATCH(P$3,'Budget by Source'!$A$5:$I$5,0))/10,0)*10)</f>
        <v>1</v>
      </c>
      <c r="Q84" s="154">
        <f>INDEX('Budget by Source'!$A$6:$I$330,MATCH('Payment by Source'!$A84,'Budget by Source'!$A$6:$A$330,0),MATCH(Q$3,'Budget by Source'!$A$5:$I$5,0))-(ROUND(INDEX('Budget by Source'!$A$6:$I$330,MATCH('Payment by Source'!$A84,'Budget by Source'!$A$6:$A$330,0),MATCH(Q$3,'Budget by Source'!$A$5:$I$5,0))/10,0)*10)</f>
        <v>0</v>
      </c>
      <c r="R84" s="154">
        <f>INDEX('Budget by Source'!$A$6:$I$330,MATCH('Payment by Source'!$A84,'Budget by Source'!$A$6:$A$330,0),MATCH(R$3,'Budget by Source'!$A$5:$I$5,0))-(ROUND(INDEX('Budget by Source'!$A$6:$I$330,MATCH('Payment by Source'!$A84,'Budget by Source'!$A$6:$A$330,0),MATCH(R$3,'Budget by Source'!$A$5:$I$5,0))/10,0)*10)</f>
        <v>2</v>
      </c>
      <c r="S84" s="154">
        <f>INDEX('Budget by Source'!$A$6:$I$330,MATCH('Payment by Source'!$A84,'Budget by Source'!$A$6:$A$330,0),MATCH(S$3,'Budget by Source'!$A$5:$I$5,0))-(ROUND(INDEX('Budget by Source'!$A$6:$I$330,MATCH('Payment by Source'!$A84,'Budget by Source'!$A$6:$A$330,0),MATCH(S$3,'Budget by Source'!$A$5:$I$5,0))/10,0)*10)</f>
        <v>0</v>
      </c>
      <c r="T84" s="154">
        <f>INDEX('Budget by Source'!$A$6:$I$330,MATCH('Payment by Source'!$A84,'Budget by Source'!$A$6:$A$330,0),MATCH(T$3,'Budget by Source'!$A$5:$I$5,0))-(ROUND(INDEX('Budget by Source'!$A$6:$I$330,MATCH('Payment by Source'!$A84,'Budget by Source'!$A$6:$A$330,0),MATCH(T$3,'Budget by Source'!$A$5:$I$5,0))/10,0)*10)</f>
        <v>-3</v>
      </c>
      <c r="U84" s="155">
        <f>INDEX('Budget by Source'!$A$6:$I$330,MATCH('Payment by Source'!$A84,'Budget by Source'!$A$6:$A$330,0),MATCH(U$3,'Budget by Source'!$A$5:$I$5,0))</f>
        <v>19093440</v>
      </c>
      <c r="V84" s="152">
        <f t="shared" si="4"/>
        <v>1909344</v>
      </c>
      <c r="W84" s="152">
        <f t="shared" si="5"/>
        <v>19093440</v>
      </c>
    </row>
    <row r="85" spans="1:23" x14ac:dyDescent="0.2">
      <c r="A85" s="23" t="str">
        <f>Data!B81</f>
        <v>1602</v>
      </c>
      <c r="B85" s="21" t="str">
        <f>INDEX(Data[],MATCH($A85,Data[Dist],0),MATCH(B$5,Data[#Headers],0))</f>
        <v>Danville</v>
      </c>
      <c r="C85" s="22">
        <f>IF(Notes!$B$2="June",ROUND('Budget by Source'!C85/10,0)+P85,ROUND('Budget by Source'!C85/10,0))</f>
        <v>13683</v>
      </c>
      <c r="D85" s="22">
        <f>IF(Notes!$B$2="June",ROUND('Budget by Source'!D85/10,0)+Q85,ROUND('Budget by Source'!D85/10,0))</f>
        <v>30505</v>
      </c>
      <c r="E85" s="22">
        <f>IF(Notes!$B$2="June",ROUND('Budget by Source'!E85/10,0)+R85,ROUND('Budget by Source'!E85/10,0))</f>
        <v>3697</v>
      </c>
      <c r="F85" s="22">
        <f>IF(Notes!$B$2="June",ROUND('Budget by Source'!F85/10,0)+S85,ROUND('Budget by Source'!F85/10,0))</f>
        <v>3324</v>
      </c>
      <c r="G85" s="22">
        <f>IF(Notes!$B$2="June",ROUND('Budget by Source'!G85/10,0)+T85,ROUND('Budget by Source'!G85/10,0))</f>
        <v>16777</v>
      </c>
      <c r="H85" s="22">
        <f t="shared" si="3"/>
        <v>236356</v>
      </c>
      <c r="I85" s="22">
        <f>INDEX(Data[],MATCH($A85,Data[Dist],0),MATCH(I$5,Data[#Headers],0))</f>
        <v>304342</v>
      </c>
      <c r="K85" s="69">
        <f>INDEX('Payment Total'!$A$7:$H$331,MATCH('Payment by Source'!$A85,'Payment Total'!$A$7:$A$331,0),3)-I85</f>
        <v>0</v>
      </c>
      <c r="P85" s="154">
        <f>INDEX('Budget by Source'!$A$6:$I$330,MATCH('Payment by Source'!$A85,'Budget by Source'!$A$6:$A$330,0),MATCH(P$3,'Budget by Source'!$A$5:$I$5,0))-(ROUND(INDEX('Budget by Source'!$A$6:$I$330,MATCH('Payment by Source'!$A85,'Budget by Source'!$A$6:$A$330,0),MATCH(P$3,'Budget by Source'!$A$5:$I$5,0))/10,0)*10)</f>
        <v>3</v>
      </c>
      <c r="Q85" s="154">
        <f>INDEX('Budget by Source'!$A$6:$I$330,MATCH('Payment by Source'!$A85,'Budget by Source'!$A$6:$A$330,0),MATCH(Q$3,'Budget by Source'!$A$5:$I$5,0))-(ROUND(INDEX('Budget by Source'!$A$6:$I$330,MATCH('Payment by Source'!$A85,'Budget by Source'!$A$6:$A$330,0),MATCH(Q$3,'Budget by Source'!$A$5:$I$5,0))/10,0)*10)</f>
        <v>-2</v>
      </c>
      <c r="R85" s="154">
        <f>INDEX('Budget by Source'!$A$6:$I$330,MATCH('Payment by Source'!$A85,'Budget by Source'!$A$6:$A$330,0),MATCH(R$3,'Budget by Source'!$A$5:$I$5,0))-(ROUND(INDEX('Budget by Source'!$A$6:$I$330,MATCH('Payment by Source'!$A85,'Budget by Source'!$A$6:$A$330,0),MATCH(R$3,'Budget by Source'!$A$5:$I$5,0))/10,0)*10)</f>
        <v>3</v>
      </c>
      <c r="S85" s="154">
        <f>INDEX('Budget by Source'!$A$6:$I$330,MATCH('Payment by Source'!$A85,'Budget by Source'!$A$6:$A$330,0),MATCH(S$3,'Budget by Source'!$A$5:$I$5,0))-(ROUND(INDEX('Budget by Source'!$A$6:$I$330,MATCH('Payment by Source'!$A85,'Budget by Source'!$A$6:$A$330,0),MATCH(S$3,'Budget by Source'!$A$5:$I$5,0))/10,0)*10)</f>
        <v>-4</v>
      </c>
      <c r="T85" s="154">
        <f>INDEX('Budget by Source'!$A$6:$I$330,MATCH('Payment by Source'!$A85,'Budget by Source'!$A$6:$A$330,0),MATCH(T$3,'Budget by Source'!$A$5:$I$5,0))-(ROUND(INDEX('Budget by Source'!$A$6:$I$330,MATCH('Payment by Source'!$A85,'Budget by Source'!$A$6:$A$330,0),MATCH(T$3,'Budget by Source'!$A$5:$I$5,0))/10,0)*10)</f>
        <v>2</v>
      </c>
      <c r="U85" s="155">
        <f>INDEX('Budget by Source'!$A$6:$I$330,MATCH('Payment by Source'!$A85,'Budget by Source'!$A$6:$A$330,0),MATCH(U$3,'Budget by Source'!$A$5:$I$5,0))</f>
        <v>2363557</v>
      </c>
      <c r="V85" s="152">
        <f t="shared" si="4"/>
        <v>236356</v>
      </c>
      <c r="W85" s="152">
        <f t="shared" si="5"/>
        <v>2363560</v>
      </c>
    </row>
    <row r="86" spans="1:23" x14ac:dyDescent="0.2">
      <c r="A86" s="23" t="str">
        <f>Data!B82</f>
        <v>1611</v>
      </c>
      <c r="B86" s="21" t="str">
        <f>INDEX(Data[],MATCH($A86,Data[Dist],0),MATCH(B$5,Data[#Headers],0))</f>
        <v>Davenport</v>
      </c>
      <c r="C86" s="22">
        <f>IF(Notes!$B$2="June",ROUND('Budget by Source'!C86/10,0)+P86,ROUND('Budget by Source'!C86/10,0))</f>
        <v>257294</v>
      </c>
      <c r="D86" s="22">
        <f>IF(Notes!$B$2="June",ROUND('Budget by Source'!D86/10,0)+Q86,ROUND('Budget by Source'!D86/10,0))</f>
        <v>909715</v>
      </c>
      <c r="E86" s="22">
        <f>IF(Notes!$B$2="June",ROUND('Budget by Source'!E86/10,0)+R86,ROUND('Budget by Source'!E86/10,0))</f>
        <v>129733</v>
      </c>
      <c r="F86" s="22">
        <f>IF(Notes!$B$2="June",ROUND('Budget by Source'!F86/10,0)+S86,ROUND('Budget by Source'!F86/10,0))</f>
        <v>111064</v>
      </c>
      <c r="G86" s="22">
        <f>IF(Notes!$B$2="June",ROUND('Budget by Source'!G86/10,0)+T86,ROUND('Budget by Source'!G86/10,0))</f>
        <v>522004</v>
      </c>
      <c r="H86" s="22">
        <f t="shared" si="3"/>
        <v>8802484</v>
      </c>
      <c r="I86" s="22">
        <f>INDEX(Data[],MATCH($A86,Data[Dist],0),MATCH(I$5,Data[#Headers],0))</f>
        <v>10732294</v>
      </c>
      <c r="K86" s="69">
        <f>INDEX('Payment Total'!$A$7:$H$331,MATCH('Payment by Source'!$A86,'Payment Total'!$A$7:$A$331,0),3)-I86</f>
        <v>0</v>
      </c>
      <c r="P86" s="154">
        <f>INDEX('Budget by Source'!$A$6:$I$330,MATCH('Payment by Source'!$A86,'Budget by Source'!$A$6:$A$330,0),MATCH(P$3,'Budget by Source'!$A$5:$I$5,0))-(ROUND(INDEX('Budget by Source'!$A$6:$I$330,MATCH('Payment by Source'!$A86,'Budget by Source'!$A$6:$A$330,0),MATCH(P$3,'Budget by Source'!$A$5:$I$5,0))/10,0)*10)</f>
        <v>-3</v>
      </c>
      <c r="Q86" s="154">
        <f>INDEX('Budget by Source'!$A$6:$I$330,MATCH('Payment by Source'!$A86,'Budget by Source'!$A$6:$A$330,0),MATCH(Q$3,'Budget by Source'!$A$5:$I$5,0))-(ROUND(INDEX('Budget by Source'!$A$6:$I$330,MATCH('Payment by Source'!$A86,'Budget by Source'!$A$6:$A$330,0),MATCH(Q$3,'Budget by Source'!$A$5:$I$5,0))/10,0)*10)</f>
        <v>0</v>
      </c>
      <c r="R86" s="154">
        <f>INDEX('Budget by Source'!$A$6:$I$330,MATCH('Payment by Source'!$A86,'Budget by Source'!$A$6:$A$330,0),MATCH(R$3,'Budget by Source'!$A$5:$I$5,0))-(ROUND(INDEX('Budget by Source'!$A$6:$I$330,MATCH('Payment by Source'!$A86,'Budget by Source'!$A$6:$A$330,0),MATCH(R$3,'Budget by Source'!$A$5:$I$5,0))/10,0)*10)</f>
        <v>-3</v>
      </c>
      <c r="S86" s="154">
        <f>INDEX('Budget by Source'!$A$6:$I$330,MATCH('Payment by Source'!$A86,'Budget by Source'!$A$6:$A$330,0),MATCH(S$3,'Budget by Source'!$A$5:$I$5,0))-(ROUND(INDEX('Budget by Source'!$A$6:$I$330,MATCH('Payment by Source'!$A86,'Budget by Source'!$A$6:$A$330,0),MATCH(S$3,'Budget by Source'!$A$5:$I$5,0))/10,0)*10)</f>
        <v>-2</v>
      </c>
      <c r="T86" s="154">
        <f>INDEX('Budget by Source'!$A$6:$I$330,MATCH('Payment by Source'!$A86,'Budget by Source'!$A$6:$A$330,0),MATCH(T$3,'Budget by Source'!$A$5:$I$5,0))-(ROUND(INDEX('Budget by Source'!$A$6:$I$330,MATCH('Payment by Source'!$A86,'Budget by Source'!$A$6:$A$330,0),MATCH(T$3,'Budget by Source'!$A$5:$I$5,0))/10,0)*10)</f>
        <v>3</v>
      </c>
      <c r="U86" s="155">
        <f>INDEX('Budget by Source'!$A$6:$I$330,MATCH('Payment by Source'!$A86,'Budget by Source'!$A$6:$A$330,0),MATCH(U$3,'Budget by Source'!$A$5:$I$5,0))</f>
        <v>88024841</v>
      </c>
      <c r="V86" s="152">
        <f t="shared" si="4"/>
        <v>8802484</v>
      </c>
      <c r="W86" s="152">
        <f t="shared" si="5"/>
        <v>88024840</v>
      </c>
    </row>
    <row r="87" spans="1:23" x14ac:dyDescent="0.2">
      <c r="A87" s="23" t="str">
        <f>Data!B83</f>
        <v>1619</v>
      </c>
      <c r="B87" s="21" t="str">
        <f>INDEX(Data[],MATCH($A87,Data[Dist],0),MATCH(B$5,Data[#Headers],0))</f>
        <v>Davis County</v>
      </c>
      <c r="C87" s="22">
        <f>IF(Notes!$B$2="June",ROUND('Budget by Source'!C87/10,0)+P87,ROUND('Budget by Source'!C87/10,0))</f>
        <v>18625</v>
      </c>
      <c r="D87" s="22">
        <f>IF(Notes!$B$2="June",ROUND('Budget by Source'!D87/10,0)+Q87,ROUND('Budget by Source'!D87/10,0))</f>
        <v>75686</v>
      </c>
      <c r="E87" s="22">
        <f>IF(Notes!$B$2="June",ROUND('Budget by Source'!E87/10,0)+R87,ROUND('Budget by Source'!E87/10,0))</f>
        <v>8518</v>
      </c>
      <c r="F87" s="22">
        <f>IF(Notes!$B$2="June",ROUND('Budget by Source'!F87/10,0)+S87,ROUND('Budget by Source'!F87/10,0))</f>
        <v>8364</v>
      </c>
      <c r="G87" s="22">
        <f>IF(Notes!$B$2="June",ROUND('Budget by Source'!G87/10,0)+T87,ROUND('Budget by Source'!G87/10,0))</f>
        <v>42333</v>
      </c>
      <c r="H87" s="22">
        <f t="shared" si="3"/>
        <v>651594</v>
      </c>
      <c r="I87" s="22">
        <f>INDEX(Data[],MATCH($A87,Data[Dist],0),MATCH(I$5,Data[#Headers],0))</f>
        <v>805120</v>
      </c>
      <c r="K87" s="69">
        <f>INDEX('Payment Total'!$A$7:$H$331,MATCH('Payment by Source'!$A87,'Payment Total'!$A$7:$A$331,0),3)-I87</f>
        <v>0</v>
      </c>
      <c r="P87" s="154">
        <f>INDEX('Budget by Source'!$A$6:$I$330,MATCH('Payment by Source'!$A87,'Budget by Source'!$A$6:$A$330,0),MATCH(P$3,'Budget by Source'!$A$5:$I$5,0))-(ROUND(INDEX('Budget by Source'!$A$6:$I$330,MATCH('Payment by Source'!$A87,'Budget by Source'!$A$6:$A$330,0),MATCH(P$3,'Budget by Source'!$A$5:$I$5,0))/10,0)*10)</f>
        <v>-5</v>
      </c>
      <c r="Q87" s="154">
        <f>INDEX('Budget by Source'!$A$6:$I$330,MATCH('Payment by Source'!$A87,'Budget by Source'!$A$6:$A$330,0),MATCH(Q$3,'Budget by Source'!$A$5:$I$5,0))-(ROUND(INDEX('Budget by Source'!$A$6:$I$330,MATCH('Payment by Source'!$A87,'Budget by Source'!$A$6:$A$330,0),MATCH(Q$3,'Budget by Source'!$A$5:$I$5,0))/10,0)*10)</f>
        <v>-5</v>
      </c>
      <c r="R87" s="154">
        <f>INDEX('Budget by Source'!$A$6:$I$330,MATCH('Payment by Source'!$A87,'Budget by Source'!$A$6:$A$330,0),MATCH(R$3,'Budget by Source'!$A$5:$I$5,0))-(ROUND(INDEX('Budget by Source'!$A$6:$I$330,MATCH('Payment by Source'!$A87,'Budget by Source'!$A$6:$A$330,0),MATCH(R$3,'Budget by Source'!$A$5:$I$5,0))/10,0)*10)</f>
        <v>-4</v>
      </c>
      <c r="S87" s="154">
        <f>INDEX('Budget by Source'!$A$6:$I$330,MATCH('Payment by Source'!$A87,'Budget by Source'!$A$6:$A$330,0),MATCH(S$3,'Budget by Source'!$A$5:$I$5,0))-(ROUND(INDEX('Budget by Source'!$A$6:$I$330,MATCH('Payment by Source'!$A87,'Budget by Source'!$A$6:$A$330,0),MATCH(S$3,'Budget by Source'!$A$5:$I$5,0))/10,0)*10)</f>
        <v>-3</v>
      </c>
      <c r="T87" s="154">
        <f>INDEX('Budget by Source'!$A$6:$I$330,MATCH('Payment by Source'!$A87,'Budget by Source'!$A$6:$A$330,0),MATCH(T$3,'Budget by Source'!$A$5:$I$5,0))-(ROUND(INDEX('Budget by Source'!$A$6:$I$330,MATCH('Payment by Source'!$A87,'Budget by Source'!$A$6:$A$330,0),MATCH(T$3,'Budget by Source'!$A$5:$I$5,0))/10,0)*10)</f>
        <v>0</v>
      </c>
      <c r="U87" s="155">
        <f>INDEX('Budget by Source'!$A$6:$I$330,MATCH('Payment by Source'!$A87,'Budget by Source'!$A$6:$A$330,0),MATCH(U$3,'Budget by Source'!$A$5:$I$5,0))</f>
        <v>6515957</v>
      </c>
      <c r="V87" s="152">
        <f t="shared" si="4"/>
        <v>651596</v>
      </c>
      <c r="W87" s="152">
        <f t="shared" si="5"/>
        <v>6515960</v>
      </c>
    </row>
    <row r="88" spans="1:23" x14ac:dyDescent="0.2">
      <c r="A88" s="23" t="str">
        <f>Data!B84</f>
        <v>1638</v>
      </c>
      <c r="B88" s="21" t="str">
        <f>INDEX(Data[],MATCH($A88,Data[Dist],0),MATCH(B$5,Data[#Headers],0))</f>
        <v>Decorah</v>
      </c>
      <c r="C88" s="22">
        <f>IF(Notes!$B$2="June",ROUND('Budget by Source'!C88/10,0)+P88,ROUND('Budget by Source'!C88/10,0))</f>
        <v>36869</v>
      </c>
      <c r="D88" s="22">
        <f>IF(Notes!$B$2="June",ROUND('Budget by Source'!D88/10,0)+Q88,ROUND('Budget by Source'!D88/10,0))</f>
        <v>99755</v>
      </c>
      <c r="E88" s="22">
        <f>IF(Notes!$B$2="June",ROUND('Budget by Source'!E88/10,0)+R88,ROUND('Budget by Source'!E88/10,0))</f>
        <v>11381</v>
      </c>
      <c r="F88" s="22">
        <f>IF(Notes!$B$2="June",ROUND('Budget by Source'!F88/10,0)+S88,ROUND('Budget by Source'!F88/10,0))</f>
        <v>11613</v>
      </c>
      <c r="G88" s="22">
        <f>IF(Notes!$B$2="June",ROUND('Budget by Source'!G88/10,0)+T88,ROUND('Budget by Source'!G88/10,0))</f>
        <v>56112</v>
      </c>
      <c r="H88" s="22">
        <f t="shared" si="3"/>
        <v>689730</v>
      </c>
      <c r="I88" s="22">
        <f>INDEX(Data[],MATCH($A88,Data[Dist],0),MATCH(I$5,Data[#Headers],0))</f>
        <v>905460</v>
      </c>
      <c r="K88" s="69">
        <f>INDEX('Payment Total'!$A$7:$H$331,MATCH('Payment by Source'!$A88,'Payment Total'!$A$7:$A$331,0),3)-I88</f>
        <v>0</v>
      </c>
      <c r="P88" s="154">
        <f>INDEX('Budget by Source'!$A$6:$I$330,MATCH('Payment by Source'!$A88,'Budget by Source'!$A$6:$A$330,0),MATCH(P$3,'Budget by Source'!$A$5:$I$5,0))-(ROUND(INDEX('Budget by Source'!$A$6:$I$330,MATCH('Payment by Source'!$A88,'Budget by Source'!$A$6:$A$330,0),MATCH(P$3,'Budget by Source'!$A$5:$I$5,0))/10,0)*10)</f>
        <v>-1</v>
      </c>
      <c r="Q88" s="154">
        <f>INDEX('Budget by Source'!$A$6:$I$330,MATCH('Payment by Source'!$A88,'Budget by Source'!$A$6:$A$330,0),MATCH(Q$3,'Budget by Source'!$A$5:$I$5,0))-(ROUND(INDEX('Budget by Source'!$A$6:$I$330,MATCH('Payment by Source'!$A88,'Budget by Source'!$A$6:$A$330,0),MATCH(Q$3,'Budget by Source'!$A$5:$I$5,0))/10,0)*10)</f>
        <v>-3</v>
      </c>
      <c r="R88" s="154">
        <f>INDEX('Budget by Source'!$A$6:$I$330,MATCH('Payment by Source'!$A88,'Budget by Source'!$A$6:$A$330,0),MATCH(R$3,'Budget by Source'!$A$5:$I$5,0))-(ROUND(INDEX('Budget by Source'!$A$6:$I$330,MATCH('Payment by Source'!$A88,'Budget by Source'!$A$6:$A$330,0),MATCH(R$3,'Budget by Source'!$A$5:$I$5,0))/10,0)*10)</f>
        <v>4</v>
      </c>
      <c r="S88" s="154">
        <f>INDEX('Budget by Source'!$A$6:$I$330,MATCH('Payment by Source'!$A88,'Budget by Source'!$A$6:$A$330,0),MATCH(S$3,'Budget by Source'!$A$5:$I$5,0))-(ROUND(INDEX('Budget by Source'!$A$6:$I$330,MATCH('Payment by Source'!$A88,'Budget by Source'!$A$6:$A$330,0),MATCH(S$3,'Budget by Source'!$A$5:$I$5,0))/10,0)*10)</f>
        <v>-1</v>
      </c>
      <c r="T88" s="154">
        <f>INDEX('Budget by Source'!$A$6:$I$330,MATCH('Payment by Source'!$A88,'Budget by Source'!$A$6:$A$330,0),MATCH(T$3,'Budget by Source'!$A$5:$I$5,0))-(ROUND(INDEX('Budget by Source'!$A$6:$I$330,MATCH('Payment by Source'!$A88,'Budget by Source'!$A$6:$A$330,0),MATCH(T$3,'Budget by Source'!$A$5:$I$5,0))/10,0)*10)</f>
        <v>4</v>
      </c>
      <c r="U88" s="155">
        <f>INDEX('Budget by Source'!$A$6:$I$330,MATCH('Payment by Source'!$A88,'Budget by Source'!$A$6:$A$330,0),MATCH(U$3,'Budget by Source'!$A$5:$I$5,0))</f>
        <v>6897297</v>
      </c>
      <c r="V88" s="152">
        <f t="shared" si="4"/>
        <v>689730</v>
      </c>
      <c r="W88" s="152">
        <f t="shared" si="5"/>
        <v>6897300</v>
      </c>
    </row>
    <row r="89" spans="1:23" x14ac:dyDescent="0.2">
      <c r="A89" s="23" t="str">
        <f>Data!B85</f>
        <v>1675</v>
      </c>
      <c r="B89" s="21" t="str">
        <f>INDEX(Data[],MATCH($A89,Data[Dist],0),MATCH(B$5,Data[#Headers],0))</f>
        <v>Delwood</v>
      </c>
      <c r="C89" s="22">
        <f>IF(Notes!$B$2="June",ROUND('Budget by Source'!C89/10,0)+P89,ROUND('Budget by Source'!C89/10,0))</f>
        <v>4941</v>
      </c>
      <c r="D89" s="22">
        <f>IF(Notes!$B$2="June",ROUND('Budget by Source'!D89/10,0)+Q89,ROUND('Budget by Source'!D89/10,0))</f>
        <v>11785</v>
      </c>
      <c r="E89" s="22">
        <f>IF(Notes!$B$2="June",ROUND('Budget by Source'!E89/10,0)+R89,ROUND('Budget by Source'!E89/10,0))</f>
        <v>1544</v>
      </c>
      <c r="F89" s="22">
        <f>IF(Notes!$B$2="June",ROUND('Budget by Source'!F89/10,0)+S89,ROUND('Budget by Source'!F89/10,0))</f>
        <v>1012</v>
      </c>
      <c r="G89" s="22">
        <f>IF(Notes!$B$2="June",ROUND('Budget by Source'!G89/10,0)+T89,ROUND('Budget by Source'!G89/10,0))</f>
        <v>7371</v>
      </c>
      <c r="H89" s="22">
        <f t="shared" si="3"/>
        <v>111519</v>
      </c>
      <c r="I89" s="22">
        <f>INDEX(Data[],MATCH($A89,Data[Dist],0),MATCH(I$5,Data[#Headers],0))</f>
        <v>138172</v>
      </c>
      <c r="K89" s="69">
        <f>INDEX('Payment Total'!$A$7:$H$331,MATCH('Payment by Source'!$A89,'Payment Total'!$A$7:$A$331,0),3)-I89</f>
        <v>0</v>
      </c>
      <c r="P89" s="154">
        <f>INDEX('Budget by Source'!$A$6:$I$330,MATCH('Payment by Source'!$A89,'Budget by Source'!$A$6:$A$330,0),MATCH(P$3,'Budget by Source'!$A$5:$I$5,0))-(ROUND(INDEX('Budget by Source'!$A$6:$I$330,MATCH('Payment by Source'!$A89,'Budget by Source'!$A$6:$A$330,0),MATCH(P$3,'Budget by Source'!$A$5:$I$5,0))/10,0)*10)</f>
        <v>2</v>
      </c>
      <c r="Q89" s="154">
        <f>INDEX('Budget by Source'!$A$6:$I$330,MATCH('Payment by Source'!$A89,'Budget by Source'!$A$6:$A$330,0),MATCH(Q$3,'Budget by Source'!$A$5:$I$5,0))-(ROUND(INDEX('Budget by Source'!$A$6:$I$330,MATCH('Payment by Source'!$A89,'Budget by Source'!$A$6:$A$330,0),MATCH(Q$3,'Budget by Source'!$A$5:$I$5,0))/10,0)*10)</f>
        <v>2</v>
      </c>
      <c r="R89" s="154">
        <f>INDEX('Budget by Source'!$A$6:$I$330,MATCH('Payment by Source'!$A89,'Budget by Source'!$A$6:$A$330,0),MATCH(R$3,'Budget by Source'!$A$5:$I$5,0))-(ROUND(INDEX('Budget by Source'!$A$6:$I$330,MATCH('Payment by Source'!$A89,'Budget by Source'!$A$6:$A$330,0),MATCH(R$3,'Budget by Source'!$A$5:$I$5,0))/10,0)*10)</f>
        <v>4</v>
      </c>
      <c r="S89" s="154">
        <f>INDEX('Budget by Source'!$A$6:$I$330,MATCH('Payment by Source'!$A89,'Budget by Source'!$A$6:$A$330,0),MATCH(S$3,'Budget by Source'!$A$5:$I$5,0))-(ROUND(INDEX('Budget by Source'!$A$6:$I$330,MATCH('Payment by Source'!$A89,'Budget by Source'!$A$6:$A$330,0),MATCH(S$3,'Budget by Source'!$A$5:$I$5,0))/10,0)*10)</f>
        <v>2</v>
      </c>
      <c r="T89" s="154">
        <f>INDEX('Budget by Source'!$A$6:$I$330,MATCH('Payment by Source'!$A89,'Budget by Source'!$A$6:$A$330,0),MATCH(T$3,'Budget by Source'!$A$5:$I$5,0))-(ROUND(INDEX('Budget by Source'!$A$6:$I$330,MATCH('Payment by Source'!$A89,'Budget by Source'!$A$6:$A$330,0),MATCH(T$3,'Budget by Source'!$A$5:$I$5,0))/10,0)*10)</f>
        <v>-4</v>
      </c>
      <c r="U89" s="155">
        <f>INDEX('Budget by Source'!$A$6:$I$330,MATCH('Payment by Source'!$A89,'Budget by Source'!$A$6:$A$330,0),MATCH(U$3,'Budget by Source'!$A$5:$I$5,0))</f>
        <v>1115188</v>
      </c>
      <c r="V89" s="152">
        <f t="shared" si="4"/>
        <v>111519</v>
      </c>
      <c r="W89" s="152">
        <f t="shared" si="5"/>
        <v>1115190</v>
      </c>
    </row>
    <row r="90" spans="1:23" x14ac:dyDescent="0.2">
      <c r="A90" s="23" t="str">
        <f>Data!B86</f>
        <v>1701</v>
      </c>
      <c r="B90" s="21" t="str">
        <f>INDEX(Data[],MATCH($A90,Data[Dist],0),MATCH(B$5,Data[#Headers],0))</f>
        <v>Denison</v>
      </c>
      <c r="C90" s="22">
        <f>IF(Notes!$B$2="June",ROUND('Budget by Source'!C90/10,0)+P90,ROUND('Budget by Source'!C90/10,0))</f>
        <v>36479</v>
      </c>
      <c r="D90" s="22">
        <f>IF(Notes!$B$2="June",ROUND('Budget by Source'!D90/10,0)+Q90,ROUND('Budget by Source'!D90/10,0))</f>
        <v>125452</v>
      </c>
      <c r="E90" s="22">
        <f>IF(Notes!$B$2="June",ROUND('Budget by Source'!E90/10,0)+R90,ROUND('Budget by Source'!E90/10,0))</f>
        <v>18342</v>
      </c>
      <c r="F90" s="22">
        <f>IF(Notes!$B$2="June",ROUND('Budget by Source'!F90/10,0)+S90,ROUND('Budget by Source'!F90/10,0))</f>
        <v>15199</v>
      </c>
      <c r="G90" s="22">
        <f>IF(Notes!$B$2="June",ROUND('Budget by Source'!G90/10,0)+T90,ROUND('Budget by Source'!G90/10,0))</f>
        <v>74675</v>
      </c>
      <c r="H90" s="22">
        <f t="shared" si="3"/>
        <v>1478162</v>
      </c>
      <c r="I90" s="22">
        <f>INDEX(Data[],MATCH($A90,Data[Dist],0),MATCH(I$5,Data[#Headers],0))</f>
        <v>1748309</v>
      </c>
      <c r="K90" s="69">
        <f>INDEX('Payment Total'!$A$7:$H$331,MATCH('Payment by Source'!$A90,'Payment Total'!$A$7:$A$331,0),3)-I90</f>
        <v>0</v>
      </c>
      <c r="P90" s="154">
        <f>INDEX('Budget by Source'!$A$6:$I$330,MATCH('Payment by Source'!$A90,'Budget by Source'!$A$6:$A$330,0),MATCH(P$3,'Budget by Source'!$A$5:$I$5,0))-(ROUND(INDEX('Budget by Source'!$A$6:$I$330,MATCH('Payment by Source'!$A90,'Budget by Source'!$A$6:$A$330,0),MATCH(P$3,'Budget by Source'!$A$5:$I$5,0))/10,0)*10)</f>
        <v>4</v>
      </c>
      <c r="Q90" s="154">
        <f>INDEX('Budget by Source'!$A$6:$I$330,MATCH('Payment by Source'!$A90,'Budget by Source'!$A$6:$A$330,0),MATCH(Q$3,'Budget by Source'!$A$5:$I$5,0))-(ROUND(INDEX('Budget by Source'!$A$6:$I$330,MATCH('Payment by Source'!$A90,'Budget by Source'!$A$6:$A$330,0),MATCH(Q$3,'Budget by Source'!$A$5:$I$5,0))/10,0)*10)</f>
        <v>3</v>
      </c>
      <c r="R90" s="154">
        <f>INDEX('Budget by Source'!$A$6:$I$330,MATCH('Payment by Source'!$A90,'Budget by Source'!$A$6:$A$330,0),MATCH(R$3,'Budget by Source'!$A$5:$I$5,0))-(ROUND(INDEX('Budget by Source'!$A$6:$I$330,MATCH('Payment by Source'!$A90,'Budget by Source'!$A$6:$A$330,0),MATCH(R$3,'Budget by Source'!$A$5:$I$5,0))/10,0)*10)</f>
        <v>1</v>
      </c>
      <c r="S90" s="154">
        <f>INDEX('Budget by Source'!$A$6:$I$330,MATCH('Payment by Source'!$A90,'Budget by Source'!$A$6:$A$330,0),MATCH(S$3,'Budget by Source'!$A$5:$I$5,0))-(ROUND(INDEX('Budget by Source'!$A$6:$I$330,MATCH('Payment by Source'!$A90,'Budget by Source'!$A$6:$A$330,0),MATCH(S$3,'Budget by Source'!$A$5:$I$5,0))/10,0)*10)</f>
        <v>3</v>
      </c>
      <c r="T90" s="154">
        <f>INDEX('Budget by Source'!$A$6:$I$330,MATCH('Payment by Source'!$A90,'Budget by Source'!$A$6:$A$330,0),MATCH(T$3,'Budget by Source'!$A$5:$I$5,0))-(ROUND(INDEX('Budget by Source'!$A$6:$I$330,MATCH('Payment by Source'!$A90,'Budget by Source'!$A$6:$A$330,0),MATCH(T$3,'Budget by Source'!$A$5:$I$5,0))/10,0)*10)</f>
        <v>2</v>
      </c>
      <c r="U90" s="155">
        <f>INDEX('Budget by Source'!$A$6:$I$330,MATCH('Payment by Source'!$A90,'Budget by Source'!$A$6:$A$330,0),MATCH(U$3,'Budget by Source'!$A$5:$I$5,0))</f>
        <v>14781605</v>
      </c>
      <c r="V90" s="152">
        <f t="shared" si="4"/>
        <v>1478161</v>
      </c>
      <c r="W90" s="152">
        <f t="shared" si="5"/>
        <v>14781610</v>
      </c>
    </row>
    <row r="91" spans="1:23" x14ac:dyDescent="0.2">
      <c r="A91" s="23" t="str">
        <f>Data!B87</f>
        <v>1719</v>
      </c>
      <c r="B91" s="21" t="str">
        <f>INDEX(Data[],MATCH($A91,Data[Dist],0),MATCH(B$5,Data[#Headers],0))</f>
        <v>Denver</v>
      </c>
      <c r="C91" s="22">
        <f>IF(Notes!$B$2="June",ROUND('Budget by Source'!C91/10,0)+P91,ROUND('Budget by Source'!C91/10,0))</f>
        <v>21285</v>
      </c>
      <c r="D91" s="22">
        <f>IF(Notes!$B$2="June",ROUND('Budget by Source'!D91/10,0)+Q91,ROUND('Budget by Source'!D91/10,0))</f>
        <v>56833</v>
      </c>
      <c r="E91" s="22">
        <f>IF(Notes!$B$2="June",ROUND('Budget by Source'!E91/10,0)+R91,ROUND('Budget by Source'!E91/10,0))</f>
        <v>5517</v>
      </c>
      <c r="F91" s="22">
        <f>IF(Notes!$B$2="June",ROUND('Budget by Source'!F91/10,0)+S91,ROUND('Budget by Source'!F91/10,0))</f>
        <v>5517</v>
      </c>
      <c r="G91" s="22">
        <f>IF(Notes!$B$2="June",ROUND('Budget by Source'!G91/10,0)+T91,ROUND('Budget by Source'!G91/10,0))</f>
        <v>31801</v>
      </c>
      <c r="H91" s="22">
        <f t="shared" si="3"/>
        <v>523717</v>
      </c>
      <c r="I91" s="22">
        <f>INDEX(Data[],MATCH($A91,Data[Dist],0),MATCH(I$5,Data[#Headers],0))</f>
        <v>644670</v>
      </c>
      <c r="K91" s="69">
        <f>INDEX('Payment Total'!$A$7:$H$331,MATCH('Payment by Source'!$A91,'Payment Total'!$A$7:$A$331,0),3)-I91</f>
        <v>0</v>
      </c>
      <c r="P91" s="154">
        <f>INDEX('Budget by Source'!$A$6:$I$330,MATCH('Payment by Source'!$A91,'Budget by Source'!$A$6:$A$330,0),MATCH(P$3,'Budget by Source'!$A$5:$I$5,0))-(ROUND(INDEX('Budget by Source'!$A$6:$I$330,MATCH('Payment by Source'!$A91,'Budget by Source'!$A$6:$A$330,0),MATCH(P$3,'Budget by Source'!$A$5:$I$5,0))/10,0)*10)</f>
        <v>1</v>
      </c>
      <c r="Q91" s="154">
        <f>INDEX('Budget by Source'!$A$6:$I$330,MATCH('Payment by Source'!$A91,'Budget by Source'!$A$6:$A$330,0),MATCH(Q$3,'Budget by Source'!$A$5:$I$5,0))-(ROUND(INDEX('Budget by Source'!$A$6:$I$330,MATCH('Payment by Source'!$A91,'Budget by Source'!$A$6:$A$330,0),MATCH(Q$3,'Budget by Source'!$A$5:$I$5,0))/10,0)*10)</f>
        <v>2</v>
      </c>
      <c r="R91" s="154">
        <f>INDEX('Budget by Source'!$A$6:$I$330,MATCH('Payment by Source'!$A91,'Budget by Source'!$A$6:$A$330,0),MATCH(R$3,'Budget by Source'!$A$5:$I$5,0))-(ROUND(INDEX('Budget by Source'!$A$6:$I$330,MATCH('Payment by Source'!$A91,'Budget by Source'!$A$6:$A$330,0),MATCH(R$3,'Budget by Source'!$A$5:$I$5,0))/10,0)*10)</f>
        <v>4</v>
      </c>
      <c r="S91" s="154">
        <f>INDEX('Budget by Source'!$A$6:$I$330,MATCH('Payment by Source'!$A91,'Budget by Source'!$A$6:$A$330,0),MATCH(S$3,'Budget by Source'!$A$5:$I$5,0))-(ROUND(INDEX('Budget by Source'!$A$6:$I$330,MATCH('Payment by Source'!$A91,'Budget by Source'!$A$6:$A$330,0),MATCH(S$3,'Budget by Source'!$A$5:$I$5,0))/10,0)*10)</f>
        <v>4</v>
      </c>
      <c r="T91" s="154">
        <f>INDEX('Budget by Source'!$A$6:$I$330,MATCH('Payment by Source'!$A91,'Budget by Source'!$A$6:$A$330,0),MATCH(T$3,'Budget by Source'!$A$5:$I$5,0))-(ROUND(INDEX('Budget by Source'!$A$6:$I$330,MATCH('Payment by Source'!$A91,'Budget by Source'!$A$6:$A$330,0),MATCH(T$3,'Budget by Source'!$A$5:$I$5,0))/10,0)*10)</f>
        <v>-5</v>
      </c>
      <c r="U91" s="155">
        <f>INDEX('Budget by Source'!$A$6:$I$330,MATCH('Payment by Source'!$A91,'Budget by Source'!$A$6:$A$330,0),MATCH(U$3,'Budget by Source'!$A$5:$I$5,0))</f>
        <v>5237167</v>
      </c>
      <c r="V91" s="152">
        <f t="shared" si="4"/>
        <v>523717</v>
      </c>
      <c r="W91" s="152">
        <f t="shared" si="5"/>
        <v>5237170</v>
      </c>
    </row>
    <row r="92" spans="1:23" x14ac:dyDescent="0.2">
      <c r="A92" s="23" t="str">
        <f>Data!B88</f>
        <v>1737</v>
      </c>
      <c r="B92" s="21" t="str">
        <f>INDEX(Data[],MATCH($A92,Data[Dist],0),MATCH(B$5,Data[#Headers],0))</f>
        <v>Des Moines</v>
      </c>
      <c r="C92" s="22">
        <f>IF(Notes!$B$2="June",ROUND('Budget by Source'!C92/10,0)+P92,ROUND('Budget by Source'!C92/10,0))</f>
        <v>537449</v>
      </c>
      <c r="D92" s="22">
        <f>IF(Notes!$B$2="June",ROUND('Budget by Source'!D92/10,0)+Q92,ROUND('Budget by Source'!D92/10,0))</f>
        <v>2101303</v>
      </c>
      <c r="E92" s="22">
        <f>IF(Notes!$B$2="June",ROUND('Budget by Source'!E92/10,0)+R92,ROUND('Budget by Source'!E92/10,0))</f>
        <v>309247</v>
      </c>
      <c r="F92" s="22">
        <f>IF(Notes!$B$2="June",ROUND('Budget by Source'!F92/10,0)+S92,ROUND('Budget by Source'!F92/10,0))</f>
        <v>259116</v>
      </c>
      <c r="G92" s="22">
        <f>IF(Notes!$B$2="June",ROUND('Budget by Source'!G92/10,0)+T92,ROUND('Budget by Source'!G92/10,0))</f>
        <v>1134111</v>
      </c>
      <c r="H92" s="22">
        <f t="shared" si="3"/>
        <v>21921934</v>
      </c>
      <c r="I92" s="22">
        <f>INDEX(Data[],MATCH($A92,Data[Dist],0),MATCH(I$5,Data[#Headers],0))</f>
        <v>26263160</v>
      </c>
      <c r="K92" s="69">
        <f>INDEX('Payment Total'!$A$7:$H$331,MATCH('Payment by Source'!$A92,'Payment Total'!$A$7:$A$331,0),3)-I92</f>
        <v>0</v>
      </c>
      <c r="P92" s="154">
        <f>INDEX('Budget by Source'!$A$6:$I$330,MATCH('Payment by Source'!$A92,'Budget by Source'!$A$6:$A$330,0),MATCH(P$3,'Budget by Source'!$A$5:$I$5,0))-(ROUND(INDEX('Budget by Source'!$A$6:$I$330,MATCH('Payment by Source'!$A92,'Budget by Source'!$A$6:$A$330,0),MATCH(P$3,'Budget by Source'!$A$5:$I$5,0))/10,0)*10)</f>
        <v>4</v>
      </c>
      <c r="Q92" s="154">
        <f>INDEX('Budget by Source'!$A$6:$I$330,MATCH('Payment by Source'!$A92,'Budget by Source'!$A$6:$A$330,0),MATCH(Q$3,'Budget by Source'!$A$5:$I$5,0))-(ROUND(INDEX('Budget by Source'!$A$6:$I$330,MATCH('Payment by Source'!$A92,'Budget by Source'!$A$6:$A$330,0),MATCH(Q$3,'Budget by Source'!$A$5:$I$5,0))/10,0)*10)</f>
        <v>4</v>
      </c>
      <c r="R92" s="154">
        <f>INDEX('Budget by Source'!$A$6:$I$330,MATCH('Payment by Source'!$A92,'Budget by Source'!$A$6:$A$330,0),MATCH(R$3,'Budget by Source'!$A$5:$I$5,0))-(ROUND(INDEX('Budget by Source'!$A$6:$I$330,MATCH('Payment by Source'!$A92,'Budget by Source'!$A$6:$A$330,0),MATCH(R$3,'Budget by Source'!$A$5:$I$5,0))/10,0)*10)</f>
        <v>-1</v>
      </c>
      <c r="S92" s="154">
        <f>INDEX('Budget by Source'!$A$6:$I$330,MATCH('Payment by Source'!$A92,'Budget by Source'!$A$6:$A$330,0),MATCH(S$3,'Budget by Source'!$A$5:$I$5,0))-(ROUND(INDEX('Budget by Source'!$A$6:$I$330,MATCH('Payment by Source'!$A92,'Budget by Source'!$A$6:$A$330,0),MATCH(S$3,'Budget by Source'!$A$5:$I$5,0))/10,0)*10)</f>
        <v>2</v>
      </c>
      <c r="T92" s="154">
        <f>INDEX('Budget by Source'!$A$6:$I$330,MATCH('Payment by Source'!$A92,'Budget by Source'!$A$6:$A$330,0),MATCH(T$3,'Budget by Source'!$A$5:$I$5,0))-(ROUND(INDEX('Budget by Source'!$A$6:$I$330,MATCH('Payment by Source'!$A92,'Budget by Source'!$A$6:$A$330,0),MATCH(T$3,'Budget by Source'!$A$5:$I$5,0))/10,0)*10)</f>
        <v>-5</v>
      </c>
      <c r="U92" s="155">
        <f>INDEX('Budget by Source'!$A$6:$I$330,MATCH('Payment by Source'!$A92,'Budget by Source'!$A$6:$A$330,0),MATCH(U$3,'Budget by Source'!$A$5:$I$5,0))</f>
        <v>219219337</v>
      </c>
      <c r="V92" s="152">
        <f t="shared" si="4"/>
        <v>21921934</v>
      </c>
      <c r="W92" s="152">
        <f t="shared" si="5"/>
        <v>219219340</v>
      </c>
    </row>
    <row r="93" spans="1:23" x14ac:dyDescent="0.2">
      <c r="A93" s="23" t="str">
        <f>Data!B89</f>
        <v>1782</v>
      </c>
      <c r="B93" s="21" t="str">
        <f>INDEX(Data[],MATCH($A93,Data[Dist],0),MATCH(B$5,Data[#Headers],0))</f>
        <v>Diagonal</v>
      </c>
      <c r="C93" s="22">
        <f>IF(Notes!$B$2="June",ROUND('Budget by Source'!C93/10,0)+P93,ROUND('Budget by Source'!C93/10,0))</f>
        <v>2661</v>
      </c>
      <c r="D93" s="22">
        <f>IF(Notes!$B$2="June",ROUND('Budget by Source'!D93/10,0)+Q93,ROUND('Budget by Source'!D93/10,0))</f>
        <v>10280</v>
      </c>
      <c r="E93" s="22">
        <f>IF(Notes!$B$2="June",ROUND('Budget by Source'!E93/10,0)+R93,ROUND('Budget by Source'!E93/10,0))</f>
        <v>1268</v>
      </c>
      <c r="F93" s="22">
        <f>IF(Notes!$B$2="June",ROUND('Budget by Source'!F93/10,0)+S93,ROUND('Budget by Source'!F93/10,0))</f>
        <v>1152</v>
      </c>
      <c r="G93" s="22">
        <f>IF(Notes!$B$2="June",ROUND('Budget by Source'!G93/10,0)+T93,ROUND('Budget by Source'!G93/10,0))</f>
        <v>4128</v>
      </c>
      <c r="H93" s="22">
        <f t="shared" si="3"/>
        <v>69943</v>
      </c>
      <c r="I93" s="22">
        <f>INDEX(Data[],MATCH($A93,Data[Dist],0),MATCH(I$5,Data[#Headers],0))</f>
        <v>89432</v>
      </c>
      <c r="K93" s="69">
        <f>INDEX('Payment Total'!$A$7:$H$331,MATCH('Payment by Source'!$A93,'Payment Total'!$A$7:$A$331,0),3)-I93</f>
        <v>0</v>
      </c>
      <c r="P93" s="154">
        <f>INDEX('Budget by Source'!$A$6:$I$330,MATCH('Payment by Source'!$A93,'Budget by Source'!$A$6:$A$330,0),MATCH(P$3,'Budget by Source'!$A$5:$I$5,0))-(ROUND(INDEX('Budget by Source'!$A$6:$I$330,MATCH('Payment by Source'!$A93,'Budget by Source'!$A$6:$A$330,0),MATCH(P$3,'Budget by Source'!$A$5:$I$5,0))/10,0)*10)</f>
        <v>-3</v>
      </c>
      <c r="Q93" s="154">
        <f>INDEX('Budget by Source'!$A$6:$I$330,MATCH('Payment by Source'!$A93,'Budget by Source'!$A$6:$A$330,0),MATCH(Q$3,'Budget by Source'!$A$5:$I$5,0))-(ROUND(INDEX('Budget by Source'!$A$6:$I$330,MATCH('Payment by Source'!$A93,'Budget by Source'!$A$6:$A$330,0),MATCH(Q$3,'Budget by Source'!$A$5:$I$5,0))/10,0)*10)</f>
        <v>-5</v>
      </c>
      <c r="R93" s="154">
        <f>INDEX('Budget by Source'!$A$6:$I$330,MATCH('Payment by Source'!$A93,'Budget by Source'!$A$6:$A$330,0),MATCH(R$3,'Budget by Source'!$A$5:$I$5,0))-(ROUND(INDEX('Budget by Source'!$A$6:$I$330,MATCH('Payment by Source'!$A93,'Budget by Source'!$A$6:$A$330,0),MATCH(R$3,'Budget by Source'!$A$5:$I$5,0))/10,0)*10)</f>
        <v>-2</v>
      </c>
      <c r="S93" s="154">
        <f>INDEX('Budget by Source'!$A$6:$I$330,MATCH('Payment by Source'!$A93,'Budget by Source'!$A$6:$A$330,0),MATCH(S$3,'Budget by Source'!$A$5:$I$5,0))-(ROUND(INDEX('Budget by Source'!$A$6:$I$330,MATCH('Payment by Source'!$A93,'Budget by Source'!$A$6:$A$330,0),MATCH(S$3,'Budget by Source'!$A$5:$I$5,0))/10,0)*10)</f>
        <v>-1</v>
      </c>
      <c r="T93" s="154">
        <f>INDEX('Budget by Source'!$A$6:$I$330,MATCH('Payment by Source'!$A93,'Budget by Source'!$A$6:$A$330,0),MATCH(T$3,'Budget by Source'!$A$5:$I$5,0))-(ROUND(INDEX('Budget by Source'!$A$6:$I$330,MATCH('Payment by Source'!$A93,'Budget by Source'!$A$6:$A$330,0),MATCH(T$3,'Budget by Source'!$A$5:$I$5,0))/10,0)*10)</f>
        <v>-5</v>
      </c>
      <c r="U93" s="155">
        <f>INDEX('Budget by Source'!$A$6:$I$330,MATCH('Payment by Source'!$A93,'Budget by Source'!$A$6:$A$330,0),MATCH(U$3,'Budget by Source'!$A$5:$I$5,0))</f>
        <v>699450</v>
      </c>
      <c r="V93" s="152">
        <f t="shared" si="4"/>
        <v>69945</v>
      </c>
      <c r="W93" s="152">
        <f t="shared" si="5"/>
        <v>699450</v>
      </c>
    </row>
    <row r="94" spans="1:23" x14ac:dyDescent="0.2">
      <c r="A94" s="23" t="str">
        <f>Data!B90</f>
        <v>1791</v>
      </c>
      <c r="B94" s="21" t="str">
        <f>INDEX(Data[],MATCH($A94,Data[Dist],0),MATCH(B$5,Data[#Headers],0))</f>
        <v>Dike-New Hartford</v>
      </c>
      <c r="C94" s="22">
        <f>IF(Notes!$B$2="June",ROUND('Budget by Source'!C94/10,0)+P94,ROUND('Budget by Source'!C94/10,0))</f>
        <v>13303</v>
      </c>
      <c r="D94" s="22">
        <f>IF(Notes!$B$2="June",ROUND('Budget by Source'!D94/10,0)+Q94,ROUND('Budget by Source'!D94/10,0))</f>
        <v>59331</v>
      </c>
      <c r="E94" s="22">
        <f>IF(Notes!$B$2="June",ROUND('Budget by Source'!E94/10,0)+R94,ROUND('Budget by Source'!E94/10,0))</f>
        <v>6087</v>
      </c>
      <c r="F94" s="22">
        <f>IF(Notes!$B$2="June",ROUND('Budget by Source'!F94/10,0)+S94,ROUND('Budget by Source'!F94/10,0))</f>
        <v>6311</v>
      </c>
      <c r="G94" s="22">
        <f>IF(Notes!$B$2="June",ROUND('Budget by Source'!G94/10,0)+T94,ROUND('Budget by Source'!G94/10,0))</f>
        <v>32291</v>
      </c>
      <c r="H94" s="22">
        <f t="shared" si="3"/>
        <v>508930</v>
      </c>
      <c r="I94" s="22">
        <f>INDEX(Data[],MATCH($A94,Data[Dist],0),MATCH(I$5,Data[#Headers],0))</f>
        <v>626253</v>
      </c>
      <c r="K94" s="69">
        <f>INDEX('Payment Total'!$A$7:$H$331,MATCH('Payment by Source'!$A94,'Payment Total'!$A$7:$A$331,0),3)-I94</f>
        <v>0</v>
      </c>
      <c r="P94" s="154">
        <f>INDEX('Budget by Source'!$A$6:$I$330,MATCH('Payment by Source'!$A94,'Budget by Source'!$A$6:$A$330,0),MATCH(P$3,'Budget by Source'!$A$5:$I$5,0))-(ROUND(INDEX('Budget by Source'!$A$6:$I$330,MATCH('Payment by Source'!$A94,'Budget by Source'!$A$6:$A$330,0),MATCH(P$3,'Budget by Source'!$A$5:$I$5,0))/10,0)*10)</f>
        <v>3</v>
      </c>
      <c r="Q94" s="154">
        <f>INDEX('Budget by Source'!$A$6:$I$330,MATCH('Payment by Source'!$A94,'Budget by Source'!$A$6:$A$330,0),MATCH(Q$3,'Budget by Source'!$A$5:$I$5,0))-(ROUND(INDEX('Budget by Source'!$A$6:$I$330,MATCH('Payment by Source'!$A94,'Budget by Source'!$A$6:$A$330,0),MATCH(Q$3,'Budget by Source'!$A$5:$I$5,0))/10,0)*10)</f>
        <v>0</v>
      </c>
      <c r="R94" s="154">
        <f>INDEX('Budget by Source'!$A$6:$I$330,MATCH('Payment by Source'!$A94,'Budget by Source'!$A$6:$A$330,0),MATCH(R$3,'Budget by Source'!$A$5:$I$5,0))-(ROUND(INDEX('Budget by Source'!$A$6:$I$330,MATCH('Payment by Source'!$A94,'Budget by Source'!$A$6:$A$330,0),MATCH(R$3,'Budget by Source'!$A$5:$I$5,0))/10,0)*10)</f>
        <v>0</v>
      </c>
      <c r="S94" s="154">
        <f>INDEX('Budget by Source'!$A$6:$I$330,MATCH('Payment by Source'!$A94,'Budget by Source'!$A$6:$A$330,0),MATCH(S$3,'Budget by Source'!$A$5:$I$5,0))-(ROUND(INDEX('Budget by Source'!$A$6:$I$330,MATCH('Payment by Source'!$A94,'Budget by Source'!$A$6:$A$330,0),MATCH(S$3,'Budget by Source'!$A$5:$I$5,0))/10,0)*10)</f>
        <v>3</v>
      </c>
      <c r="T94" s="154">
        <f>INDEX('Budget by Source'!$A$6:$I$330,MATCH('Payment by Source'!$A94,'Budget by Source'!$A$6:$A$330,0),MATCH(T$3,'Budget by Source'!$A$5:$I$5,0))-(ROUND(INDEX('Budget by Source'!$A$6:$I$330,MATCH('Payment by Source'!$A94,'Budget by Source'!$A$6:$A$330,0),MATCH(T$3,'Budget by Source'!$A$5:$I$5,0))/10,0)*10)</f>
        <v>-4</v>
      </c>
      <c r="U94" s="155">
        <f>INDEX('Budget by Source'!$A$6:$I$330,MATCH('Payment by Source'!$A94,'Budget by Source'!$A$6:$A$330,0),MATCH(U$3,'Budget by Source'!$A$5:$I$5,0))</f>
        <v>5089296</v>
      </c>
      <c r="V94" s="152">
        <f t="shared" si="4"/>
        <v>508930</v>
      </c>
      <c r="W94" s="152">
        <f t="shared" si="5"/>
        <v>5089300</v>
      </c>
    </row>
    <row r="95" spans="1:23" x14ac:dyDescent="0.2">
      <c r="A95" s="23" t="str">
        <f>Data!B91</f>
        <v>1863</v>
      </c>
      <c r="B95" s="21" t="str">
        <f>INDEX(Data[],MATCH($A95,Data[Dist],0),MATCH(B$5,Data[#Headers],0))</f>
        <v>Dubuque</v>
      </c>
      <c r="C95" s="22">
        <f>IF(Notes!$B$2="June",ROUND('Budget by Source'!C95/10,0)+P95,ROUND('Budget by Source'!C95/10,0))</f>
        <v>252770</v>
      </c>
      <c r="D95" s="22">
        <f>IF(Notes!$B$2="June",ROUND('Budget by Source'!D95/10,0)+Q95,ROUND('Budget by Source'!D95/10,0))</f>
        <v>678924</v>
      </c>
      <c r="E95" s="22">
        <f>IF(Notes!$B$2="June",ROUND('Budget by Source'!E95/10,0)+R95,ROUND('Budget by Source'!E95/10,0))</f>
        <v>81560</v>
      </c>
      <c r="F95" s="22">
        <f>IF(Notes!$B$2="June",ROUND('Budget by Source'!F95/10,0)+S95,ROUND('Budget by Source'!F95/10,0))</f>
        <v>80140</v>
      </c>
      <c r="G95" s="22">
        <f>IF(Notes!$B$2="June",ROUND('Budget by Source'!G95/10,0)+T95,ROUND('Budget by Source'!G95/10,0))</f>
        <v>370892</v>
      </c>
      <c r="H95" s="22">
        <f t="shared" si="3"/>
        <v>6073915</v>
      </c>
      <c r="I95" s="22">
        <f>INDEX(Data[],MATCH($A95,Data[Dist],0),MATCH(I$5,Data[#Headers],0))</f>
        <v>7538201</v>
      </c>
      <c r="K95" s="69">
        <f>INDEX('Payment Total'!$A$7:$H$331,MATCH('Payment by Source'!$A95,'Payment Total'!$A$7:$A$331,0),3)-I95</f>
        <v>0</v>
      </c>
      <c r="P95" s="154">
        <f>INDEX('Budget by Source'!$A$6:$I$330,MATCH('Payment by Source'!$A95,'Budget by Source'!$A$6:$A$330,0),MATCH(P$3,'Budget by Source'!$A$5:$I$5,0))-(ROUND(INDEX('Budget by Source'!$A$6:$I$330,MATCH('Payment by Source'!$A95,'Budget by Source'!$A$6:$A$330,0),MATCH(P$3,'Budget by Source'!$A$5:$I$5,0))/10,0)*10)</f>
        <v>2</v>
      </c>
      <c r="Q95" s="154">
        <f>INDEX('Budget by Source'!$A$6:$I$330,MATCH('Payment by Source'!$A95,'Budget by Source'!$A$6:$A$330,0),MATCH(Q$3,'Budget by Source'!$A$5:$I$5,0))-(ROUND(INDEX('Budget by Source'!$A$6:$I$330,MATCH('Payment by Source'!$A95,'Budget by Source'!$A$6:$A$330,0),MATCH(Q$3,'Budget by Source'!$A$5:$I$5,0))/10,0)*10)</f>
        <v>2</v>
      </c>
      <c r="R95" s="154">
        <f>INDEX('Budget by Source'!$A$6:$I$330,MATCH('Payment by Source'!$A95,'Budget by Source'!$A$6:$A$330,0),MATCH(R$3,'Budget by Source'!$A$5:$I$5,0))-(ROUND(INDEX('Budget by Source'!$A$6:$I$330,MATCH('Payment by Source'!$A95,'Budget by Source'!$A$6:$A$330,0),MATCH(R$3,'Budget by Source'!$A$5:$I$5,0))/10,0)*10)</f>
        <v>-5</v>
      </c>
      <c r="S95" s="154">
        <f>INDEX('Budget by Source'!$A$6:$I$330,MATCH('Payment by Source'!$A95,'Budget by Source'!$A$6:$A$330,0),MATCH(S$3,'Budget by Source'!$A$5:$I$5,0))-(ROUND(INDEX('Budget by Source'!$A$6:$I$330,MATCH('Payment by Source'!$A95,'Budget by Source'!$A$6:$A$330,0),MATCH(S$3,'Budget by Source'!$A$5:$I$5,0))/10,0)*10)</f>
        <v>4</v>
      </c>
      <c r="T95" s="154">
        <f>INDEX('Budget by Source'!$A$6:$I$330,MATCH('Payment by Source'!$A95,'Budget by Source'!$A$6:$A$330,0),MATCH(T$3,'Budget by Source'!$A$5:$I$5,0))-(ROUND(INDEX('Budget by Source'!$A$6:$I$330,MATCH('Payment by Source'!$A95,'Budget by Source'!$A$6:$A$330,0),MATCH(T$3,'Budget by Source'!$A$5:$I$5,0))/10,0)*10)</f>
        <v>3</v>
      </c>
      <c r="U95" s="155">
        <f>INDEX('Budget by Source'!$A$6:$I$330,MATCH('Payment by Source'!$A95,'Budget by Source'!$A$6:$A$330,0),MATCH(U$3,'Budget by Source'!$A$5:$I$5,0))</f>
        <v>60739146</v>
      </c>
      <c r="V95" s="152">
        <f t="shared" si="4"/>
        <v>6073915</v>
      </c>
      <c r="W95" s="152">
        <f t="shared" si="5"/>
        <v>60739150</v>
      </c>
    </row>
    <row r="96" spans="1:23" x14ac:dyDescent="0.2">
      <c r="A96" s="23" t="str">
        <f>Data!B92</f>
        <v>1908</v>
      </c>
      <c r="B96" s="21" t="str">
        <f>INDEX(Data[],MATCH($A96,Data[Dist],0),MATCH(B$5,Data[#Headers],0))</f>
        <v>Dunkerton</v>
      </c>
      <c r="C96" s="22">
        <f>IF(Notes!$B$2="June",ROUND('Budget by Source'!C96/10,0)+P96,ROUND('Budget by Source'!C96/10,0))</f>
        <v>6842</v>
      </c>
      <c r="D96" s="22">
        <f>IF(Notes!$B$2="June",ROUND('Budget by Source'!D96/10,0)+Q96,ROUND('Budget by Source'!D96/10,0))</f>
        <v>25346</v>
      </c>
      <c r="E96" s="22">
        <f>IF(Notes!$B$2="June",ROUND('Budget by Source'!E96/10,0)+R96,ROUND('Budget by Source'!E96/10,0))</f>
        <v>2866</v>
      </c>
      <c r="F96" s="22">
        <f>IF(Notes!$B$2="June",ROUND('Budget by Source'!F96/10,0)+S96,ROUND('Budget by Source'!F96/10,0))</f>
        <v>2662</v>
      </c>
      <c r="G96" s="22">
        <f>IF(Notes!$B$2="June",ROUND('Budget by Source'!G96/10,0)+T96,ROUND('Budget by Source'!G96/10,0))</f>
        <v>13636</v>
      </c>
      <c r="H96" s="22">
        <f t="shared" si="3"/>
        <v>203315</v>
      </c>
      <c r="I96" s="22">
        <f>INDEX(Data[],MATCH($A96,Data[Dist],0),MATCH(I$5,Data[#Headers],0))</f>
        <v>254667</v>
      </c>
      <c r="K96" s="69">
        <f>INDEX('Payment Total'!$A$7:$H$331,MATCH('Payment by Source'!$A96,'Payment Total'!$A$7:$A$331,0),3)-I96</f>
        <v>0</v>
      </c>
      <c r="P96" s="154">
        <f>INDEX('Budget by Source'!$A$6:$I$330,MATCH('Payment by Source'!$A96,'Budget by Source'!$A$6:$A$330,0),MATCH(P$3,'Budget by Source'!$A$5:$I$5,0))-(ROUND(INDEX('Budget by Source'!$A$6:$I$330,MATCH('Payment by Source'!$A96,'Budget by Source'!$A$6:$A$330,0),MATCH(P$3,'Budget by Source'!$A$5:$I$5,0))/10,0)*10)</f>
        <v>-4</v>
      </c>
      <c r="Q96" s="154">
        <f>INDEX('Budget by Source'!$A$6:$I$330,MATCH('Payment by Source'!$A96,'Budget by Source'!$A$6:$A$330,0),MATCH(Q$3,'Budget by Source'!$A$5:$I$5,0))-(ROUND(INDEX('Budget by Source'!$A$6:$I$330,MATCH('Payment by Source'!$A96,'Budget by Source'!$A$6:$A$330,0),MATCH(Q$3,'Budget by Source'!$A$5:$I$5,0))/10,0)*10)</f>
        <v>2</v>
      </c>
      <c r="R96" s="154">
        <f>INDEX('Budget by Source'!$A$6:$I$330,MATCH('Payment by Source'!$A96,'Budget by Source'!$A$6:$A$330,0),MATCH(R$3,'Budget by Source'!$A$5:$I$5,0))-(ROUND(INDEX('Budget by Source'!$A$6:$I$330,MATCH('Payment by Source'!$A96,'Budget by Source'!$A$6:$A$330,0),MATCH(R$3,'Budget by Source'!$A$5:$I$5,0))/10,0)*10)</f>
        <v>-1</v>
      </c>
      <c r="S96" s="154">
        <f>INDEX('Budget by Source'!$A$6:$I$330,MATCH('Payment by Source'!$A96,'Budget by Source'!$A$6:$A$330,0),MATCH(S$3,'Budget by Source'!$A$5:$I$5,0))-(ROUND(INDEX('Budget by Source'!$A$6:$I$330,MATCH('Payment by Source'!$A96,'Budget by Source'!$A$6:$A$330,0),MATCH(S$3,'Budget by Source'!$A$5:$I$5,0))/10,0)*10)</f>
        <v>4</v>
      </c>
      <c r="T96" s="154">
        <f>INDEX('Budget by Source'!$A$6:$I$330,MATCH('Payment by Source'!$A96,'Budget by Source'!$A$6:$A$330,0),MATCH(T$3,'Budget by Source'!$A$5:$I$5,0))-(ROUND(INDEX('Budget by Source'!$A$6:$I$330,MATCH('Payment by Source'!$A96,'Budget by Source'!$A$6:$A$330,0),MATCH(T$3,'Budget by Source'!$A$5:$I$5,0))/10,0)*10)</f>
        <v>-2</v>
      </c>
      <c r="U96" s="155">
        <f>INDEX('Budget by Source'!$A$6:$I$330,MATCH('Payment by Source'!$A96,'Budget by Source'!$A$6:$A$330,0),MATCH(U$3,'Budget by Source'!$A$5:$I$5,0))</f>
        <v>2033146</v>
      </c>
      <c r="V96" s="152">
        <f t="shared" si="4"/>
        <v>203315</v>
      </c>
      <c r="W96" s="152">
        <f t="shared" si="5"/>
        <v>2033150</v>
      </c>
    </row>
    <row r="97" spans="1:23" x14ac:dyDescent="0.2">
      <c r="A97" s="23" t="str">
        <f>Data!B93</f>
        <v>1917</v>
      </c>
      <c r="B97" s="21" t="str">
        <f>INDEX(Data[],MATCH($A97,Data[Dist],0),MATCH(B$5,Data[#Headers],0))</f>
        <v>Boyer Valley</v>
      </c>
      <c r="C97" s="22">
        <f>IF(Notes!$B$2="June",ROUND('Budget by Source'!C97/10,0)+P97,ROUND('Budget by Source'!C97/10,0))</f>
        <v>11023</v>
      </c>
      <c r="D97" s="22">
        <f>IF(Notes!$B$2="June",ROUND('Budget by Source'!D97/10,0)+Q97,ROUND('Budget by Source'!D97/10,0))</f>
        <v>28098</v>
      </c>
      <c r="E97" s="22">
        <f>IF(Notes!$B$2="June",ROUND('Budget by Source'!E97/10,0)+R97,ROUND('Budget by Source'!E97/10,0))</f>
        <v>3213</v>
      </c>
      <c r="F97" s="22">
        <f>IF(Notes!$B$2="June",ROUND('Budget by Source'!F97/10,0)+S97,ROUND('Budget by Source'!F97/10,0))</f>
        <v>3350</v>
      </c>
      <c r="G97" s="22">
        <f>IF(Notes!$B$2="June",ROUND('Budget by Source'!G97/10,0)+T97,ROUND('Budget by Source'!G97/10,0))</f>
        <v>14194</v>
      </c>
      <c r="H97" s="22">
        <f t="shared" si="3"/>
        <v>150314</v>
      </c>
      <c r="I97" s="22">
        <f>INDEX(Data[],MATCH($A97,Data[Dist],0),MATCH(I$5,Data[#Headers],0))</f>
        <v>210192</v>
      </c>
      <c r="K97" s="69">
        <f>INDEX('Payment Total'!$A$7:$H$331,MATCH('Payment by Source'!$A97,'Payment Total'!$A$7:$A$331,0),3)-I97</f>
        <v>0</v>
      </c>
      <c r="P97" s="154">
        <f>INDEX('Budget by Source'!$A$6:$I$330,MATCH('Payment by Source'!$A97,'Budget by Source'!$A$6:$A$330,0),MATCH(P$3,'Budget by Source'!$A$5:$I$5,0))-(ROUND(INDEX('Budget by Source'!$A$6:$I$330,MATCH('Payment by Source'!$A97,'Budget by Source'!$A$6:$A$330,0),MATCH(P$3,'Budget by Source'!$A$5:$I$5,0))/10,0)*10)</f>
        <v>-3</v>
      </c>
      <c r="Q97" s="154">
        <f>INDEX('Budget by Source'!$A$6:$I$330,MATCH('Payment by Source'!$A97,'Budget by Source'!$A$6:$A$330,0),MATCH(Q$3,'Budget by Source'!$A$5:$I$5,0))-(ROUND(INDEX('Budget by Source'!$A$6:$I$330,MATCH('Payment by Source'!$A97,'Budget by Source'!$A$6:$A$330,0),MATCH(Q$3,'Budget by Source'!$A$5:$I$5,0))/10,0)*10)</f>
        <v>-1</v>
      </c>
      <c r="R97" s="154">
        <f>INDEX('Budget by Source'!$A$6:$I$330,MATCH('Payment by Source'!$A97,'Budget by Source'!$A$6:$A$330,0),MATCH(R$3,'Budget by Source'!$A$5:$I$5,0))-(ROUND(INDEX('Budget by Source'!$A$6:$I$330,MATCH('Payment by Source'!$A97,'Budget by Source'!$A$6:$A$330,0),MATCH(R$3,'Budget by Source'!$A$5:$I$5,0))/10,0)*10)</f>
        <v>-5</v>
      </c>
      <c r="S97" s="154">
        <f>INDEX('Budget by Source'!$A$6:$I$330,MATCH('Payment by Source'!$A97,'Budget by Source'!$A$6:$A$330,0),MATCH(S$3,'Budget by Source'!$A$5:$I$5,0))-(ROUND(INDEX('Budget by Source'!$A$6:$I$330,MATCH('Payment by Source'!$A97,'Budget by Source'!$A$6:$A$330,0),MATCH(S$3,'Budget by Source'!$A$5:$I$5,0))/10,0)*10)</f>
        <v>1</v>
      </c>
      <c r="T97" s="154">
        <f>INDEX('Budget by Source'!$A$6:$I$330,MATCH('Payment by Source'!$A97,'Budget by Source'!$A$6:$A$330,0),MATCH(T$3,'Budget by Source'!$A$5:$I$5,0))-(ROUND(INDEX('Budget by Source'!$A$6:$I$330,MATCH('Payment by Source'!$A97,'Budget by Source'!$A$6:$A$330,0),MATCH(T$3,'Budget by Source'!$A$5:$I$5,0))/10,0)*10)</f>
        <v>-1</v>
      </c>
      <c r="U97" s="155">
        <f>INDEX('Budget by Source'!$A$6:$I$330,MATCH('Payment by Source'!$A97,'Budget by Source'!$A$6:$A$330,0),MATCH(U$3,'Budget by Source'!$A$5:$I$5,0))</f>
        <v>1503149</v>
      </c>
      <c r="V97" s="152">
        <f t="shared" si="4"/>
        <v>150315</v>
      </c>
      <c r="W97" s="152">
        <f t="shared" si="5"/>
        <v>1503150</v>
      </c>
    </row>
    <row r="98" spans="1:23" x14ac:dyDescent="0.2">
      <c r="A98" s="23" t="str">
        <f>Data!B94</f>
        <v>1926</v>
      </c>
      <c r="B98" s="21" t="str">
        <f>INDEX(Data[],MATCH($A98,Data[Dist],0),MATCH(B$5,Data[#Headers],0))</f>
        <v>Durant</v>
      </c>
      <c r="C98" s="22">
        <f>IF(Notes!$B$2="June",ROUND('Budget by Source'!C98/10,0)+P98,ROUND('Budget by Source'!C98/10,0))</f>
        <v>13683</v>
      </c>
      <c r="D98" s="22">
        <f>IF(Notes!$B$2="June",ROUND('Budget by Source'!D98/10,0)+Q98,ROUND('Budget by Source'!D98/10,0))</f>
        <v>39220</v>
      </c>
      <c r="E98" s="22">
        <f>IF(Notes!$B$2="June",ROUND('Budget by Source'!E98/10,0)+R98,ROUND('Budget by Source'!E98/10,0))</f>
        <v>3670</v>
      </c>
      <c r="F98" s="22">
        <f>IF(Notes!$B$2="June",ROUND('Budget by Source'!F98/10,0)+S98,ROUND('Budget by Source'!F98/10,0))</f>
        <v>4438</v>
      </c>
      <c r="G98" s="22">
        <f>IF(Notes!$B$2="June",ROUND('Budget by Source'!G98/10,0)+T98,ROUND('Budget by Source'!G98/10,0))</f>
        <v>18999</v>
      </c>
      <c r="H98" s="22">
        <f t="shared" si="3"/>
        <v>247462</v>
      </c>
      <c r="I98" s="22">
        <f>INDEX(Data[],MATCH($A98,Data[Dist],0),MATCH(I$5,Data[#Headers],0))</f>
        <v>327472</v>
      </c>
      <c r="K98" s="69">
        <f>INDEX('Payment Total'!$A$7:$H$331,MATCH('Payment by Source'!$A98,'Payment Total'!$A$7:$A$331,0),3)-I98</f>
        <v>0</v>
      </c>
      <c r="P98" s="154">
        <f>INDEX('Budget by Source'!$A$6:$I$330,MATCH('Payment by Source'!$A98,'Budget by Source'!$A$6:$A$330,0),MATCH(P$3,'Budget by Source'!$A$5:$I$5,0))-(ROUND(INDEX('Budget by Source'!$A$6:$I$330,MATCH('Payment by Source'!$A98,'Budget by Source'!$A$6:$A$330,0),MATCH(P$3,'Budget by Source'!$A$5:$I$5,0))/10,0)*10)</f>
        <v>3</v>
      </c>
      <c r="Q98" s="154">
        <f>INDEX('Budget by Source'!$A$6:$I$330,MATCH('Payment by Source'!$A98,'Budget by Source'!$A$6:$A$330,0),MATCH(Q$3,'Budget by Source'!$A$5:$I$5,0))-(ROUND(INDEX('Budget by Source'!$A$6:$I$330,MATCH('Payment by Source'!$A98,'Budget by Source'!$A$6:$A$330,0),MATCH(Q$3,'Budget by Source'!$A$5:$I$5,0))/10,0)*10)</f>
        <v>-3</v>
      </c>
      <c r="R98" s="154">
        <f>INDEX('Budget by Source'!$A$6:$I$330,MATCH('Payment by Source'!$A98,'Budget by Source'!$A$6:$A$330,0),MATCH(R$3,'Budget by Source'!$A$5:$I$5,0))-(ROUND(INDEX('Budget by Source'!$A$6:$I$330,MATCH('Payment by Source'!$A98,'Budget by Source'!$A$6:$A$330,0),MATCH(R$3,'Budget by Source'!$A$5:$I$5,0))/10,0)*10)</f>
        <v>3</v>
      </c>
      <c r="S98" s="154">
        <f>INDEX('Budget by Source'!$A$6:$I$330,MATCH('Payment by Source'!$A98,'Budget by Source'!$A$6:$A$330,0),MATCH(S$3,'Budget by Source'!$A$5:$I$5,0))-(ROUND(INDEX('Budget by Source'!$A$6:$I$330,MATCH('Payment by Source'!$A98,'Budget by Source'!$A$6:$A$330,0),MATCH(S$3,'Budget by Source'!$A$5:$I$5,0))/10,0)*10)</f>
        <v>1</v>
      </c>
      <c r="T98" s="154">
        <f>INDEX('Budget by Source'!$A$6:$I$330,MATCH('Payment by Source'!$A98,'Budget by Source'!$A$6:$A$330,0),MATCH(T$3,'Budget by Source'!$A$5:$I$5,0))-(ROUND(INDEX('Budget by Source'!$A$6:$I$330,MATCH('Payment by Source'!$A98,'Budget by Source'!$A$6:$A$330,0),MATCH(T$3,'Budget by Source'!$A$5:$I$5,0))/10,0)*10)</f>
        <v>2</v>
      </c>
      <c r="U98" s="155">
        <f>INDEX('Budget by Source'!$A$6:$I$330,MATCH('Payment by Source'!$A98,'Budget by Source'!$A$6:$A$330,0),MATCH(U$3,'Budget by Source'!$A$5:$I$5,0))</f>
        <v>2474612</v>
      </c>
      <c r="V98" s="152">
        <f t="shared" si="4"/>
        <v>247461</v>
      </c>
      <c r="W98" s="152">
        <f t="shared" si="5"/>
        <v>2474610</v>
      </c>
    </row>
    <row r="99" spans="1:23" x14ac:dyDescent="0.2">
      <c r="A99" s="23" t="str">
        <f>Data!B95</f>
        <v>1935</v>
      </c>
      <c r="B99" s="21" t="str">
        <f>INDEX(Data[],MATCH($A99,Data[Dist],0),MATCH(B$5,Data[#Headers],0))</f>
        <v>Union</v>
      </c>
      <c r="C99" s="22">
        <f>IF(Notes!$B$2="June",ROUND('Budget by Source'!C99/10,0)+P99,ROUND('Budget by Source'!C99/10,0))</f>
        <v>17104</v>
      </c>
      <c r="D99" s="22">
        <f>IF(Notes!$B$2="June",ROUND('Budget by Source'!D99/10,0)+Q99,ROUND('Budget by Source'!D99/10,0))</f>
        <v>65004</v>
      </c>
      <c r="E99" s="22">
        <f>IF(Notes!$B$2="June",ROUND('Budget by Source'!E99/10,0)+R99,ROUND('Budget by Source'!E99/10,0))</f>
        <v>7001</v>
      </c>
      <c r="F99" s="22">
        <f>IF(Notes!$B$2="June",ROUND('Budget by Source'!F99/10,0)+S99,ROUND('Budget by Source'!F99/10,0))</f>
        <v>5867</v>
      </c>
      <c r="G99" s="22">
        <f>IF(Notes!$B$2="June",ROUND('Budget by Source'!G99/10,0)+T99,ROUND('Budget by Source'!G99/10,0))</f>
        <v>35582</v>
      </c>
      <c r="H99" s="22">
        <f t="shared" si="3"/>
        <v>516481</v>
      </c>
      <c r="I99" s="22">
        <f>INDEX(Data[],MATCH($A99,Data[Dist],0),MATCH(I$5,Data[#Headers],0))</f>
        <v>647039</v>
      </c>
      <c r="K99" s="69">
        <f>INDEX('Payment Total'!$A$7:$H$331,MATCH('Payment by Source'!$A99,'Payment Total'!$A$7:$A$331,0),3)-I99</f>
        <v>0</v>
      </c>
      <c r="P99" s="154">
        <f>INDEX('Budget by Source'!$A$6:$I$330,MATCH('Payment by Source'!$A99,'Budget by Source'!$A$6:$A$330,0),MATCH(P$3,'Budget by Source'!$A$5:$I$5,0))-(ROUND(INDEX('Budget by Source'!$A$6:$I$330,MATCH('Payment by Source'!$A99,'Budget by Source'!$A$6:$A$330,0),MATCH(P$3,'Budget by Source'!$A$5:$I$5,0))/10,0)*10)</f>
        <v>2</v>
      </c>
      <c r="Q99" s="154">
        <f>INDEX('Budget by Source'!$A$6:$I$330,MATCH('Payment by Source'!$A99,'Budget by Source'!$A$6:$A$330,0),MATCH(Q$3,'Budget by Source'!$A$5:$I$5,0))-(ROUND(INDEX('Budget by Source'!$A$6:$I$330,MATCH('Payment by Source'!$A99,'Budget by Source'!$A$6:$A$330,0),MATCH(Q$3,'Budget by Source'!$A$5:$I$5,0))/10,0)*10)</f>
        <v>2</v>
      </c>
      <c r="R99" s="154">
        <f>INDEX('Budget by Source'!$A$6:$I$330,MATCH('Payment by Source'!$A99,'Budget by Source'!$A$6:$A$330,0),MATCH(R$3,'Budget by Source'!$A$5:$I$5,0))-(ROUND(INDEX('Budget by Source'!$A$6:$I$330,MATCH('Payment by Source'!$A99,'Budget by Source'!$A$6:$A$330,0),MATCH(R$3,'Budget by Source'!$A$5:$I$5,0))/10,0)*10)</f>
        <v>-2</v>
      </c>
      <c r="S99" s="154">
        <f>INDEX('Budget by Source'!$A$6:$I$330,MATCH('Payment by Source'!$A99,'Budget by Source'!$A$6:$A$330,0),MATCH(S$3,'Budget by Source'!$A$5:$I$5,0))-(ROUND(INDEX('Budget by Source'!$A$6:$I$330,MATCH('Payment by Source'!$A99,'Budget by Source'!$A$6:$A$330,0),MATCH(S$3,'Budget by Source'!$A$5:$I$5,0))/10,0)*10)</f>
        <v>3</v>
      </c>
      <c r="T99" s="154">
        <f>INDEX('Budget by Source'!$A$6:$I$330,MATCH('Payment by Source'!$A99,'Budget by Source'!$A$6:$A$330,0),MATCH(T$3,'Budget by Source'!$A$5:$I$5,0))-(ROUND(INDEX('Budget by Source'!$A$6:$I$330,MATCH('Payment by Source'!$A99,'Budget by Source'!$A$6:$A$330,0),MATCH(T$3,'Budget by Source'!$A$5:$I$5,0))/10,0)*10)</f>
        <v>-4</v>
      </c>
      <c r="U99" s="155">
        <f>INDEX('Budget by Source'!$A$6:$I$330,MATCH('Payment by Source'!$A99,'Budget by Source'!$A$6:$A$330,0),MATCH(U$3,'Budget by Source'!$A$5:$I$5,0))</f>
        <v>5164809</v>
      </c>
      <c r="V99" s="152">
        <f t="shared" si="4"/>
        <v>516481</v>
      </c>
      <c r="W99" s="152">
        <f t="shared" si="5"/>
        <v>5164810</v>
      </c>
    </row>
    <row r="100" spans="1:23" x14ac:dyDescent="0.2">
      <c r="A100" s="23" t="str">
        <f>Data!B96</f>
        <v>1944</v>
      </c>
      <c r="B100" s="21" t="str">
        <f>INDEX(Data[],MATCH($A100,Data[Dist],0),MATCH(B$5,Data[#Headers],0))</f>
        <v>Eagle Grove</v>
      </c>
      <c r="C100" s="22">
        <f>IF(Notes!$B$2="June",ROUND('Budget by Source'!C100/10,0)+P100,ROUND('Budget by Source'!C100/10,0))</f>
        <v>19005</v>
      </c>
      <c r="D100" s="22">
        <f>IF(Notes!$B$2="June",ROUND('Budget by Source'!D100/10,0)+Q100,ROUND('Budget by Source'!D100/10,0))</f>
        <v>63740</v>
      </c>
      <c r="E100" s="22">
        <f>IF(Notes!$B$2="June",ROUND('Budget by Source'!E100/10,0)+R100,ROUND('Budget by Source'!E100/10,0))</f>
        <v>7861</v>
      </c>
      <c r="F100" s="22">
        <f>IF(Notes!$B$2="June",ROUND('Budget by Source'!F100/10,0)+S100,ROUND('Budget by Source'!F100/10,0))</f>
        <v>7005</v>
      </c>
      <c r="G100" s="22">
        <f>IF(Notes!$B$2="June",ROUND('Budget by Source'!G100/10,0)+T100,ROUND('Budget by Source'!G100/10,0))</f>
        <v>35084</v>
      </c>
      <c r="H100" s="22">
        <f t="shared" si="3"/>
        <v>615429</v>
      </c>
      <c r="I100" s="22">
        <f>INDEX(Data[],MATCH($A100,Data[Dist],0),MATCH(I$5,Data[#Headers],0))</f>
        <v>748124</v>
      </c>
      <c r="K100" s="69">
        <f>INDEX('Payment Total'!$A$7:$H$331,MATCH('Payment by Source'!$A100,'Payment Total'!$A$7:$A$331,0),3)-I100</f>
        <v>0</v>
      </c>
      <c r="P100" s="154">
        <f>INDEX('Budget by Source'!$A$6:$I$330,MATCH('Payment by Source'!$A100,'Budget by Source'!$A$6:$A$330,0),MATCH(P$3,'Budget by Source'!$A$5:$I$5,0))-(ROUND(INDEX('Budget by Source'!$A$6:$I$330,MATCH('Payment by Source'!$A100,'Budget by Source'!$A$6:$A$330,0),MATCH(P$3,'Budget by Source'!$A$5:$I$5,0))/10,0)*10)</f>
        <v>-4</v>
      </c>
      <c r="Q100" s="154">
        <f>INDEX('Budget by Source'!$A$6:$I$330,MATCH('Payment by Source'!$A100,'Budget by Source'!$A$6:$A$330,0),MATCH(Q$3,'Budget by Source'!$A$5:$I$5,0))-(ROUND(INDEX('Budget by Source'!$A$6:$I$330,MATCH('Payment by Source'!$A100,'Budget by Source'!$A$6:$A$330,0),MATCH(Q$3,'Budget by Source'!$A$5:$I$5,0))/10,0)*10)</f>
        <v>2</v>
      </c>
      <c r="R100" s="154">
        <f>INDEX('Budget by Source'!$A$6:$I$330,MATCH('Payment by Source'!$A100,'Budget by Source'!$A$6:$A$330,0),MATCH(R$3,'Budget by Source'!$A$5:$I$5,0))-(ROUND(INDEX('Budget by Source'!$A$6:$I$330,MATCH('Payment by Source'!$A100,'Budget by Source'!$A$6:$A$330,0),MATCH(R$3,'Budget by Source'!$A$5:$I$5,0))/10,0)*10)</f>
        <v>-3</v>
      </c>
      <c r="S100" s="154">
        <f>INDEX('Budget by Source'!$A$6:$I$330,MATCH('Payment by Source'!$A100,'Budget by Source'!$A$6:$A$330,0),MATCH(S$3,'Budget by Source'!$A$5:$I$5,0))-(ROUND(INDEX('Budget by Source'!$A$6:$I$330,MATCH('Payment by Source'!$A100,'Budget by Source'!$A$6:$A$330,0),MATCH(S$3,'Budget by Source'!$A$5:$I$5,0))/10,0)*10)</f>
        <v>-2</v>
      </c>
      <c r="T100" s="154">
        <f>INDEX('Budget by Source'!$A$6:$I$330,MATCH('Payment by Source'!$A100,'Budget by Source'!$A$6:$A$330,0),MATCH(T$3,'Budget by Source'!$A$5:$I$5,0))-(ROUND(INDEX('Budget by Source'!$A$6:$I$330,MATCH('Payment by Source'!$A100,'Budget by Source'!$A$6:$A$330,0),MATCH(T$3,'Budget by Source'!$A$5:$I$5,0))/10,0)*10)</f>
        <v>1</v>
      </c>
      <c r="U100" s="155">
        <f>INDEX('Budget by Source'!$A$6:$I$330,MATCH('Payment by Source'!$A100,'Budget by Source'!$A$6:$A$330,0),MATCH(U$3,'Budget by Source'!$A$5:$I$5,0))</f>
        <v>6154293</v>
      </c>
      <c r="V100" s="152">
        <f t="shared" si="4"/>
        <v>615429</v>
      </c>
      <c r="W100" s="152">
        <f t="shared" si="5"/>
        <v>6154290</v>
      </c>
    </row>
    <row r="101" spans="1:23" x14ac:dyDescent="0.2">
      <c r="A101" s="23" t="str">
        <f>Data!B97</f>
        <v>1953</v>
      </c>
      <c r="B101" s="21" t="str">
        <f>INDEX(Data[],MATCH($A101,Data[Dist],0),MATCH(B$5,Data[#Headers],0))</f>
        <v>Earlham</v>
      </c>
      <c r="C101" s="22">
        <f>IF(Notes!$B$2="June",ROUND('Budget by Source'!C101/10,0)+P101,ROUND('Budget by Source'!C101/10,0))</f>
        <v>13303</v>
      </c>
      <c r="D101" s="22">
        <f>IF(Notes!$B$2="June",ROUND('Budget by Source'!D101/10,0)+Q101,ROUND('Budget by Source'!D101/10,0))</f>
        <v>38916</v>
      </c>
      <c r="E101" s="22">
        <f>IF(Notes!$B$2="June",ROUND('Budget by Source'!E101/10,0)+R101,ROUND('Budget by Source'!E101/10,0))</f>
        <v>4500</v>
      </c>
      <c r="F101" s="22">
        <f>IF(Notes!$B$2="June",ROUND('Budget by Source'!F101/10,0)+S101,ROUND('Budget by Source'!F101/10,0))</f>
        <v>3976</v>
      </c>
      <c r="G101" s="22">
        <f>IF(Notes!$B$2="June",ROUND('Budget by Source'!G101/10,0)+T101,ROUND('Budget by Source'!G101/10,0))</f>
        <v>20781</v>
      </c>
      <c r="H101" s="22">
        <f t="shared" si="3"/>
        <v>293123</v>
      </c>
      <c r="I101" s="22">
        <f>INDEX(Data[],MATCH($A101,Data[Dist],0),MATCH(I$5,Data[#Headers],0))</f>
        <v>374599</v>
      </c>
      <c r="K101" s="69">
        <f>INDEX('Payment Total'!$A$7:$H$331,MATCH('Payment by Source'!$A101,'Payment Total'!$A$7:$A$331,0),3)-I101</f>
        <v>0</v>
      </c>
      <c r="P101" s="154">
        <f>INDEX('Budget by Source'!$A$6:$I$330,MATCH('Payment by Source'!$A101,'Budget by Source'!$A$6:$A$330,0),MATCH(P$3,'Budget by Source'!$A$5:$I$5,0))-(ROUND(INDEX('Budget by Source'!$A$6:$I$330,MATCH('Payment by Source'!$A101,'Budget by Source'!$A$6:$A$330,0),MATCH(P$3,'Budget by Source'!$A$5:$I$5,0))/10,0)*10)</f>
        <v>3</v>
      </c>
      <c r="Q101" s="154">
        <f>INDEX('Budget by Source'!$A$6:$I$330,MATCH('Payment by Source'!$A101,'Budget by Source'!$A$6:$A$330,0),MATCH(Q$3,'Budget by Source'!$A$5:$I$5,0))-(ROUND(INDEX('Budget by Source'!$A$6:$I$330,MATCH('Payment by Source'!$A101,'Budget by Source'!$A$6:$A$330,0),MATCH(Q$3,'Budget by Source'!$A$5:$I$5,0))/10,0)*10)</f>
        <v>-1</v>
      </c>
      <c r="R101" s="154">
        <f>INDEX('Budget by Source'!$A$6:$I$330,MATCH('Payment by Source'!$A101,'Budget by Source'!$A$6:$A$330,0),MATCH(R$3,'Budget by Source'!$A$5:$I$5,0))-(ROUND(INDEX('Budget by Source'!$A$6:$I$330,MATCH('Payment by Source'!$A101,'Budget by Source'!$A$6:$A$330,0),MATCH(R$3,'Budget by Source'!$A$5:$I$5,0))/10,0)*10)</f>
        <v>-5</v>
      </c>
      <c r="S101" s="154">
        <f>INDEX('Budget by Source'!$A$6:$I$330,MATCH('Payment by Source'!$A101,'Budget by Source'!$A$6:$A$330,0),MATCH(S$3,'Budget by Source'!$A$5:$I$5,0))-(ROUND(INDEX('Budget by Source'!$A$6:$I$330,MATCH('Payment by Source'!$A101,'Budget by Source'!$A$6:$A$330,0),MATCH(S$3,'Budget by Source'!$A$5:$I$5,0))/10,0)*10)</f>
        <v>2</v>
      </c>
      <c r="T101" s="154">
        <f>INDEX('Budget by Source'!$A$6:$I$330,MATCH('Payment by Source'!$A101,'Budget by Source'!$A$6:$A$330,0),MATCH(T$3,'Budget by Source'!$A$5:$I$5,0))-(ROUND(INDEX('Budget by Source'!$A$6:$I$330,MATCH('Payment by Source'!$A101,'Budget by Source'!$A$6:$A$330,0),MATCH(T$3,'Budget by Source'!$A$5:$I$5,0))/10,0)*10)</f>
        <v>0</v>
      </c>
      <c r="U101" s="155">
        <f>INDEX('Budget by Source'!$A$6:$I$330,MATCH('Payment by Source'!$A101,'Budget by Source'!$A$6:$A$330,0),MATCH(U$3,'Budget by Source'!$A$5:$I$5,0))</f>
        <v>2931233</v>
      </c>
      <c r="V101" s="152">
        <f t="shared" si="4"/>
        <v>293123</v>
      </c>
      <c r="W101" s="152">
        <f t="shared" si="5"/>
        <v>2931230</v>
      </c>
    </row>
    <row r="102" spans="1:23" x14ac:dyDescent="0.2">
      <c r="A102" s="23" t="str">
        <f>Data!B98</f>
        <v>1963</v>
      </c>
      <c r="B102" s="21" t="str">
        <f>INDEX(Data[],MATCH($A102,Data[Dist],0),MATCH(B$5,Data[#Headers],0))</f>
        <v>East Buchanan</v>
      </c>
      <c r="C102" s="22">
        <f>IF(Notes!$B$2="June",ROUND('Budget by Source'!C102/10,0)+P102,ROUND('Budget by Source'!C102/10,0))</f>
        <v>12543</v>
      </c>
      <c r="D102" s="22">
        <f>IF(Notes!$B$2="June",ROUND('Budget by Source'!D102/10,0)+Q102,ROUND('Budget by Source'!D102/10,0))</f>
        <v>38667</v>
      </c>
      <c r="E102" s="22">
        <f>IF(Notes!$B$2="June",ROUND('Budget by Source'!E102/10,0)+R102,ROUND('Budget by Source'!E102/10,0))</f>
        <v>4146</v>
      </c>
      <c r="F102" s="22">
        <f>IF(Notes!$B$2="June",ROUND('Budget by Source'!F102/10,0)+S102,ROUND('Budget by Source'!F102/10,0))</f>
        <v>3928</v>
      </c>
      <c r="G102" s="22">
        <f>IF(Notes!$B$2="June",ROUND('Budget by Source'!G102/10,0)+T102,ROUND('Budget by Source'!G102/10,0))</f>
        <v>19971</v>
      </c>
      <c r="H102" s="22">
        <f t="shared" si="3"/>
        <v>308022</v>
      </c>
      <c r="I102" s="22">
        <f>INDEX(Data[],MATCH($A102,Data[Dist],0),MATCH(I$5,Data[#Headers],0))</f>
        <v>387277</v>
      </c>
      <c r="K102" s="69">
        <f>INDEX('Payment Total'!$A$7:$H$331,MATCH('Payment by Source'!$A102,'Payment Total'!$A$7:$A$331,0),3)-I102</f>
        <v>0</v>
      </c>
      <c r="P102" s="154">
        <f>INDEX('Budget by Source'!$A$6:$I$330,MATCH('Payment by Source'!$A102,'Budget by Source'!$A$6:$A$330,0),MATCH(P$3,'Budget by Source'!$A$5:$I$5,0))-(ROUND(INDEX('Budget by Source'!$A$6:$I$330,MATCH('Payment by Source'!$A102,'Budget by Source'!$A$6:$A$330,0),MATCH(P$3,'Budget by Source'!$A$5:$I$5,0))/10,0)*10)</f>
        <v>1</v>
      </c>
      <c r="Q102" s="154">
        <f>INDEX('Budget by Source'!$A$6:$I$330,MATCH('Payment by Source'!$A102,'Budget by Source'!$A$6:$A$330,0),MATCH(Q$3,'Budget by Source'!$A$5:$I$5,0))-(ROUND(INDEX('Budget by Source'!$A$6:$I$330,MATCH('Payment by Source'!$A102,'Budget by Source'!$A$6:$A$330,0),MATCH(Q$3,'Budget by Source'!$A$5:$I$5,0))/10,0)*10)</f>
        <v>3</v>
      </c>
      <c r="R102" s="154">
        <f>INDEX('Budget by Source'!$A$6:$I$330,MATCH('Payment by Source'!$A102,'Budget by Source'!$A$6:$A$330,0),MATCH(R$3,'Budget by Source'!$A$5:$I$5,0))-(ROUND(INDEX('Budget by Source'!$A$6:$I$330,MATCH('Payment by Source'!$A102,'Budget by Source'!$A$6:$A$330,0),MATCH(R$3,'Budget by Source'!$A$5:$I$5,0))/10,0)*10)</f>
        <v>-5</v>
      </c>
      <c r="S102" s="154">
        <f>INDEX('Budget by Source'!$A$6:$I$330,MATCH('Payment by Source'!$A102,'Budget by Source'!$A$6:$A$330,0),MATCH(S$3,'Budget by Source'!$A$5:$I$5,0))-(ROUND(INDEX('Budget by Source'!$A$6:$I$330,MATCH('Payment by Source'!$A102,'Budget by Source'!$A$6:$A$330,0),MATCH(S$3,'Budget by Source'!$A$5:$I$5,0))/10,0)*10)</f>
        <v>2</v>
      </c>
      <c r="T102" s="154">
        <f>INDEX('Budget by Source'!$A$6:$I$330,MATCH('Payment by Source'!$A102,'Budget by Source'!$A$6:$A$330,0),MATCH(T$3,'Budget by Source'!$A$5:$I$5,0))-(ROUND(INDEX('Budget by Source'!$A$6:$I$330,MATCH('Payment by Source'!$A102,'Budget by Source'!$A$6:$A$330,0),MATCH(T$3,'Budget by Source'!$A$5:$I$5,0))/10,0)*10)</f>
        <v>-4</v>
      </c>
      <c r="U102" s="155">
        <f>INDEX('Budget by Source'!$A$6:$I$330,MATCH('Payment by Source'!$A102,'Budget by Source'!$A$6:$A$330,0),MATCH(U$3,'Budget by Source'!$A$5:$I$5,0))</f>
        <v>3080223</v>
      </c>
      <c r="V102" s="152">
        <f t="shared" si="4"/>
        <v>308022</v>
      </c>
      <c r="W102" s="152">
        <f t="shared" si="5"/>
        <v>3080220</v>
      </c>
    </row>
    <row r="103" spans="1:23" x14ac:dyDescent="0.2">
      <c r="A103" s="23" t="str">
        <f>Data!B99</f>
        <v>1965</v>
      </c>
      <c r="B103" s="21" t="str">
        <f>INDEX(Data[],MATCH($A103,Data[Dist],0),MATCH(B$5,Data[#Headers],0))</f>
        <v>Easton Valley</v>
      </c>
      <c r="C103" s="22">
        <f>IF(Notes!$B$2="June",ROUND('Budget by Source'!C103/10,0)+P103,ROUND('Budget by Source'!C103/10,0))</f>
        <v>14824</v>
      </c>
      <c r="D103" s="22">
        <f>IF(Notes!$B$2="June",ROUND('Budget by Source'!D103/10,0)+Q103,ROUND('Budget by Source'!D103/10,0))</f>
        <v>36611</v>
      </c>
      <c r="E103" s="22">
        <f>IF(Notes!$B$2="June",ROUND('Budget by Source'!E103/10,0)+R103,ROUND('Budget by Source'!E103/10,0))</f>
        <v>3814</v>
      </c>
      <c r="F103" s="22">
        <f>IF(Notes!$B$2="June",ROUND('Budget by Source'!F103/10,0)+S103,ROUND('Budget by Source'!F103/10,0))</f>
        <v>4032</v>
      </c>
      <c r="G103" s="22">
        <f>IF(Notes!$B$2="June",ROUND('Budget by Source'!G103/10,0)+T103,ROUND('Budget by Source'!G103/10,0))</f>
        <v>20254</v>
      </c>
      <c r="H103" s="22">
        <f t="shared" si="3"/>
        <v>316029</v>
      </c>
      <c r="I103" s="22">
        <f>INDEX(Data[],MATCH($A103,Data[Dist],0),MATCH(I$5,Data[#Headers],0))</f>
        <v>395564</v>
      </c>
      <c r="K103" s="69">
        <f>INDEX('Payment Total'!$A$7:$H$331,MATCH('Payment by Source'!$A103,'Payment Total'!$A$7:$A$331,0),3)-I103</f>
        <v>0</v>
      </c>
      <c r="P103" s="154">
        <f>INDEX('Budget by Source'!$A$6:$I$330,MATCH('Payment by Source'!$A103,'Budget by Source'!$A$6:$A$330,0),MATCH(P$3,'Budget by Source'!$A$5:$I$5,0))-(ROUND(INDEX('Budget by Source'!$A$6:$I$330,MATCH('Payment by Source'!$A103,'Budget by Source'!$A$6:$A$330,0),MATCH(P$3,'Budget by Source'!$A$5:$I$5,0))/10,0)*10)</f>
        <v>-4</v>
      </c>
      <c r="Q103" s="154">
        <f>INDEX('Budget by Source'!$A$6:$I$330,MATCH('Payment by Source'!$A103,'Budget by Source'!$A$6:$A$330,0),MATCH(Q$3,'Budget by Source'!$A$5:$I$5,0))-(ROUND(INDEX('Budget by Source'!$A$6:$I$330,MATCH('Payment by Source'!$A103,'Budget by Source'!$A$6:$A$330,0),MATCH(Q$3,'Budget by Source'!$A$5:$I$5,0))/10,0)*10)</f>
        <v>1</v>
      </c>
      <c r="R103" s="154">
        <f>INDEX('Budget by Source'!$A$6:$I$330,MATCH('Payment by Source'!$A103,'Budget by Source'!$A$6:$A$330,0),MATCH(R$3,'Budget by Source'!$A$5:$I$5,0))-(ROUND(INDEX('Budget by Source'!$A$6:$I$330,MATCH('Payment by Source'!$A103,'Budget by Source'!$A$6:$A$330,0),MATCH(R$3,'Budget by Source'!$A$5:$I$5,0))/10,0)*10)</f>
        <v>-3</v>
      </c>
      <c r="S103" s="154">
        <f>INDEX('Budget by Source'!$A$6:$I$330,MATCH('Payment by Source'!$A103,'Budget by Source'!$A$6:$A$330,0),MATCH(S$3,'Budget by Source'!$A$5:$I$5,0))-(ROUND(INDEX('Budget by Source'!$A$6:$I$330,MATCH('Payment by Source'!$A103,'Budget by Source'!$A$6:$A$330,0),MATCH(S$3,'Budget by Source'!$A$5:$I$5,0))/10,0)*10)</f>
        <v>-1</v>
      </c>
      <c r="T103" s="154">
        <f>INDEX('Budget by Source'!$A$6:$I$330,MATCH('Payment by Source'!$A103,'Budget by Source'!$A$6:$A$330,0),MATCH(T$3,'Budget by Source'!$A$5:$I$5,0))-(ROUND(INDEX('Budget by Source'!$A$6:$I$330,MATCH('Payment by Source'!$A103,'Budget by Source'!$A$6:$A$330,0),MATCH(T$3,'Budget by Source'!$A$5:$I$5,0))/10,0)*10)</f>
        <v>4</v>
      </c>
      <c r="U103" s="155">
        <f>INDEX('Budget by Source'!$A$6:$I$330,MATCH('Payment by Source'!$A103,'Budget by Source'!$A$6:$A$330,0),MATCH(U$3,'Budget by Source'!$A$5:$I$5,0))</f>
        <v>3160295</v>
      </c>
      <c r="V103" s="152">
        <f t="shared" si="4"/>
        <v>316030</v>
      </c>
      <c r="W103" s="152">
        <f t="shared" si="5"/>
        <v>3160300</v>
      </c>
    </row>
    <row r="104" spans="1:23" x14ac:dyDescent="0.2">
      <c r="A104" s="23" t="str">
        <f>Data!B100</f>
        <v>1970</v>
      </c>
      <c r="B104" s="21" t="str">
        <f>INDEX(Data[],MATCH($A104,Data[Dist],0),MATCH(B$5,Data[#Headers],0))</f>
        <v>East Union</v>
      </c>
      <c r="C104" s="22">
        <f>IF(Notes!$B$2="June",ROUND('Budget by Source'!C104/10,0)+P104,ROUND('Budget by Source'!C104/10,0))</f>
        <v>12163</v>
      </c>
      <c r="D104" s="22">
        <f>IF(Notes!$B$2="June",ROUND('Budget by Source'!D104/10,0)+Q104,ROUND('Budget by Source'!D104/10,0))</f>
        <v>31943</v>
      </c>
      <c r="E104" s="22">
        <f>IF(Notes!$B$2="June",ROUND('Budget by Source'!E104/10,0)+R104,ROUND('Budget by Source'!E104/10,0))</f>
        <v>3867</v>
      </c>
      <c r="F104" s="22">
        <f>IF(Notes!$B$2="June",ROUND('Budget by Source'!F104/10,0)+S104,ROUND('Budget by Source'!F104/10,0))</f>
        <v>3155</v>
      </c>
      <c r="G104" s="22">
        <f>IF(Notes!$B$2="June",ROUND('Budget by Source'!G104/10,0)+T104,ROUND('Budget by Source'!G104/10,0))</f>
        <v>17413</v>
      </c>
      <c r="H104" s="22">
        <f t="shared" si="3"/>
        <v>299162</v>
      </c>
      <c r="I104" s="22">
        <f>INDEX(Data[],MATCH($A104,Data[Dist],0),MATCH(I$5,Data[#Headers],0))</f>
        <v>367703</v>
      </c>
      <c r="K104" s="69">
        <f>INDEX('Payment Total'!$A$7:$H$331,MATCH('Payment by Source'!$A104,'Payment Total'!$A$7:$A$331,0),3)-I104</f>
        <v>0</v>
      </c>
      <c r="P104" s="154">
        <f>INDEX('Budget by Source'!$A$6:$I$330,MATCH('Payment by Source'!$A104,'Budget by Source'!$A$6:$A$330,0),MATCH(P$3,'Budget by Source'!$A$5:$I$5,0))-(ROUND(INDEX('Budget by Source'!$A$6:$I$330,MATCH('Payment by Source'!$A104,'Budget by Source'!$A$6:$A$330,0),MATCH(P$3,'Budget by Source'!$A$5:$I$5,0))/10,0)*10)</f>
        <v>-1</v>
      </c>
      <c r="Q104" s="154">
        <f>INDEX('Budget by Source'!$A$6:$I$330,MATCH('Payment by Source'!$A104,'Budget by Source'!$A$6:$A$330,0),MATCH(Q$3,'Budget by Source'!$A$5:$I$5,0))-(ROUND(INDEX('Budget by Source'!$A$6:$I$330,MATCH('Payment by Source'!$A104,'Budget by Source'!$A$6:$A$330,0),MATCH(Q$3,'Budget by Source'!$A$5:$I$5,0))/10,0)*10)</f>
        <v>4</v>
      </c>
      <c r="R104" s="154">
        <f>INDEX('Budget by Source'!$A$6:$I$330,MATCH('Payment by Source'!$A104,'Budget by Source'!$A$6:$A$330,0),MATCH(R$3,'Budget by Source'!$A$5:$I$5,0))-(ROUND(INDEX('Budget by Source'!$A$6:$I$330,MATCH('Payment by Source'!$A104,'Budget by Source'!$A$6:$A$330,0),MATCH(R$3,'Budget by Source'!$A$5:$I$5,0))/10,0)*10)</f>
        <v>-5</v>
      </c>
      <c r="S104" s="154">
        <f>INDEX('Budget by Source'!$A$6:$I$330,MATCH('Payment by Source'!$A104,'Budget by Source'!$A$6:$A$330,0),MATCH(S$3,'Budget by Source'!$A$5:$I$5,0))-(ROUND(INDEX('Budget by Source'!$A$6:$I$330,MATCH('Payment by Source'!$A104,'Budget by Source'!$A$6:$A$330,0),MATCH(S$3,'Budget by Source'!$A$5:$I$5,0))/10,0)*10)</f>
        <v>-1</v>
      </c>
      <c r="T104" s="154">
        <f>INDEX('Budget by Source'!$A$6:$I$330,MATCH('Payment by Source'!$A104,'Budget by Source'!$A$6:$A$330,0),MATCH(T$3,'Budget by Source'!$A$5:$I$5,0))-(ROUND(INDEX('Budget by Source'!$A$6:$I$330,MATCH('Payment by Source'!$A104,'Budget by Source'!$A$6:$A$330,0),MATCH(T$3,'Budget by Source'!$A$5:$I$5,0))/10,0)*10)</f>
        <v>0</v>
      </c>
      <c r="U104" s="155">
        <f>INDEX('Budget by Source'!$A$6:$I$330,MATCH('Payment by Source'!$A104,'Budget by Source'!$A$6:$A$330,0),MATCH(U$3,'Budget by Source'!$A$5:$I$5,0))</f>
        <v>2991620</v>
      </c>
      <c r="V104" s="152">
        <f t="shared" si="4"/>
        <v>299162</v>
      </c>
      <c r="W104" s="152">
        <f t="shared" si="5"/>
        <v>2991620</v>
      </c>
    </row>
    <row r="105" spans="1:23" x14ac:dyDescent="0.2">
      <c r="A105" s="23" t="str">
        <f>Data!B101</f>
        <v>1972</v>
      </c>
      <c r="B105" s="21" t="str">
        <f>INDEX(Data[],MATCH($A105,Data[Dist],0),MATCH(B$5,Data[#Headers],0))</f>
        <v>Eastern Allamakee</v>
      </c>
      <c r="C105" s="22">
        <f>IF(Notes!$B$2="June",ROUND('Budget by Source'!C105/10,0)+P105,ROUND('Budget by Source'!C105/10,0))</f>
        <v>5701</v>
      </c>
      <c r="D105" s="22">
        <f>IF(Notes!$B$2="June",ROUND('Budget by Source'!D105/10,0)+Q105,ROUND('Budget by Source'!D105/10,0))</f>
        <v>24141</v>
      </c>
      <c r="E105" s="22">
        <f>IF(Notes!$B$2="June",ROUND('Budget by Source'!E105/10,0)+R105,ROUND('Budget by Source'!E105/10,0))</f>
        <v>2809</v>
      </c>
      <c r="F105" s="22">
        <f>IF(Notes!$B$2="June",ROUND('Budget by Source'!F105/10,0)+S105,ROUND('Budget by Source'!F105/10,0))</f>
        <v>2340</v>
      </c>
      <c r="G105" s="22">
        <f>IF(Notes!$B$2="June",ROUND('Budget by Source'!G105/10,0)+T105,ROUND('Budget by Source'!G105/10,0))</f>
        <v>12209</v>
      </c>
      <c r="H105" s="22">
        <f t="shared" si="3"/>
        <v>147987</v>
      </c>
      <c r="I105" s="22">
        <f>INDEX(Data[],MATCH($A105,Data[Dist],0),MATCH(I$5,Data[#Headers],0))</f>
        <v>195187</v>
      </c>
      <c r="K105" s="69">
        <f>INDEX('Payment Total'!$A$7:$H$331,MATCH('Payment by Source'!$A105,'Payment Total'!$A$7:$A$331,0),3)-I105</f>
        <v>0</v>
      </c>
      <c r="P105" s="154">
        <f>INDEX('Budget by Source'!$A$6:$I$330,MATCH('Payment by Source'!$A105,'Budget by Source'!$A$6:$A$330,0),MATCH(P$3,'Budget by Source'!$A$5:$I$5,0))-(ROUND(INDEX('Budget by Source'!$A$6:$I$330,MATCH('Payment by Source'!$A105,'Budget by Source'!$A$6:$A$330,0),MATCH(P$3,'Budget by Source'!$A$5:$I$5,0))/10,0)*10)</f>
        <v>4</v>
      </c>
      <c r="Q105" s="154">
        <f>INDEX('Budget by Source'!$A$6:$I$330,MATCH('Payment by Source'!$A105,'Budget by Source'!$A$6:$A$330,0),MATCH(Q$3,'Budget by Source'!$A$5:$I$5,0))-(ROUND(INDEX('Budget by Source'!$A$6:$I$330,MATCH('Payment by Source'!$A105,'Budget by Source'!$A$6:$A$330,0),MATCH(Q$3,'Budget by Source'!$A$5:$I$5,0))/10,0)*10)</f>
        <v>-5</v>
      </c>
      <c r="R105" s="154">
        <f>INDEX('Budget by Source'!$A$6:$I$330,MATCH('Payment by Source'!$A105,'Budget by Source'!$A$6:$A$330,0),MATCH(R$3,'Budget by Source'!$A$5:$I$5,0))-(ROUND(INDEX('Budget by Source'!$A$6:$I$330,MATCH('Payment by Source'!$A105,'Budget by Source'!$A$6:$A$330,0),MATCH(R$3,'Budget by Source'!$A$5:$I$5,0))/10,0)*10)</f>
        <v>-2</v>
      </c>
      <c r="S105" s="154">
        <f>INDEX('Budget by Source'!$A$6:$I$330,MATCH('Payment by Source'!$A105,'Budget by Source'!$A$6:$A$330,0),MATCH(S$3,'Budget by Source'!$A$5:$I$5,0))-(ROUND(INDEX('Budget by Source'!$A$6:$I$330,MATCH('Payment by Source'!$A105,'Budget by Source'!$A$6:$A$330,0),MATCH(S$3,'Budget by Source'!$A$5:$I$5,0))/10,0)*10)</f>
        <v>0</v>
      </c>
      <c r="T105" s="154">
        <f>INDEX('Budget by Source'!$A$6:$I$330,MATCH('Payment by Source'!$A105,'Budget by Source'!$A$6:$A$330,0),MATCH(T$3,'Budget by Source'!$A$5:$I$5,0))-(ROUND(INDEX('Budget by Source'!$A$6:$I$330,MATCH('Payment by Source'!$A105,'Budget by Source'!$A$6:$A$330,0),MATCH(T$3,'Budget by Source'!$A$5:$I$5,0))/10,0)*10)</f>
        <v>4</v>
      </c>
      <c r="U105" s="155">
        <f>INDEX('Budget by Source'!$A$6:$I$330,MATCH('Payment by Source'!$A105,'Budget by Source'!$A$6:$A$330,0),MATCH(U$3,'Budget by Source'!$A$5:$I$5,0))</f>
        <v>1479872</v>
      </c>
      <c r="V105" s="152">
        <f t="shared" si="4"/>
        <v>147987</v>
      </c>
      <c r="W105" s="152">
        <f t="shared" si="5"/>
        <v>1479870</v>
      </c>
    </row>
    <row r="106" spans="1:23" x14ac:dyDescent="0.2">
      <c r="A106" s="23" t="str">
        <f>Data!B102</f>
        <v>1975</v>
      </c>
      <c r="B106" s="21" t="str">
        <f>INDEX(Data[],MATCH($A106,Data[Dist],0),MATCH(B$5,Data[#Headers],0))</f>
        <v>River Valley</v>
      </c>
      <c r="C106" s="22">
        <f>IF(Notes!$B$2="June",ROUND('Budget by Source'!C106/10,0)+P106,ROUND('Budget by Source'!C106/10,0))</f>
        <v>7602</v>
      </c>
      <c r="D106" s="22">
        <f>IF(Notes!$B$2="June",ROUND('Budget by Source'!D106/10,0)+Q106,ROUND('Budget by Source'!D106/10,0))</f>
        <v>26283</v>
      </c>
      <c r="E106" s="22">
        <f>IF(Notes!$B$2="June",ROUND('Budget by Source'!E106/10,0)+R106,ROUND('Budget by Source'!E106/10,0))</f>
        <v>3230</v>
      </c>
      <c r="F106" s="22">
        <f>IF(Notes!$B$2="June",ROUND('Budget by Source'!F106/10,0)+S106,ROUND('Budget by Source'!F106/10,0))</f>
        <v>2881</v>
      </c>
      <c r="G106" s="22">
        <f>IF(Notes!$B$2="June",ROUND('Budget by Source'!G106/10,0)+T106,ROUND('Budget by Source'!G106/10,0))</f>
        <v>13724</v>
      </c>
      <c r="H106" s="22">
        <f t="shared" si="3"/>
        <v>168522</v>
      </c>
      <c r="I106" s="22">
        <f>INDEX(Data[],MATCH($A106,Data[Dist],0),MATCH(I$5,Data[#Headers],0))</f>
        <v>222242</v>
      </c>
      <c r="K106" s="69">
        <f>INDEX('Payment Total'!$A$7:$H$331,MATCH('Payment by Source'!$A106,'Payment Total'!$A$7:$A$331,0),3)-I106</f>
        <v>0</v>
      </c>
      <c r="P106" s="154">
        <f>INDEX('Budget by Source'!$A$6:$I$330,MATCH('Payment by Source'!$A106,'Budget by Source'!$A$6:$A$330,0),MATCH(P$3,'Budget by Source'!$A$5:$I$5,0))-(ROUND(INDEX('Budget by Source'!$A$6:$I$330,MATCH('Payment by Source'!$A106,'Budget by Source'!$A$6:$A$330,0),MATCH(P$3,'Budget by Source'!$A$5:$I$5,0))/10,0)*10)</f>
        <v>-2</v>
      </c>
      <c r="Q106" s="154">
        <f>INDEX('Budget by Source'!$A$6:$I$330,MATCH('Payment by Source'!$A106,'Budget by Source'!$A$6:$A$330,0),MATCH(Q$3,'Budget by Source'!$A$5:$I$5,0))-(ROUND(INDEX('Budget by Source'!$A$6:$I$330,MATCH('Payment by Source'!$A106,'Budget by Source'!$A$6:$A$330,0),MATCH(Q$3,'Budget by Source'!$A$5:$I$5,0))/10,0)*10)</f>
        <v>-5</v>
      </c>
      <c r="R106" s="154">
        <f>INDEX('Budget by Source'!$A$6:$I$330,MATCH('Payment by Source'!$A106,'Budget by Source'!$A$6:$A$330,0),MATCH(R$3,'Budget by Source'!$A$5:$I$5,0))-(ROUND(INDEX('Budget by Source'!$A$6:$I$330,MATCH('Payment by Source'!$A106,'Budget by Source'!$A$6:$A$330,0),MATCH(R$3,'Budget by Source'!$A$5:$I$5,0))/10,0)*10)</f>
        <v>-2</v>
      </c>
      <c r="S106" s="154">
        <f>INDEX('Budget by Source'!$A$6:$I$330,MATCH('Payment by Source'!$A106,'Budget by Source'!$A$6:$A$330,0),MATCH(S$3,'Budget by Source'!$A$5:$I$5,0))-(ROUND(INDEX('Budget by Source'!$A$6:$I$330,MATCH('Payment by Source'!$A106,'Budget by Source'!$A$6:$A$330,0),MATCH(S$3,'Budget by Source'!$A$5:$I$5,0))/10,0)*10)</f>
        <v>-1</v>
      </c>
      <c r="T106" s="154">
        <f>INDEX('Budget by Source'!$A$6:$I$330,MATCH('Payment by Source'!$A106,'Budget by Source'!$A$6:$A$330,0),MATCH(T$3,'Budget by Source'!$A$5:$I$5,0))-(ROUND(INDEX('Budget by Source'!$A$6:$I$330,MATCH('Payment by Source'!$A106,'Budget by Source'!$A$6:$A$330,0),MATCH(T$3,'Budget by Source'!$A$5:$I$5,0))/10,0)*10)</f>
        <v>1</v>
      </c>
      <c r="U106" s="155">
        <f>INDEX('Budget by Source'!$A$6:$I$330,MATCH('Payment by Source'!$A106,'Budget by Source'!$A$6:$A$330,0),MATCH(U$3,'Budget by Source'!$A$5:$I$5,0))</f>
        <v>1685225</v>
      </c>
      <c r="V106" s="152">
        <f t="shared" si="4"/>
        <v>168523</v>
      </c>
      <c r="W106" s="152">
        <f t="shared" si="5"/>
        <v>1685230</v>
      </c>
    </row>
    <row r="107" spans="1:23" x14ac:dyDescent="0.2">
      <c r="A107" s="23" t="str">
        <f>Data!B103</f>
        <v>1989</v>
      </c>
      <c r="B107" s="21" t="str">
        <f>INDEX(Data[],MATCH($A107,Data[Dist],0),MATCH(B$5,Data[#Headers],0))</f>
        <v>Edgewood-Colesburg</v>
      </c>
      <c r="C107" s="22">
        <f>IF(Notes!$B$2="June",ROUND('Budget by Source'!C107/10,0)+P107,ROUND('Budget by Source'!C107/10,0))</f>
        <v>13683</v>
      </c>
      <c r="D107" s="22">
        <f>IF(Notes!$B$2="June",ROUND('Budget by Source'!D107/10,0)+Q107,ROUND('Budget by Source'!D107/10,0))</f>
        <v>28511</v>
      </c>
      <c r="E107" s="22">
        <f>IF(Notes!$B$2="June",ROUND('Budget by Source'!E107/10,0)+R107,ROUND('Budget by Source'!E107/10,0))</f>
        <v>3426</v>
      </c>
      <c r="F107" s="22">
        <f>IF(Notes!$B$2="June",ROUND('Budget by Source'!F107/10,0)+S107,ROUND('Budget by Source'!F107/10,0))</f>
        <v>3187</v>
      </c>
      <c r="G107" s="22">
        <f>IF(Notes!$B$2="June",ROUND('Budget by Source'!G107/10,0)+T107,ROUND('Budget by Source'!G107/10,0))</f>
        <v>14778</v>
      </c>
      <c r="H107" s="22">
        <f t="shared" si="3"/>
        <v>197567</v>
      </c>
      <c r="I107" s="22">
        <f>INDEX(Data[],MATCH($A107,Data[Dist],0),MATCH(I$5,Data[#Headers],0))</f>
        <v>261152</v>
      </c>
      <c r="K107" s="69">
        <f>INDEX('Payment Total'!$A$7:$H$331,MATCH('Payment by Source'!$A107,'Payment Total'!$A$7:$A$331,0),3)-I107</f>
        <v>0</v>
      </c>
      <c r="P107" s="154">
        <f>INDEX('Budget by Source'!$A$6:$I$330,MATCH('Payment by Source'!$A107,'Budget by Source'!$A$6:$A$330,0),MATCH(P$3,'Budget by Source'!$A$5:$I$5,0))-(ROUND(INDEX('Budget by Source'!$A$6:$I$330,MATCH('Payment by Source'!$A107,'Budget by Source'!$A$6:$A$330,0),MATCH(P$3,'Budget by Source'!$A$5:$I$5,0))/10,0)*10)</f>
        <v>3</v>
      </c>
      <c r="Q107" s="154">
        <f>INDEX('Budget by Source'!$A$6:$I$330,MATCH('Payment by Source'!$A107,'Budget by Source'!$A$6:$A$330,0),MATCH(Q$3,'Budget by Source'!$A$5:$I$5,0))-(ROUND(INDEX('Budget by Source'!$A$6:$I$330,MATCH('Payment by Source'!$A107,'Budget by Source'!$A$6:$A$330,0),MATCH(Q$3,'Budget by Source'!$A$5:$I$5,0))/10,0)*10)</f>
        <v>-3</v>
      </c>
      <c r="R107" s="154">
        <f>INDEX('Budget by Source'!$A$6:$I$330,MATCH('Payment by Source'!$A107,'Budget by Source'!$A$6:$A$330,0),MATCH(R$3,'Budget by Source'!$A$5:$I$5,0))-(ROUND(INDEX('Budget by Source'!$A$6:$I$330,MATCH('Payment by Source'!$A107,'Budget by Source'!$A$6:$A$330,0),MATCH(R$3,'Budget by Source'!$A$5:$I$5,0))/10,0)*10)</f>
        <v>-3</v>
      </c>
      <c r="S107" s="154">
        <f>INDEX('Budget by Source'!$A$6:$I$330,MATCH('Payment by Source'!$A107,'Budget by Source'!$A$6:$A$330,0),MATCH(S$3,'Budget by Source'!$A$5:$I$5,0))-(ROUND(INDEX('Budget by Source'!$A$6:$I$330,MATCH('Payment by Source'!$A107,'Budget by Source'!$A$6:$A$330,0),MATCH(S$3,'Budget by Source'!$A$5:$I$5,0))/10,0)*10)</f>
        <v>-3</v>
      </c>
      <c r="T107" s="154">
        <f>INDEX('Budget by Source'!$A$6:$I$330,MATCH('Payment by Source'!$A107,'Budget by Source'!$A$6:$A$330,0),MATCH(T$3,'Budget by Source'!$A$5:$I$5,0))-(ROUND(INDEX('Budget by Source'!$A$6:$I$330,MATCH('Payment by Source'!$A107,'Budget by Source'!$A$6:$A$330,0),MATCH(T$3,'Budget by Source'!$A$5:$I$5,0))/10,0)*10)</f>
        <v>1</v>
      </c>
      <c r="U107" s="155">
        <f>INDEX('Budget by Source'!$A$6:$I$330,MATCH('Payment by Source'!$A107,'Budget by Source'!$A$6:$A$330,0),MATCH(U$3,'Budget by Source'!$A$5:$I$5,0))</f>
        <v>1975671</v>
      </c>
      <c r="V107" s="152">
        <f t="shared" si="4"/>
        <v>197567</v>
      </c>
      <c r="W107" s="152">
        <f t="shared" si="5"/>
        <v>1975670</v>
      </c>
    </row>
    <row r="108" spans="1:23" x14ac:dyDescent="0.2">
      <c r="A108" s="23" t="str">
        <f>Data!B104</f>
        <v>2007</v>
      </c>
      <c r="B108" s="21" t="str">
        <f>INDEX(Data[],MATCH($A108,Data[Dist],0),MATCH(B$5,Data[#Headers],0))</f>
        <v>Eldora-New Providence</v>
      </c>
      <c r="C108" s="22">
        <f>IF(Notes!$B$2="June",ROUND('Budget by Source'!C108/10,0)+P108,ROUND('Budget by Source'!C108/10,0))</f>
        <v>15204</v>
      </c>
      <c r="D108" s="22">
        <f>IF(Notes!$B$2="June",ROUND('Budget by Source'!D108/10,0)+Q108,ROUND('Budget by Source'!D108/10,0))</f>
        <v>38330</v>
      </c>
      <c r="E108" s="22">
        <f>IF(Notes!$B$2="June",ROUND('Budget by Source'!E108/10,0)+R108,ROUND('Budget by Source'!E108/10,0))</f>
        <v>4465</v>
      </c>
      <c r="F108" s="22">
        <f>IF(Notes!$B$2="June",ROUND('Budget by Source'!F108/10,0)+S108,ROUND('Budget by Source'!F108/10,0))</f>
        <v>4450</v>
      </c>
      <c r="G108" s="22">
        <f>IF(Notes!$B$2="June",ROUND('Budget by Source'!G108/10,0)+T108,ROUND('Budget by Source'!G108/10,0))</f>
        <v>20664</v>
      </c>
      <c r="H108" s="22">
        <f t="shared" si="3"/>
        <v>345762</v>
      </c>
      <c r="I108" s="22">
        <f>INDEX(Data[],MATCH($A108,Data[Dist],0),MATCH(I$5,Data[#Headers],0))</f>
        <v>428875</v>
      </c>
      <c r="K108" s="69">
        <f>INDEX('Payment Total'!$A$7:$H$331,MATCH('Payment by Source'!$A108,'Payment Total'!$A$7:$A$331,0),3)-I108</f>
        <v>0</v>
      </c>
      <c r="P108" s="154">
        <f>INDEX('Budget by Source'!$A$6:$I$330,MATCH('Payment by Source'!$A108,'Budget by Source'!$A$6:$A$330,0),MATCH(P$3,'Budget by Source'!$A$5:$I$5,0))-(ROUND(INDEX('Budget by Source'!$A$6:$I$330,MATCH('Payment by Source'!$A108,'Budget by Source'!$A$6:$A$330,0),MATCH(P$3,'Budget by Source'!$A$5:$I$5,0))/10,0)*10)</f>
        <v>-3</v>
      </c>
      <c r="Q108" s="154">
        <f>INDEX('Budget by Source'!$A$6:$I$330,MATCH('Payment by Source'!$A108,'Budget by Source'!$A$6:$A$330,0),MATCH(Q$3,'Budget by Source'!$A$5:$I$5,0))-(ROUND(INDEX('Budget by Source'!$A$6:$I$330,MATCH('Payment by Source'!$A108,'Budget by Source'!$A$6:$A$330,0),MATCH(Q$3,'Budget by Source'!$A$5:$I$5,0))/10,0)*10)</f>
        <v>0</v>
      </c>
      <c r="R108" s="154">
        <f>INDEX('Budget by Source'!$A$6:$I$330,MATCH('Payment by Source'!$A108,'Budget by Source'!$A$6:$A$330,0),MATCH(R$3,'Budget by Source'!$A$5:$I$5,0))-(ROUND(INDEX('Budget by Source'!$A$6:$I$330,MATCH('Payment by Source'!$A108,'Budget by Source'!$A$6:$A$330,0),MATCH(R$3,'Budget by Source'!$A$5:$I$5,0))/10,0)*10)</f>
        <v>4</v>
      </c>
      <c r="S108" s="154">
        <f>INDEX('Budget by Source'!$A$6:$I$330,MATCH('Payment by Source'!$A108,'Budget by Source'!$A$6:$A$330,0),MATCH(S$3,'Budget by Source'!$A$5:$I$5,0))-(ROUND(INDEX('Budget by Source'!$A$6:$I$330,MATCH('Payment by Source'!$A108,'Budget by Source'!$A$6:$A$330,0),MATCH(S$3,'Budget by Source'!$A$5:$I$5,0))/10,0)*10)</f>
        <v>-3</v>
      </c>
      <c r="T108" s="154">
        <f>INDEX('Budget by Source'!$A$6:$I$330,MATCH('Payment by Source'!$A108,'Budget by Source'!$A$6:$A$330,0),MATCH(T$3,'Budget by Source'!$A$5:$I$5,0))-(ROUND(INDEX('Budget by Source'!$A$6:$I$330,MATCH('Payment by Source'!$A108,'Budget by Source'!$A$6:$A$330,0),MATCH(T$3,'Budget by Source'!$A$5:$I$5,0))/10,0)*10)</f>
        <v>-5</v>
      </c>
      <c r="U108" s="155">
        <f>INDEX('Budget by Source'!$A$6:$I$330,MATCH('Payment by Source'!$A108,'Budget by Source'!$A$6:$A$330,0),MATCH(U$3,'Budget by Source'!$A$5:$I$5,0))</f>
        <v>3457630</v>
      </c>
      <c r="V108" s="152">
        <f t="shared" si="4"/>
        <v>345763</v>
      </c>
      <c r="W108" s="152">
        <f t="shared" si="5"/>
        <v>3457630</v>
      </c>
    </row>
    <row r="109" spans="1:23" x14ac:dyDescent="0.2">
      <c r="A109" s="23" t="str">
        <f>Data!B105</f>
        <v>2088</v>
      </c>
      <c r="B109" s="21" t="str">
        <f>INDEX(Data[],MATCH($A109,Data[Dist],0),MATCH(B$5,Data[#Headers],0))</f>
        <v>Emmetsburg</v>
      </c>
      <c r="C109" s="22">
        <f>IF(Notes!$B$2="June",ROUND('Budget by Source'!C109/10,0)+P109,ROUND('Budget by Source'!C109/10,0))</f>
        <v>20525</v>
      </c>
      <c r="D109" s="22">
        <f>IF(Notes!$B$2="June",ROUND('Budget by Source'!D109/10,0)+Q109,ROUND('Budget by Source'!D109/10,0))</f>
        <v>43592</v>
      </c>
      <c r="E109" s="22">
        <f>IF(Notes!$B$2="June",ROUND('Budget by Source'!E109/10,0)+R109,ROUND('Budget by Source'!E109/10,0))</f>
        <v>5241</v>
      </c>
      <c r="F109" s="22">
        <f>IF(Notes!$B$2="June",ROUND('Budget by Source'!F109/10,0)+S109,ROUND('Budget by Source'!F109/10,0))</f>
        <v>5079</v>
      </c>
      <c r="G109" s="22">
        <f>IF(Notes!$B$2="June",ROUND('Budget by Source'!G109/10,0)+T109,ROUND('Budget by Source'!G109/10,0))</f>
        <v>24515</v>
      </c>
      <c r="H109" s="22">
        <f t="shared" si="3"/>
        <v>314158</v>
      </c>
      <c r="I109" s="22">
        <f>INDEX(Data[],MATCH($A109,Data[Dist],0),MATCH(I$5,Data[#Headers],0))</f>
        <v>413110</v>
      </c>
      <c r="K109" s="69">
        <f>INDEX('Payment Total'!$A$7:$H$331,MATCH('Payment by Source'!$A109,'Payment Total'!$A$7:$A$331,0),3)-I109</f>
        <v>0</v>
      </c>
      <c r="P109" s="154">
        <f>INDEX('Budget by Source'!$A$6:$I$330,MATCH('Payment by Source'!$A109,'Budget by Source'!$A$6:$A$330,0),MATCH(P$3,'Budget by Source'!$A$5:$I$5,0))-(ROUND(INDEX('Budget by Source'!$A$6:$I$330,MATCH('Payment by Source'!$A109,'Budget by Source'!$A$6:$A$330,0),MATCH(P$3,'Budget by Source'!$A$5:$I$5,0))/10,0)*10)</f>
        <v>-1</v>
      </c>
      <c r="Q109" s="154">
        <f>INDEX('Budget by Source'!$A$6:$I$330,MATCH('Payment by Source'!$A109,'Budget by Source'!$A$6:$A$330,0),MATCH(Q$3,'Budget by Source'!$A$5:$I$5,0))-(ROUND(INDEX('Budget by Source'!$A$6:$I$330,MATCH('Payment by Source'!$A109,'Budget by Source'!$A$6:$A$330,0),MATCH(Q$3,'Budget by Source'!$A$5:$I$5,0))/10,0)*10)</f>
        <v>-1</v>
      </c>
      <c r="R109" s="154">
        <f>INDEX('Budget by Source'!$A$6:$I$330,MATCH('Payment by Source'!$A109,'Budget by Source'!$A$6:$A$330,0),MATCH(R$3,'Budget by Source'!$A$5:$I$5,0))-(ROUND(INDEX('Budget by Source'!$A$6:$I$330,MATCH('Payment by Source'!$A109,'Budget by Source'!$A$6:$A$330,0),MATCH(R$3,'Budget by Source'!$A$5:$I$5,0))/10,0)*10)</f>
        <v>1</v>
      </c>
      <c r="S109" s="154">
        <f>INDEX('Budget by Source'!$A$6:$I$330,MATCH('Payment by Source'!$A109,'Budget by Source'!$A$6:$A$330,0),MATCH(S$3,'Budget by Source'!$A$5:$I$5,0))-(ROUND(INDEX('Budget by Source'!$A$6:$I$330,MATCH('Payment by Source'!$A109,'Budget by Source'!$A$6:$A$330,0),MATCH(S$3,'Budget by Source'!$A$5:$I$5,0))/10,0)*10)</f>
        <v>-2</v>
      </c>
      <c r="T109" s="154">
        <f>INDEX('Budget by Source'!$A$6:$I$330,MATCH('Payment by Source'!$A109,'Budget by Source'!$A$6:$A$330,0),MATCH(T$3,'Budget by Source'!$A$5:$I$5,0))-(ROUND(INDEX('Budget by Source'!$A$6:$I$330,MATCH('Payment by Source'!$A109,'Budget by Source'!$A$6:$A$330,0),MATCH(T$3,'Budget by Source'!$A$5:$I$5,0))/10,0)*10)</f>
        <v>-4</v>
      </c>
      <c r="U109" s="155">
        <f>INDEX('Budget by Source'!$A$6:$I$330,MATCH('Payment by Source'!$A109,'Budget by Source'!$A$6:$A$330,0),MATCH(U$3,'Budget by Source'!$A$5:$I$5,0))</f>
        <v>3141582</v>
      </c>
      <c r="V109" s="152">
        <f t="shared" si="4"/>
        <v>314158</v>
      </c>
      <c r="W109" s="152">
        <f t="shared" si="5"/>
        <v>3141580</v>
      </c>
    </row>
    <row r="110" spans="1:23" x14ac:dyDescent="0.2">
      <c r="A110" s="23" t="str">
        <f>Data!B106</f>
        <v>2097</v>
      </c>
      <c r="B110" s="21" t="str">
        <f>INDEX(Data[],MATCH($A110,Data[Dist],0),MATCH(B$5,Data[#Headers],0))</f>
        <v>English Valleys</v>
      </c>
      <c r="C110" s="22">
        <f>IF(Notes!$B$2="June",ROUND('Budget by Source'!C110/10,0)+P110,ROUND('Budget by Source'!C110/10,0))</f>
        <v>9122</v>
      </c>
      <c r="D110" s="22">
        <f>IF(Notes!$B$2="June",ROUND('Budget by Source'!D110/10,0)+Q110,ROUND('Budget by Source'!D110/10,0))</f>
        <v>35418</v>
      </c>
      <c r="E110" s="22">
        <f>IF(Notes!$B$2="June",ROUND('Budget by Source'!E110/10,0)+R110,ROUND('Budget by Source'!E110/10,0))</f>
        <v>3873</v>
      </c>
      <c r="F110" s="22">
        <f>IF(Notes!$B$2="June",ROUND('Budget by Source'!F110/10,0)+S110,ROUND('Budget by Source'!F110/10,0))</f>
        <v>3757</v>
      </c>
      <c r="G110" s="22">
        <f>IF(Notes!$B$2="June",ROUND('Budget by Source'!G110/10,0)+T110,ROUND('Budget by Source'!G110/10,0))</f>
        <v>17225</v>
      </c>
      <c r="H110" s="22">
        <f t="shared" si="3"/>
        <v>236778</v>
      </c>
      <c r="I110" s="22">
        <f>INDEX(Data[],MATCH($A110,Data[Dist],0),MATCH(I$5,Data[#Headers],0))</f>
        <v>306173</v>
      </c>
      <c r="K110" s="69">
        <f>INDEX('Payment Total'!$A$7:$H$331,MATCH('Payment by Source'!$A110,'Payment Total'!$A$7:$A$331,0),3)-I110</f>
        <v>0</v>
      </c>
      <c r="P110" s="154">
        <f>INDEX('Budget by Source'!$A$6:$I$330,MATCH('Payment by Source'!$A110,'Budget by Source'!$A$6:$A$330,0),MATCH(P$3,'Budget by Source'!$A$5:$I$5,0))-(ROUND(INDEX('Budget by Source'!$A$6:$I$330,MATCH('Payment by Source'!$A110,'Budget by Source'!$A$6:$A$330,0),MATCH(P$3,'Budget by Source'!$A$5:$I$5,0))/10,0)*10)</f>
        <v>2</v>
      </c>
      <c r="Q110" s="154">
        <f>INDEX('Budget by Source'!$A$6:$I$330,MATCH('Payment by Source'!$A110,'Budget by Source'!$A$6:$A$330,0),MATCH(Q$3,'Budget by Source'!$A$5:$I$5,0))-(ROUND(INDEX('Budget by Source'!$A$6:$I$330,MATCH('Payment by Source'!$A110,'Budget by Source'!$A$6:$A$330,0),MATCH(Q$3,'Budget by Source'!$A$5:$I$5,0))/10,0)*10)</f>
        <v>-4</v>
      </c>
      <c r="R110" s="154">
        <f>INDEX('Budget by Source'!$A$6:$I$330,MATCH('Payment by Source'!$A110,'Budget by Source'!$A$6:$A$330,0),MATCH(R$3,'Budget by Source'!$A$5:$I$5,0))-(ROUND(INDEX('Budget by Source'!$A$6:$I$330,MATCH('Payment by Source'!$A110,'Budget by Source'!$A$6:$A$330,0),MATCH(R$3,'Budget by Source'!$A$5:$I$5,0))/10,0)*10)</f>
        <v>3</v>
      </c>
      <c r="S110" s="154">
        <f>INDEX('Budget by Source'!$A$6:$I$330,MATCH('Payment by Source'!$A110,'Budget by Source'!$A$6:$A$330,0),MATCH(S$3,'Budget by Source'!$A$5:$I$5,0))-(ROUND(INDEX('Budget by Source'!$A$6:$I$330,MATCH('Payment by Source'!$A110,'Budget by Source'!$A$6:$A$330,0),MATCH(S$3,'Budget by Source'!$A$5:$I$5,0))/10,0)*10)</f>
        <v>3</v>
      </c>
      <c r="T110" s="154">
        <f>INDEX('Budget by Source'!$A$6:$I$330,MATCH('Payment by Source'!$A110,'Budget by Source'!$A$6:$A$330,0),MATCH(T$3,'Budget by Source'!$A$5:$I$5,0))-(ROUND(INDEX('Budget by Source'!$A$6:$I$330,MATCH('Payment by Source'!$A110,'Budget by Source'!$A$6:$A$330,0),MATCH(T$3,'Budget by Source'!$A$5:$I$5,0))/10,0)*10)</f>
        <v>-5</v>
      </c>
      <c r="U110" s="155">
        <f>INDEX('Budget by Source'!$A$6:$I$330,MATCH('Payment by Source'!$A110,'Budget by Source'!$A$6:$A$330,0),MATCH(U$3,'Budget by Source'!$A$5:$I$5,0))</f>
        <v>2367784</v>
      </c>
      <c r="V110" s="152">
        <f t="shared" si="4"/>
        <v>236778</v>
      </c>
      <c r="W110" s="152">
        <f t="shared" si="5"/>
        <v>2367780</v>
      </c>
    </row>
    <row r="111" spans="1:23" x14ac:dyDescent="0.2">
      <c r="A111" s="23" t="str">
        <f>Data!B107</f>
        <v>2113</v>
      </c>
      <c r="B111" s="21" t="str">
        <f>INDEX(Data[],MATCH($A111,Data[Dist],0),MATCH(B$5,Data[#Headers],0))</f>
        <v>Essex</v>
      </c>
      <c r="C111" s="22">
        <f>IF(Notes!$B$2="June",ROUND('Budget by Source'!C111/10,0)+P111,ROUND('Budget by Source'!C111/10,0))</f>
        <v>3041</v>
      </c>
      <c r="D111" s="22">
        <f>IF(Notes!$B$2="June",ROUND('Budget by Source'!D111/10,0)+Q111,ROUND('Budget by Source'!D111/10,0))</f>
        <v>13676</v>
      </c>
      <c r="E111" s="22">
        <f>IF(Notes!$B$2="June",ROUND('Budget by Source'!E111/10,0)+R111,ROUND('Budget by Source'!E111/10,0))</f>
        <v>1927</v>
      </c>
      <c r="F111" s="22">
        <f>IF(Notes!$B$2="June",ROUND('Budget by Source'!F111/10,0)+S111,ROUND('Budget by Source'!F111/10,0))</f>
        <v>1349</v>
      </c>
      <c r="G111" s="22">
        <f>IF(Notes!$B$2="June",ROUND('Budget by Source'!G111/10,0)+T111,ROUND('Budget by Source'!G111/10,0))</f>
        <v>6836</v>
      </c>
      <c r="H111" s="22">
        <f t="shared" si="3"/>
        <v>102708</v>
      </c>
      <c r="I111" s="22">
        <f>INDEX(Data[],MATCH($A111,Data[Dist],0),MATCH(I$5,Data[#Headers],0))</f>
        <v>129537</v>
      </c>
      <c r="K111" s="69">
        <f>INDEX('Payment Total'!$A$7:$H$331,MATCH('Payment by Source'!$A111,'Payment Total'!$A$7:$A$331,0),3)-I111</f>
        <v>0</v>
      </c>
      <c r="P111" s="154">
        <f>INDEX('Budget by Source'!$A$6:$I$330,MATCH('Payment by Source'!$A111,'Budget by Source'!$A$6:$A$330,0),MATCH(P$3,'Budget by Source'!$A$5:$I$5,0))-(ROUND(INDEX('Budget by Source'!$A$6:$I$330,MATCH('Payment by Source'!$A111,'Budget by Source'!$A$6:$A$330,0),MATCH(P$3,'Budget by Source'!$A$5:$I$5,0))/10,0)*10)</f>
        <v>-3</v>
      </c>
      <c r="Q111" s="154">
        <f>INDEX('Budget by Source'!$A$6:$I$330,MATCH('Payment by Source'!$A111,'Budget by Source'!$A$6:$A$330,0),MATCH(Q$3,'Budget by Source'!$A$5:$I$5,0))-(ROUND(INDEX('Budget by Source'!$A$6:$I$330,MATCH('Payment by Source'!$A111,'Budget by Source'!$A$6:$A$330,0),MATCH(Q$3,'Budget by Source'!$A$5:$I$5,0))/10,0)*10)</f>
        <v>4</v>
      </c>
      <c r="R111" s="154">
        <f>INDEX('Budget by Source'!$A$6:$I$330,MATCH('Payment by Source'!$A111,'Budget by Source'!$A$6:$A$330,0),MATCH(R$3,'Budget by Source'!$A$5:$I$5,0))-(ROUND(INDEX('Budget by Source'!$A$6:$I$330,MATCH('Payment by Source'!$A111,'Budget by Source'!$A$6:$A$330,0),MATCH(R$3,'Budget by Source'!$A$5:$I$5,0))/10,0)*10)</f>
        <v>2</v>
      </c>
      <c r="S111" s="154">
        <f>INDEX('Budget by Source'!$A$6:$I$330,MATCH('Payment by Source'!$A111,'Budget by Source'!$A$6:$A$330,0),MATCH(S$3,'Budget by Source'!$A$5:$I$5,0))-(ROUND(INDEX('Budget by Source'!$A$6:$I$330,MATCH('Payment by Source'!$A111,'Budget by Source'!$A$6:$A$330,0),MATCH(S$3,'Budget by Source'!$A$5:$I$5,0))/10,0)*10)</f>
        <v>-4</v>
      </c>
      <c r="T111" s="154">
        <f>INDEX('Budget by Source'!$A$6:$I$330,MATCH('Payment by Source'!$A111,'Budget by Source'!$A$6:$A$330,0),MATCH(T$3,'Budget by Source'!$A$5:$I$5,0))-(ROUND(INDEX('Budget by Source'!$A$6:$I$330,MATCH('Payment by Source'!$A111,'Budget by Source'!$A$6:$A$330,0),MATCH(T$3,'Budget by Source'!$A$5:$I$5,0))/10,0)*10)</f>
        <v>2</v>
      </c>
      <c r="U111" s="155">
        <f>INDEX('Budget by Source'!$A$6:$I$330,MATCH('Payment by Source'!$A111,'Budget by Source'!$A$6:$A$330,0),MATCH(U$3,'Budget by Source'!$A$5:$I$5,0))</f>
        <v>1027083</v>
      </c>
      <c r="V111" s="152">
        <f t="shared" si="4"/>
        <v>102708</v>
      </c>
      <c r="W111" s="152">
        <f t="shared" si="5"/>
        <v>1027080</v>
      </c>
    </row>
    <row r="112" spans="1:23" x14ac:dyDescent="0.2">
      <c r="A112" s="23" t="str">
        <f>Data!B108</f>
        <v>2124</v>
      </c>
      <c r="B112" s="21" t="str">
        <f>INDEX(Data[],MATCH($A112,Data[Dist],0),MATCH(B$5,Data[#Headers],0))</f>
        <v>Estherville-Lincoln Central</v>
      </c>
      <c r="C112" s="22">
        <f>IF(Notes!$B$2="June",ROUND('Budget by Source'!C112/10,0)+P112,ROUND('Budget by Source'!C112/10,0))</f>
        <v>23566</v>
      </c>
      <c r="D112" s="22">
        <f>IF(Notes!$B$2="June",ROUND('Budget by Source'!D112/10,0)+Q112,ROUND('Budget by Source'!D112/10,0))</f>
        <v>79474</v>
      </c>
      <c r="E112" s="22">
        <f>IF(Notes!$B$2="June",ROUND('Budget by Source'!E112/10,0)+R112,ROUND('Budget by Source'!E112/10,0))</f>
        <v>10081</v>
      </c>
      <c r="F112" s="22">
        <f>IF(Notes!$B$2="June",ROUND('Budget by Source'!F112/10,0)+S112,ROUND('Budget by Source'!F112/10,0))</f>
        <v>8915</v>
      </c>
      <c r="G112" s="22">
        <f>IF(Notes!$B$2="June",ROUND('Budget by Source'!G112/10,0)+T112,ROUND('Budget by Source'!G112/10,0))</f>
        <v>44297</v>
      </c>
      <c r="H112" s="22">
        <f t="shared" si="3"/>
        <v>729507</v>
      </c>
      <c r="I112" s="22">
        <f>INDEX(Data[],MATCH($A112,Data[Dist],0),MATCH(I$5,Data[#Headers],0))</f>
        <v>895840</v>
      </c>
      <c r="K112" s="69">
        <f>INDEX('Payment Total'!$A$7:$H$331,MATCH('Payment by Source'!$A112,'Payment Total'!$A$7:$A$331,0),3)-I112</f>
        <v>0</v>
      </c>
      <c r="P112" s="154">
        <f>INDEX('Budget by Source'!$A$6:$I$330,MATCH('Payment by Source'!$A112,'Budget by Source'!$A$6:$A$330,0),MATCH(P$3,'Budget by Source'!$A$5:$I$5,0))-(ROUND(INDEX('Budget by Source'!$A$6:$I$330,MATCH('Payment by Source'!$A112,'Budget by Source'!$A$6:$A$330,0),MATCH(P$3,'Budget by Source'!$A$5:$I$5,0))/10,0)*10)</f>
        <v>-3</v>
      </c>
      <c r="Q112" s="154">
        <f>INDEX('Budget by Source'!$A$6:$I$330,MATCH('Payment by Source'!$A112,'Budget by Source'!$A$6:$A$330,0),MATCH(Q$3,'Budget by Source'!$A$5:$I$5,0))-(ROUND(INDEX('Budget by Source'!$A$6:$I$330,MATCH('Payment by Source'!$A112,'Budget by Source'!$A$6:$A$330,0),MATCH(Q$3,'Budget by Source'!$A$5:$I$5,0))/10,0)*10)</f>
        <v>-2</v>
      </c>
      <c r="R112" s="154">
        <f>INDEX('Budget by Source'!$A$6:$I$330,MATCH('Payment by Source'!$A112,'Budget by Source'!$A$6:$A$330,0),MATCH(R$3,'Budget by Source'!$A$5:$I$5,0))-(ROUND(INDEX('Budget by Source'!$A$6:$I$330,MATCH('Payment by Source'!$A112,'Budget by Source'!$A$6:$A$330,0),MATCH(R$3,'Budget by Source'!$A$5:$I$5,0))/10,0)*10)</f>
        <v>2</v>
      </c>
      <c r="S112" s="154">
        <f>INDEX('Budget by Source'!$A$6:$I$330,MATCH('Payment by Source'!$A112,'Budget by Source'!$A$6:$A$330,0),MATCH(S$3,'Budget by Source'!$A$5:$I$5,0))-(ROUND(INDEX('Budget by Source'!$A$6:$I$330,MATCH('Payment by Source'!$A112,'Budget by Source'!$A$6:$A$330,0),MATCH(S$3,'Budget by Source'!$A$5:$I$5,0))/10,0)*10)</f>
        <v>2</v>
      </c>
      <c r="T112" s="154">
        <f>INDEX('Budget by Source'!$A$6:$I$330,MATCH('Payment by Source'!$A112,'Budget by Source'!$A$6:$A$330,0),MATCH(T$3,'Budget by Source'!$A$5:$I$5,0))-(ROUND(INDEX('Budget by Source'!$A$6:$I$330,MATCH('Payment by Source'!$A112,'Budget by Source'!$A$6:$A$330,0),MATCH(T$3,'Budget by Source'!$A$5:$I$5,0))/10,0)*10)</f>
        <v>3</v>
      </c>
      <c r="U112" s="155">
        <f>INDEX('Budget by Source'!$A$6:$I$330,MATCH('Payment by Source'!$A112,'Budget by Source'!$A$6:$A$330,0),MATCH(U$3,'Budget by Source'!$A$5:$I$5,0))</f>
        <v>7295064</v>
      </c>
      <c r="V112" s="152">
        <f t="shared" si="4"/>
        <v>729506</v>
      </c>
      <c r="W112" s="152">
        <f t="shared" si="5"/>
        <v>7295060</v>
      </c>
    </row>
    <row r="113" spans="1:23" x14ac:dyDescent="0.2">
      <c r="A113" s="23" t="str">
        <f>Data!B109</f>
        <v>2151</v>
      </c>
      <c r="B113" s="21" t="str">
        <f>INDEX(Data[],MATCH($A113,Data[Dist],0),MATCH(B$5,Data[#Headers],0))</f>
        <v>Exira-Elk Horn-Kimballton</v>
      </c>
      <c r="C113" s="22">
        <f>IF(Notes!$B$2="June",ROUND('Budget by Source'!C113/10,0)+P113,ROUND('Budget by Source'!C113/10,0))</f>
        <v>7602</v>
      </c>
      <c r="D113" s="22">
        <f>IF(Notes!$B$2="June",ROUND('Budget by Source'!D113/10,0)+Q113,ROUND('Budget by Source'!D113/10,0))</f>
        <v>31633</v>
      </c>
      <c r="E113" s="22">
        <f>IF(Notes!$B$2="June",ROUND('Budget by Source'!E113/10,0)+R113,ROUND('Budget by Source'!E113/10,0))</f>
        <v>3265</v>
      </c>
      <c r="F113" s="22">
        <f>IF(Notes!$B$2="June",ROUND('Budget by Source'!F113/10,0)+S113,ROUND('Budget by Source'!F113/10,0))</f>
        <v>3360</v>
      </c>
      <c r="G113" s="22">
        <f>IF(Notes!$B$2="June",ROUND('Budget by Source'!G113/10,0)+T113,ROUND('Budget by Source'!G113/10,0))</f>
        <v>15718</v>
      </c>
      <c r="H113" s="22">
        <f t="shared" si="3"/>
        <v>202057</v>
      </c>
      <c r="I113" s="22">
        <f>INDEX(Data[],MATCH($A113,Data[Dist],0),MATCH(I$5,Data[#Headers],0))</f>
        <v>263635</v>
      </c>
      <c r="K113" s="69">
        <f>INDEX('Payment Total'!$A$7:$H$331,MATCH('Payment by Source'!$A113,'Payment Total'!$A$7:$A$331,0),3)-I113</f>
        <v>0</v>
      </c>
      <c r="P113" s="154">
        <f>INDEX('Budget by Source'!$A$6:$I$330,MATCH('Payment by Source'!$A113,'Budget by Source'!$A$6:$A$330,0),MATCH(P$3,'Budget by Source'!$A$5:$I$5,0))-(ROUND(INDEX('Budget by Source'!$A$6:$I$330,MATCH('Payment by Source'!$A113,'Budget by Source'!$A$6:$A$330,0),MATCH(P$3,'Budget by Source'!$A$5:$I$5,0))/10,0)*10)</f>
        <v>-2</v>
      </c>
      <c r="Q113" s="154">
        <f>INDEX('Budget by Source'!$A$6:$I$330,MATCH('Payment by Source'!$A113,'Budget by Source'!$A$6:$A$330,0),MATCH(Q$3,'Budget by Source'!$A$5:$I$5,0))-(ROUND(INDEX('Budget by Source'!$A$6:$I$330,MATCH('Payment by Source'!$A113,'Budget by Source'!$A$6:$A$330,0),MATCH(Q$3,'Budget by Source'!$A$5:$I$5,0))/10,0)*10)</f>
        <v>-3</v>
      </c>
      <c r="R113" s="154">
        <f>INDEX('Budget by Source'!$A$6:$I$330,MATCH('Payment by Source'!$A113,'Budget by Source'!$A$6:$A$330,0),MATCH(R$3,'Budget by Source'!$A$5:$I$5,0))-(ROUND(INDEX('Budget by Source'!$A$6:$I$330,MATCH('Payment by Source'!$A113,'Budget by Source'!$A$6:$A$330,0),MATCH(R$3,'Budget by Source'!$A$5:$I$5,0))/10,0)*10)</f>
        <v>3</v>
      </c>
      <c r="S113" s="154">
        <f>INDEX('Budget by Source'!$A$6:$I$330,MATCH('Payment by Source'!$A113,'Budget by Source'!$A$6:$A$330,0),MATCH(S$3,'Budget by Source'!$A$5:$I$5,0))-(ROUND(INDEX('Budget by Source'!$A$6:$I$330,MATCH('Payment by Source'!$A113,'Budget by Source'!$A$6:$A$330,0),MATCH(S$3,'Budget by Source'!$A$5:$I$5,0))/10,0)*10)</f>
        <v>-5</v>
      </c>
      <c r="T113" s="154">
        <f>INDEX('Budget by Source'!$A$6:$I$330,MATCH('Payment by Source'!$A113,'Budget by Source'!$A$6:$A$330,0),MATCH(T$3,'Budget by Source'!$A$5:$I$5,0))-(ROUND(INDEX('Budget by Source'!$A$6:$I$330,MATCH('Payment by Source'!$A113,'Budget by Source'!$A$6:$A$330,0),MATCH(T$3,'Budget by Source'!$A$5:$I$5,0))/10,0)*10)</f>
        <v>-2</v>
      </c>
      <c r="U113" s="155">
        <f>INDEX('Budget by Source'!$A$6:$I$330,MATCH('Payment by Source'!$A113,'Budget by Source'!$A$6:$A$330,0),MATCH(U$3,'Budget by Source'!$A$5:$I$5,0))</f>
        <v>2020577</v>
      </c>
      <c r="V113" s="152">
        <f t="shared" si="4"/>
        <v>202058</v>
      </c>
      <c r="W113" s="152">
        <f t="shared" si="5"/>
        <v>2020580</v>
      </c>
    </row>
    <row r="114" spans="1:23" x14ac:dyDescent="0.2">
      <c r="A114" s="23" t="str">
        <f>Data!B110</f>
        <v>2169</v>
      </c>
      <c r="B114" s="21" t="str">
        <f>INDEX(Data[],MATCH($A114,Data[Dist],0),MATCH(B$5,Data[#Headers],0))</f>
        <v>Fairfield</v>
      </c>
      <c r="C114" s="22">
        <f>IF(Notes!$B$2="June",ROUND('Budget by Source'!C114/10,0)+P114,ROUND('Budget by Source'!C114/10,0))</f>
        <v>19005</v>
      </c>
      <c r="D114" s="22">
        <f>IF(Notes!$B$2="June",ROUND('Budget by Source'!D114/10,0)+Q114,ROUND('Budget by Source'!D114/10,0))</f>
        <v>105313</v>
      </c>
      <c r="E114" s="22">
        <f>IF(Notes!$B$2="June",ROUND('Budget by Source'!E114/10,0)+R114,ROUND('Budget by Source'!E114/10,0))</f>
        <v>12195</v>
      </c>
      <c r="F114" s="22">
        <f>IF(Notes!$B$2="June",ROUND('Budget by Source'!F114/10,0)+S114,ROUND('Budget by Source'!F114/10,0))</f>
        <v>11122</v>
      </c>
      <c r="G114" s="22">
        <f>IF(Notes!$B$2="June",ROUND('Budget by Source'!G114/10,0)+T114,ROUND('Budget by Source'!G114/10,0))</f>
        <v>57797</v>
      </c>
      <c r="H114" s="22">
        <f t="shared" si="3"/>
        <v>772767</v>
      </c>
      <c r="I114" s="22">
        <f>INDEX(Data[],MATCH($A114,Data[Dist],0),MATCH(I$5,Data[#Headers],0))</f>
        <v>978199</v>
      </c>
      <c r="K114" s="69">
        <f>INDEX('Payment Total'!$A$7:$H$331,MATCH('Payment by Source'!$A114,'Payment Total'!$A$7:$A$331,0),3)-I114</f>
        <v>0</v>
      </c>
      <c r="P114" s="154">
        <f>INDEX('Budget by Source'!$A$6:$I$330,MATCH('Payment by Source'!$A114,'Budget by Source'!$A$6:$A$330,0),MATCH(P$3,'Budget by Source'!$A$5:$I$5,0))-(ROUND(INDEX('Budget by Source'!$A$6:$I$330,MATCH('Payment by Source'!$A114,'Budget by Source'!$A$6:$A$330,0),MATCH(P$3,'Budget by Source'!$A$5:$I$5,0))/10,0)*10)</f>
        <v>-4</v>
      </c>
      <c r="Q114" s="154">
        <f>INDEX('Budget by Source'!$A$6:$I$330,MATCH('Payment by Source'!$A114,'Budget by Source'!$A$6:$A$330,0),MATCH(Q$3,'Budget by Source'!$A$5:$I$5,0))-(ROUND(INDEX('Budget by Source'!$A$6:$I$330,MATCH('Payment by Source'!$A114,'Budget by Source'!$A$6:$A$330,0),MATCH(Q$3,'Budget by Source'!$A$5:$I$5,0))/10,0)*10)</f>
        <v>-1</v>
      </c>
      <c r="R114" s="154">
        <f>INDEX('Budget by Source'!$A$6:$I$330,MATCH('Payment by Source'!$A114,'Budget by Source'!$A$6:$A$330,0),MATCH(R$3,'Budget by Source'!$A$5:$I$5,0))-(ROUND(INDEX('Budget by Source'!$A$6:$I$330,MATCH('Payment by Source'!$A114,'Budget by Source'!$A$6:$A$330,0),MATCH(R$3,'Budget by Source'!$A$5:$I$5,0))/10,0)*10)</f>
        <v>1</v>
      </c>
      <c r="S114" s="154">
        <f>INDEX('Budget by Source'!$A$6:$I$330,MATCH('Payment by Source'!$A114,'Budget by Source'!$A$6:$A$330,0),MATCH(S$3,'Budget by Source'!$A$5:$I$5,0))-(ROUND(INDEX('Budget by Source'!$A$6:$I$330,MATCH('Payment by Source'!$A114,'Budget by Source'!$A$6:$A$330,0),MATCH(S$3,'Budget by Source'!$A$5:$I$5,0))/10,0)*10)</f>
        <v>4</v>
      </c>
      <c r="T114" s="154">
        <f>INDEX('Budget by Source'!$A$6:$I$330,MATCH('Payment by Source'!$A114,'Budget by Source'!$A$6:$A$330,0),MATCH(T$3,'Budget by Source'!$A$5:$I$5,0))-(ROUND(INDEX('Budget by Source'!$A$6:$I$330,MATCH('Payment by Source'!$A114,'Budget by Source'!$A$6:$A$330,0),MATCH(T$3,'Budget by Source'!$A$5:$I$5,0))/10,0)*10)</f>
        <v>-4</v>
      </c>
      <c r="U114" s="155">
        <f>INDEX('Budget by Source'!$A$6:$I$330,MATCH('Payment by Source'!$A114,'Budget by Source'!$A$6:$A$330,0),MATCH(U$3,'Budget by Source'!$A$5:$I$5,0))</f>
        <v>7727669</v>
      </c>
      <c r="V114" s="152">
        <f t="shared" si="4"/>
        <v>772767</v>
      </c>
      <c r="W114" s="152">
        <f t="shared" si="5"/>
        <v>7727670</v>
      </c>
    </row>
    <row r="115" spans="1:23" x14ac:dyDescent="0.2">
      <c r="A115" s="23" t="str">
        <f>Data!B111</f>
        <v>2295</v>
      </c>
      <c r="B115" s="21" t="str">
        <f>INDEX(Data[],MATCH($A115,Data[Dist],0),MATCH(B$5,Data[#Headers],0))</f>
        <v>Forest City</v>
      </c>
      <c r="C115" s="22">
        <f>IF(Notes!$B$2="June",ROUND('Budget by Source'!C115/10,0)+P115,ROUND('Budget by Source'!C115/10,0))</f>
        <v>21285</v>
      </c>
      <c r="D115" s="22">
        <f>IF(Notes!$B$2="June",ROUND('Budget by Source'!D115/10,0)+Q115,ROUND('Budget by Source'!D115/10,0))</f>
        <v>72698</v>
      </c>
      <c r="E115" s="22">
        <f>IF(Notes!$B$2="June",ROUND('Budget by Source'!E115/10,0)+R115,ROUND('Budget by Source'!E115/10,0))</f>
        <v>8266</v>
      </c>
      <c r="F115" s="22">
        <f>IF(Notes!$B$2="June",ROUND('Budget by Source'!F115/10,0)+S115,ROUND('Budget by Source'!F115/10,0))</f>
        <v>8439</v>
      </c>
      <c r="G115" s="22">
        <f>IF(Notes!$B$2="June",ROUND('Budget by Source'!G115/10,0)+T115,ROUND('Budget by Source'!G115/10,0))</f>
        <v>38895</v>
      </c>
      <c r="H115" s="22">
        <f t="shared" si="3"/>
        <v>583171</v>
      </c>
      <c r="I115" s="22">
        <f>INDEX(Data[],MATCH($A115,Data[Dist],0),MATCH(I$5,Data[#Headers],0))</f>
        <v>732754</v>
      </c>
      <c r="K115" s="69">
        <f>INDEX('Payment Total'!$A$7:$H$331,MATCH('Payment by Source'!$A115,'Payment Total'!$A$7:$A$331,0),3)-I115</f>
        <v>0</v>
      </c>
      <c r="P115" s="154">
        <f>INDEX('Budget by Source'!$A$6:$I$330,MATCH('Payment by Source'!$A115,'Budget by Source'!$A$6:$A$330,0),MATCH(P$3,'Budget by Source'!$A$5:$I$5,0))-(ROUND(INDEX('Budget by Source'!$A$6:$I$330,MATCH('Payment by Source'!$A115,'Budget by Source'!$A$6:$A$330,0),MATCH(P$3,'Budget by Source'!$A$5:$I$5,0))/10,0)*10)</f>
        <v>1</v>
      </c>
      <c r="Q115" s="154">
        <f>INDEX('Budget by Source'!$A$6:$I$330,MATCH('Payment by Source'!$A115,'Budget by Source'!$A$6:$A$330,0),MATCH(Q$3,'Budget by Source'!$A$5:$I$5,0))-(ROUND(INDEX('Budget by Source'!$A$6:$I$330,MATCH('Payment by Source'!$A115,'Budget by Source'!$A$6:$A$330,0),MATCH(Q$3,'Budget by Source'!$A$5:$I$5,0))/10,0)*10)</f>
        <v>1</v>
      </c>
      <c r="R115" s="154">
        <f>INDEX('Budget by Source'!$A$6:$I$330,MATCH('Payment by Source'!$A115,'Budget by Source'!$A$6:$A$330,0),MATCH(R$3,'Budget by Source'!$A$5:$I$5,0))-(ROUND(INDEX('Budget by Source'!$A$6:$I$330,MATCH('Payment by Source'!$A115,'Budget by Source'!$A$6:$A$330,0),MATCH(R$3,'Budget by Source'!$A$5:$I$5,0))/10,0)*10)</f>
        <v>-1</v>
      </c>
      <c r="S115" s="154">
        <f>INDEX('Budget by Source'!$A$6:$I$330,MATCH('Payment by Source'!$A115,'Budget by Source'!$A$6:$A$330,0),MATCH(S$3,'Budget by Source'!$A$5:$I$5,0))-(ROUND(INDEX('Budget by Source'!$A$6:$I$330,MATCH('Payment by Source'!$A115,'Budget by Source'!$A$6:$A$330,0),MATCH(S$3,'Budget by Source'!$A$5:$I$5,0))/10,0)*10)</f>
        <v>0</v>
      </c>
      <c r="T115" s="154">
        <f>INDEX('Budget by Source'!$A$6:$I$330,MATCH('Payment by Source'!$A115,'Budget by Source'!$A$6:$A$330,0),MATCH(T$3,'Budget by Source'!$A$5:$I$5,0))-(ROUND(INDEX('Budget by Source'!$A$6:$I$330,MATCH('Payment by Source'!$A115,'Budget by Source'!$A$6:$A$330,0),MATCH(T$3,'Budget by Source'!$A$5:$I$5,0))/10,0)*10)</f>
        <v>-3</v>
      </c>
      <c r="U115" s="155">
        <f>INDEX('Budget by Source'!$A$6:$I$330,MATCH('Payment by Source'!$A115,'Budget by Source'!$A$6:$A$330,0),MATCH(U$3,'Budget by Source'!$A$5:$I$5,0))</f>
        <v>5831714</v>
      </c>
      <c r="V115" s="152">
        <f t="shared" si="4"/>
        <v>583171</v>
      </c>
      <c r="W115" s="152">
        <f t="shared" si="5"/>
        <v>5831710</v>
      </c>
    </row>
    <row r="116" spans="1:23" x14ac:dyDescent="0.2">
      <c r="A116" s="23" t="str">
        <f>Data!B112</f>
        <v>2313</v>
      </c>
      <c r="B116" s="21" t="str">
        <f>INDEX(Data[],MATCH($A116,Data[Dist],0),MATCH(B$5,Data[#Headers],0))</f>
        <v>Fort Dodge</v>
      </c>
      <c r="C116" s="22">
        <f>IF(Notes!$B$2="June",ROUND('Budget by Source'!C116/10,0)+P116,ROUND('Budget by Source'!C116/10,0))</f>
        <v>83249</v>
      </c>
      <c r="D116" s="22">
        <f>IF(Notes!$B$2="June",ROUND('Budget by Source'!D116/10,0)+Q116,ROUND('Budget by Source'!D116/10,0))</f>
        <v>237373</v>
      </c>
      <c r="E116" s="22">
        <f>IF(Notes!$B$2="June",ROUND('Budget by Source'!E116/10,0)+R116,ROUND('Budget by Source'!E116/10,0))</f>
        <v>31098</v>
      </c>
      <c r="F116" s="22">
        <f>IF(Notes!$B$2="June",ROUND('Budget by Source'!F116/10,0)+S116,ROUND('Budget by Source'!F116/10,0))</f>
        <v>27541</v>
      </c>
      <c r="G116" s="22">
        <f>IF(Notes!$B$2="June",ROUND('Budget by Source'!G116/10,0)+T116,ROUND('Budget by Source'!G116/10,0))</f>
        <v>131234</v>
      </c>
      <c r="H116" s="22">
        <f t="shared" si="3"/>
        <v>2296185</v>
      </c>
      <c r="I116" s="22">
        <f>INDEX(Data[],MATCH($A116,Data[Dist],0),MATCH(I$5,Data[#Headers],0))</f>
        <v>2806680</v>
      </c>
      <c r="K116" s="69">
        <f>INDEX('Payment Total'!$A$7:$H$331,MATCH('Payment by Source'!$A116,'Payment Total'!$A$7:$A$331,0),3)-I116</f>
        <v>0</v>
      </c>
      <c r="P116" s="154">
        <f>INDEX('Budget by Source'!$A$6:$I$330,MATCH('Payment by Source'!$A116,'Budget by Source'!$A$6:$A$330,0),MATCH(P$3,'Budget by Source'!$A$5:$I$5,0))-(ROUND(INDEX('Budget by Source'!$A$6:$I$330,MATCH('Payment by Source'!$A116,'Budget by Source'!$A$6:$A$330,0),MATCH(P$3,'Budget by Source'!$A$5:$I$5,0))/10,0)*10)</f>
        <v>4</v>
      </c>
      <c r="Q116" s="154">
        <f>INDEX('Budget by Source'!$A$6:$I$330,MATCH('Payment by Source'!$A116,'Budget by Source'!$A$6:$A$330,0),MATCH(Q$3,'Budget by Source'!$A$5:$I$5,0))-(ROUND(INDEX('Budget by Source'!$A$6:$I$330,MATCH('Payment by Source'!$A116,'Budget by Source'!$A$6:$A$330,0),MATCH(Q$3,'Budget by Source'!$A$5:$I$5,0))/10,0)*10)</f>
        <v>-3</v>
      </c>
      <c r="R116" s="154">
        <f>INDEX('Budget by Source'!$A$6:$I$330,MATCH('Payment by Source'!$A116,'Budget by Source'!$A$6:$A$330,0),MATCH(R$3,'Budget by Source'!$A$5:$I$5,0))-(ROUND(INDEX('Budget by Source'!$A$6:$I$330,MATCH('Payment by Source'!$A116,'Budget by Source'!$A$6:$A$330,0),MATCH(R$3,'Budget by Source'!$A$5:$I$5,0))/10,0)*10)</f>
        <v>2</v>
      </c>
      <c r="S116" s="154">
        <f>INDEX('Budget by Source'!$A$6:$I$330,MATCH('Payment by Source'!$A116,'Budget by Source'!$A$6:$A$330,0),MATCH(S$3,'Budget by Source'!$A$5:$I$5,0))-(ROUND(INDEX('Budget by Source'!$A$6:$I$330,MATCH('Payment by Source'!$A116,'Budget by Source'!$A$6:$A$330,0),MATCH(S$3,'Budget by Source'!$A$5:$I$5,0))/10,0)*10)</f>
        <v>-2</v>
      </c>
      <c r="T116" s="154">
        <f>INDEX('Budget by Source'!$A$6:$I$330,MATCH('Payment by Source'!$A116,'Budget by Source'!$A$6:$A$330,0),MATCH(T$3,'Budget by Source'!$A$5:$I$5,0))-(ROUND(INDEX('Budget by Source'!$A$6:$I$330,MATCH('Payment by Source'!$A116,'Budget by Source'!$A$6:$A$330,0),MATCH(T$3,'Budget by Source'!$A$5:$I$5,0))/10,0)*10)</f>
        <v>-5</v>
      </c>
      <c r="U116" s="155">
        <f>INDEX('Budget by Source'!$A$6:$I$330,MATCH('Payment by Source'!$A116,'Budget by Source'!$A$6:$A$330,0),MATCH(U$3,'Budget by Source'!$A$5:$I$5,0))</f>
        <v>22961853</v>
      </c>
      <c r="V116" s="152">
        <f t="shared" si="4"/>
        <v>2296185</v>
      </c>
      <c r="W116" s="152">
        <f t="shared" si="5"/>
        <v>22961850</v>
      </c>
    </row>
    <row r="117" spans="1:23" x14ac:dyDescent="0.2">
      <c r="A117" s="23" t="str">
        <f>Data!B113</f>
        <v>2322</v>
      </c>
      <c r="B117" s="21" t="str">
        <f>INDEX(Data[],MATCH($A117,Data[Dist],0),MATCH(B$5,Data[#Headers],0))</f>
        <v>Fort Madison</v>
      </c>
      <c r="C117" s="22">
        <f>IF(Notes!$B$2="June",ROUND('Budget by Source'!C117/10,0)+P117,ROUND('Budget by Source'!C117/10,0))</f>
        <v>22045</v>
      </c>
      <c r="D117" s="22">
        <f>IF(Notes!$B$2="June",ROUND('Budget by Source'!D117/10,0)+Q117,ROUND('Budget by Source'!D117/10,0))</f>
        <v>132096</v>
      </c>
      <c r="E117" s="22">
        <f>IF(Notes!$B$2="June",ROUND('Budget by Source'!E117/10,0)+R117,ROUND('Budget by Source'!E117/10,0))</f>
        <v>16485</v>
      </c>
      <c r="F117" s="22">
        <f>IF(Notes!$B$2="June",ROUND('Budget by Source'!F117/10,0)+S117,ROUND('Budget by Source'!F117/10,0))</f>
        <v>14824</v>
      </c>
      <c r="G117" s="22">
        <f>IF(Notes!$B$2="June",ROUND('Budget by Source'!G117/10,0)+T117,ROUND('Budget by Source'!G117/10,0))</f>
        <v>77469</v>
      </c>
      <c r="H117" s="22">
        <f t="shared" si="3"/>
        <v>1252340</v>
      </c>
      <c r="I117" s="22">
        <f>INDEX(Data[],MATCH($A117,Data[Dist],0),MATCH(I$5,Data[#Headers],0))</f>
        <v>1515259</v>
      </c>
      <c r="K117" s="69">
        <f>INDEX('Payment Total'!$A$7:$H$331,MATCH('Payment by Source'!$A117,'Payment Total'!$A$7:$A$331,0),3)-I117</f>
        <v>0</v>
      </c>
      <c r="P117" s="154">
        <f>INDEX('Budget by Source'!$A$6:$I$330,MATCH('Payment by Source'!$A117,'Budget by Source'!$A$6:$A$330,0),MATCH(P$3,'Budget by Source'!$A$5:$I$5,0))-(ROUND(INDEX('Budget by Source'!$A$6:$I$330,MATCH('Payment by Source'!$A117,'Budget by Source'!$A$6:$A$330,0),MATCH(P$3,'Budget by Source'!$A$5:$I$5,0))/10,0)*10)</f>
        <v>3</v>
      </c>
      <c r="Q117" s="154">
        <f>INDEX('Budget by Source'!$A$6:$I$330,MATCH('Payment by Source'!$A117,'Budget by Source'!$A$6:$A$330,0),MATCH(Q$3,'Budget by Source'!$A$5:$I$5,0))-(ROUND(INDEX('Budget by Source'!$A$6:$I$330,MATCH('Payment by Source'!$A117,'Budget by Source'!$A$6:$A$330,0),MATCH(Q$3,'Budget by Source'!$A$5:$I$5,0))/10,0)*10)</f>
        <v>0</v>
      </c>
      <c r="R117" s="154">
        <f>INDEX('Budget by Source'!$A$6:$I$330,MATCH('Payment by Source'!$A117,'Budget by Source'!$A$6:$A$330,0),MATCH(R$3,'Budget by Source'!$A$5:$I$5,0))-(ROUND(INDEX('Budget by Source'!$A$6:$I$330,MATCH('Payment by Source'!$A117,'Budget by Source'!$A$6:$A$330,0),MATCH(R$3,'Budget by Source'!$A$5:$I$5,0))/10,0)*10)</f>
        <v>-3</v>
      </c>
      <c r="S117" s="154">
        <f>INDEX('Budget by Source'!$A$6:$I$330,MATCH('Payment by Source'!$A117,'Budget by Source'!$A$6:$A$330,0),MATCH(S$3,'Budget by Source'!$A$5:$I$5,0))-(ROUND(INDEX('Budget by Source'!$A$6:$I$330,MATCH('Payment by Source'!$A117,'Budget by Source'!$A$6:$A$330,0),MATCH(S$3,'Budget by Source'!$A$5:$I$5,0))/10,0)*10)</f>
        <v>0</v>
      </c>
      <c r="T117" s="154">
        <f>INDEX('Budget by Source'!$A$6:$I$330,MATCH('Payment by Source'!$A117,'Budget by Source'!$A$6:$A$330,0),MATCH(T$3,'Budget by Source'!$A$5:$I$5,0))-(ROUND(INDEX('Budget by Source'!$A$6:$I$330,MATCH('Payment by Source'!$A117,'Budget by Source'!$A$6:$A$330,0),MATCH(T$3,'Budget by Source'!$A$5:$I$5,0))/10,0)*10)</f>
        <v>-3</v>
      </c>
      <c r="U117" s="155">
        <f>INDEX('Budget by Source'!$A$6:$I$330,MATCH('Payment by Source'!$A117,'Budget by Source'!$A$6:$A$330,0),MATCH(U$3,'Budget by Source'!$A$5:$I$5,0))</f>
        <v>12523399</v>
      </c>
      <c r="V117" s="152">
        <f t="shared" si="4"/>
        <v>1252340</v>
      </c>
      <c r="W117" s="152">
        <f t="shared" si="5"/>
        <v>12523400</v>
      </c>
    </row>
    <row r="118" spans="1:23" x14ac:dyDescent="0.2">
      <c r="A118" s="23" t="str">
        <f>Data!B114</f>
        <v>2369</v>
      </c>
      <c r="B118" s="21" t="str">
        <f>INDEX(Data[],MATCH($A118,Data[Dist],0),MATCH(B$5,Data[#Headers],0))</f>
        <v>Fremont-Mills</v>
      </c>
      <c r="C118" s="22">
        <f>IF(Notes!$B$2="June",ROUND('Budget by Source'!C118/10,0)+P118,ROUND('Budget by Source'!C118/10,0))</f>
        <v>9122</v>
      </c>
      <c r="D118" s="22">
        <f>IF(Notes!$B$2="June",ROUND('Budget by Source'!D118/10,0)+Q118,ROUND('Budget by Source'!D118/10,0))</f>
        <v>28464</v>
      </c>
      <c r="E118" s="22">
        <f>IF(Notes!$B$2="June",ROUND('Budget by Source'!E118/10,0)+R118,ROUND('Budget by Source'!E118/10,0))</f>
        <v>3647</v>
      </c>
      <c r="F118" s="22">
        <f>IF(Notes!$B$2="June",ROUND('Budget by Source'!F118/10,0)+S118,ROUND('Budget by Source'!F118/10,0))</f>
        <v>2818</v>
      </c>
      <c r="G118" s="22">
        <f>IF(Notes!$B$2="June",ROUND('Budget by Source'!G118/10,0)+T118,ROUND('Budget by Source'!G118/10,0))</f>
        <v>15994</v>
      </c>
      <c r="H118" s="22">
        <f t="shared" si="3"/>
        <v>242878</v>
      </c>
      <c r="I118" s="22">
        <f>INDEX(Data[],MATCH($A118,Data[Dist],0),MATCH(I$5,Data[#Headers],0))</f>
        <v>302923</v>
      </c>
      <c r="K118" s="69">
        <f>INDEX('Payment Total'!$A$7:$H$331,MATCH('Payment by Source'!$A118,'Payment Total'!$A$7:$A$331,0),3)-I118</f>
        <v>0</v>
      </c>
      <c r="P118" s="154">
        <f>INDEX('Budget by Source'!$A$6:$I$330,MATCH('Payment by Source'!$A118,'Budget by Source'!$A$6:$A$330,0),MATCH(P$3,'Budget by Source'!$A$5:$I$5,0))-(ROUND(INDEX('Budget by Source'!$A$6:$I$330,MATCH('Payment by Source'!$A118,'Budget by Source'!$A$6:$A$330,0),MATCH(P$3,'Budget by Source'!$A$5:$I$5,0))/10,0)*10)</f>
        <v>2</v>
      </c>
      <c r="Q118" s="154">
        <f>INDEX('Budget by Source'!$A$6:$I$330,MATCH('Payment by Source'!$A118,'Budget by Source'!$A$6:$A$330,0),MATCH(Q$3,'Budget by Source'!$A$5:$I$5,0))-(ROUND(INDEX('Budget by Source'!$A$6:$I$330,MATCH('Payment by Source'!$A118,'Budget by Source'!$A$6:$A$330,0),MATCH(Q$3,'Budget by Source'!$A$5:$I$5,0))/10,0)*10)</f>
        <v>-5</v>
      </c>
      <c r="R118" s="154">
        <f>INDEX('Budget by Source'!$A$6:$I$330,MATCH('Payment by Source'!$A118,'Budget by Source'!$A$6:$A$330,0),MATCH(R$3,'Budget by Source'!$A$5:$I$5,0))-(ROUND(INDEX('Budget by Source'!$A$6:$I$330,MATCH('Payment by Source'!$A118,'Budget by Source'!$A$6:$A$330,0),MATCH(R$3,'Budget by Source'!$A$5:$I$5,0))/10,0)*10)</f>
        <v>-5</v>
      </c>
      <c r="S118" s="154">
        <f>INDEX('Budget by Source'!$A$6:$I$330,MATCH('Payment by Source'!$A118,'Budget by Source'!$A$6:$A$330,0),MATCH(S$3,'Budget by Source'!$A$5:$I$5,0))-(ROUND(INDEX('Budget by Source'!$A$6:$I$330,MATCH('Payment by Source'!$A118,'Budget by Source'!$A$6:$A$330,0),MATCH(S$3,'Budget by Source'!$A$5:$I$5,0))/10,0)*10)</f>
        <v>0</v>
      </c>
      <c r="T118" s="154">
        <f>INDEX('Budget by Source'!$A$6:$I$330,MATCH('Payment by Source'!$A118,'Budget by Source'!$A$6:$A$330,0),MATCH(T$3,'Budget by Source'!$A$5:$I$5,0))-(ROUND(INDEX('Budget by Source'!$A$6:$I$330,MATCH('Payment by Source'!$A118,'Budget by Source'!$A$6:$A$330,0),MATCH(T$3,'Budget by Source'!$A$5:$I$5,0))/10,0)*10)</f>
        <v>2</v>
      </c>
      <c r="U118" s="155">
        <f>INDEX('Budget by Source'!$A$6:$I$330,MATCH('Payment by Source'!$A118,'Budget by Source'!$A$6:$A$330,0),MATCH(U$3,'Budget by Source'!$A$5:$I$5,0))</f>
        <v>2428785</v>
      </c>
      <c r="V118" s="152">
        <f t="shared" si="4"/>
        <v>242879</v>
      </c>
      <c r="W118" s="152">
        <f t="shared" si="5"/>
        <v>2428790</v>
      </c>
    </row>
    <row r="119" spans="1:23" x14ac:dyDescent="0.2">
      <c r="A119" s="23" t="str">
        <f>Data!B115</f>
        <v>2376</v>
      </c>
      <c r="B119" s="21" t="str">
        <f>INDEX(Data[],MATCH($A119,Data[Dist],0),MATCH(B$5,Data[#Headers],0))</f>
        <v>Galva-Holstein</v>
      </c>
      <c r="C119" s="22">
        <f>IF(Notes!$B$2="June",ROUND('Budget by Source'!C119/10,0)+P119,ROUND('Budget by Source'!C119/10,0))</f>
        <v>9502</v>
      </c>
      <c r="D119" s="22">
        <f>IF(Notes!$B$2="June",ROUND('Budget by Source'!D119/10,0)+Q119,ROUND('Budget by Source'!D119/10,0))</f>
        <v>32599</v>
      </c>
      <c r="E119" s="22">
        <f>IF(Notes!$B$2="June",ROUND('Budget by Source'!E119/10,0)+R119,ROUND('Budget by Source'!E119/10,0))</f>
        <v>3588</v>
      </c>
      <c r="F119" s="22">
        <f>IF(Notes!$B$2="June",ROUND('Budget by Source'!F119/10,0)+S119,ROUND('Budget by Source'!F119/10,0))</f>
        <v>3421</v>
      </c>
      <c r="G119" s="22">
        <f>IF(Notes!$B$2="June",ROUND('Budget by Source'!G119/10,0)+T119,ROUND('Budget by Source'!G119/10,0))</f>
        <v>17100</v>
      </c>
      <c r="H119" s="22">
        <f t="shared" si="3"/>
        <v>193957</v>
      </c>
      <c r="I119" s="22">
        <f>INDEX(Data[],MATCH($A119,Data[Dist],0),MATCH(I$5,Data[#Headers],0))</f>
        <v>260167</v>
      </c>
      <c r="K119" s="69">
        <f>INDEX('Payment Total'!$A$7:$H$331,MATCH('Payment by Source'!$A119,'Payment Total'!$A$7:$A$331,0),3)-I119</f>
        <v>0</v>
      </c>
      <c r="P119" s="154">
        <f>INDEX('Budget by Source'!$A$6:$I$330,MATCH('Payment by Source'!$A119,'Budget by Source'!$A$6:$A$330,0),MATCH(P$3,'Budget by Source'!$A$5:$I$5,0))-(ROUND(INDEX('Budget by Source'!$A$6:$I$330,MATCH('Payment by Source'!$A119,'Budget by Source'!$A$6:$A$330,0),MATCH(P$3,'Budget by Source'!$A$5:$I$5,0))/10,0)*10)</f>
        <v>3</v>
      </c>
      <c r="Q119" s="154">
        <f>INDEX('Budget by Source'!$A$6:$I$330,MATCH('Payment by Source'!$A119,'Budget by Source'!$A$6:$A$330,0),MATCH(Q$3,'Budget by Source'!$A$5:$I$5,0))-(ROUND(INDEX('Budget by Source'!$A$6:$I$330,MATCH('Payment by Source'!$A119,'Budget by Source'!$A$6:$A$330,0),MATCH(Q$3,'Budget by Source'!$A$5:$I$5,0))/10,0)*10)</f>
        <v>-2</v>
      </c>
      <c r="R119" s="154">
        <f>INDEX('Budget by Source'!$A$6:$I$330,MATCH('Payment by Source'!$A119,'Budget by Source'!$A$6:$A$330,0),MATCH(R$3,'Budget by Source'!$A$5:$I$5,0))-(ROUND(INDEX('Budget by Source'!$A$6:$I$330,MATCH('Payment by Source'!$A119,'Budget by Source'!$A$6:$A$330,0),MATCH(R$3,'Budget by Source'!$A$5:$I$5,0))/10,0)*10)</f>
        <v>1</v>
      </c>
      <c r="S119" s="154">
        <f>INDEX('Budget by Source'!$A$6:$I$330,MATCH('Payment by Source'!$A119,'Budget by Source'!$A$6:$A$330,0),MATCH(S$3,'Budget by Source'!$A$5:$I$5,0))-(ROUND(INDEX('Budget by Source'!$A$6:$I$330,MATCH('Payment by Source'!$A119,'Budget by Source'!$A$6:$A$330,0),MATCH(S$3,'Budget by Source'!$A$5:$I$5,0))/10,0)*10)</f>
        <v>-4</v>
      </c>
      <c r="T119" s="154">
        <f>INDEX('Budget by Source'!$A$6:$I$330,MATCH('Payment by Source'!$A119,'Budget by Source'!$A$6:$A$330,0),MATCH(T$3,'Budget by Source'!$A$5:$I$5,0))-(ROUND(INDEX('Budget by Source'!$A$6:$I$330,MATCH('Payment by Source'!$A119,'Budget by Source'!$A$6:$A$330,0),MATCH(T$3,'Budget by Source'!$A$5:$I$5,0))/10,0)*10)</f>
        <v>-2</v>
      </c>
      <c r="U119" s="155">
        <f>INDEX('Budget by Source'!$A$6:$I$330,MATCH('Payment by Source'!$A119,'Budget by Source'!$A$6:$A$330,0),MATCH(U$3,'Budget by Source'!$A$5:$I$5,0))</f>
        <v>1939571</v>
      </c>
      <c r="V119" s="152">
        <f t="shared" si="4"/>
        <v>193957</v>
      </c>
      <c r="W119" s="152">
        <f t="shared" si="5"/>
        <v>1939570</v>
      </c>
    </row>
    <row r="120" spans="1:23" x14ac:dyDescent="0.2">
      <c r="A120" s="23" t="str">
        <f>Data!B116</f>
        <v>2403</v>
      </c>
      <c r="B120" s="21" t="str">
        <f>INDEX(Data[],MATCH($A120,Data[Dist],0),MATCH(B$5,Data[#Headers],0))</f>
        <v>Garner-Hayfield-Ventura</v>
      </c>
      <c r="C120" s="22">
        <f>IF(Notes!$B$2="June",ROUND('Budget by Source'!C120/10,0)+P120,ROUND('Budget by Source'!C120/10,0))</f>
        <v>28127</v>
      </c>
      <c r="D120" s="22">
        <f>IF(Notes!$B$2="June",ROUND('Budget by Source'!D120/10,0)+Q120,ROUND('Budget by Source'!D120/10,0))</f>
        <v>58672</v>
      </c>
      <c r="E120" s="22">
        <f>IF(Notes!$B$2="June",ROUND('Budget by Source'!E120/10,0)+R120,ROUND('Budget by Source'!E120/10,0))</f>
        <v>6803</v>
      </c>
      <c r="F120" s="22">
        <f>IF(Notes!$B$2="June",ROUND('Budget by Source'!F120/10,0)+S120,ROUND('Budget by Source'!F120/10,0))</f>
        <v>6527</v>
      </c>
      <c r="G120" s="22">
        <f>IF(Notes!$B$2="June",ROUND('Budget by Source'!G120/10,0)+T120,ROUND('Budget by Source'!G120/10,0))</f>
        <v>31325</v>
      </c>
      <c r="H120" s="22">
        <f t="shared" si="3"/>
        <v>291144</v>
      </c>
      <c r="I120" s="22">
        <f>INDEX(Data[],MATCH($A120,Data[Dist],0),MATCH(I$5,Data[#Headers],0))</f>
        <v>422598</v>
      </c>
      <c r="K120" s="69">
        <f>INDEX('Payment Total'!$A$7:$H$331,MATCH('Payment by Source'!$A120,'Payment Total'!$A$7:$A$331,0),3)-I120</f>
        <v>0</v>
      </c>
      <c r="P120" s="154">
        <f>INDEX('Budget by Source'!$A$6:$I$330,MATCH('Payment by Source'!$A120,'Budget by Source'!$A$6:$A$330,0),MATCH(P$3,'Budget by Source'!$A$5:$I$5,0))-(ROUND(INDEX('Budget by Source'!$A$6:$I$330,MATCH('Payment by Source'!$A120,'Budget by Source'!$A$6:$A$330,0),MATCH(P$3,'Budget by Source'!$A$5:$I$5,0))/10,0)*10)</f>
        <v>-2</v>
      </c>
      <c r="Q120" s="154">
        <f>INDEX('Budget by Source'!$A$6:$I$330,MATCH('Payment by Source'!$A120,'Budget by Source'!$A$6:$A$330,0),MATCH(Q$3,'Budget by Source'!$A$5:$I$5,0))-(ROUND(INDEX('Budget by Source'!$A$6:$I$330,MATCH('Payment by Source'!$A120,'Budget by Source'!$A$6:$A$330,0),MATCH(Q$3,'Budget by Source'!$A$5:$I$5,0))/10,0)*10)</f>
        <v>1</v>
      </c>
      <c r="R120" s="154">
        <f>INDEX('Budget by Source'!$A$6:$I$330,MATCH('Payment by Source'!$A120,'Budget by Source'!$A$6:$A$330,0),MATCH(R$3,'Budget by Source'!$A$5:$I$5,0))-(ROUND(INDEX('Budget by Source'!$A$6:$I$330,MATCH('Payment by Source'!$A120,'Budget by Source'!$A$6:$A$330,0),MATCH(R$3,'Budget by Source'!$A$5:$I$5,0))/10,0)*10)</f>
        <v>-4</v>
      </c>
      <c r="S120" s="154">
        <f>INDEX('Budget by Source'!$A$6:$I$330,MATCH('Payment by Source'!$A120,'Budget by Source'!$A$6:$A$330,0),MATCH(S$3,'Budget by Source'!$A$5:$I$5,0))-(ROUND(INDEX('Budget by Source'!$A$6:$I$330,MATCH('Payment by Source'!$A120,'Budget by Source'!$A$6:$A$330,0),MATCH(S$3,'Budget by Source'!$A$5:$I$5,0))/10,0)*10)</f>
        <v>2</v>
      </c>
      <c r="T120" s="154">
        <f>INDEX('Budget by Source'!$A$6:$I$330,MATCH('Payment by Source'!$A120,'Budget by Source'!$A$6:$A$330,0),MATCH(T$3,'Budget by Source'!$A$5:$I$5,0))-(ROUND(INDEX('Budget by Source'!$A$6:$I$330,MATCH('Payment by Source'!$A120,'Budget by Source'!$A$6:$A$330,0),MATCH(T$3,'Budget by Source'!$A$5:$I$5,0))/10,0)*10)</f>
        <v>1</v>
      </c>
      <c r="U120" s="155">
        <f>INDEX('Budget by Source'!$A$6:$I$330,MATCH('Payment by Source'!$A120,'Budget by Source'!$A$6:$A$330,0),MATCH(U$3,'Budget by Source'!$A$5:$I$5,0))</f>
        <v>2911437</v>
      </c>
      <c r="V120" s="152">
        <f t="shared" si="4"/>
        <v>291144</v>
      </c>
      <c r="W120" s="152">
        <f t="shared" si="5"/>
        <v>2911440</v>
      </c>
    </row>
    <row r="121" spans="1:23" x14ac:dyDescent="0.2">
      <c r="A121" s="23" t="str">
        <f>Data!B117</f>
        <v>2457</v>
      </c>
      <c r="B121" s="21" t="str">
        <f>INDEX(Data[],MATCH($A121,Data[Dist],0),MATCH(B$5,Data[#Headers],0))</f>
        <v>George-Little Rock</v>
      </c>
      <c r="C121" s="22">
        <f>IF(Notes!$B$2="June",ROUND('Budget by Source'!C121/10,0)+P121,ROUND('Budget by Source'!C121/10,0))</f>
        <v>8742</v>
      </c>
      <c r="D121" s="22">
        <f>IF(Notes!$B$2="June",ROUND('Budget by Source'!D121/10,0)+Q121,ROUND('Budget by Source'!D121/10,0))</f>
        <v>30884</v>
      </c>
      <c r="E121" s="22">
        <f>IF(Notes!$B$2="June",ROUND('Budget by Source'!E121/10,0)+R121,ROUND('Budget by Source'!E121/10,0))</f>
        <v>3531</v>
      </c>
      <c r="F121" s="22">
        <f>IF(Notes!$B$2="June",ROUND('Budget by Source'!F121/10,0)+S121,ROUND('Budget by Source'!F121/10,0))</f>
        <v>3441</v>
      </c>
      <c r="G121" s="22">
        <f>IF(Notes!$B$2="June",ROUND('Budget by Source'!G121/10,0)+T121,ROUND('Budget by Source'!G121/10,0))</f>
        <v>16757</v>
      </c>
      <c r="H121" s="22">
        <f t="shared" si="3"/>
        <v>210904</v>
      </c>
      <c r="I121" s="22">
        <f>INDEX(Data[],MATCH($A121,Data[Dist],0),MATCH(I$5,Data[#Headers],0))</f>
        <v>274259</v>
      </c>
      <c r="K121" s="69">
        <f>INDEX('Payment Total'!$A$7:$H$331,MATCH('Payment by Source'!$A121,'Payment Total'!$A$7:$A$331,0),3)-I121</f>
        <v>0</v>
      </c>
      <c r="P121" s="154">
        <f>INDEX('Budget by Source'!$A$6:$I$330,MATCH('Payment by Source'!$A121,'Budget by Source'!$A$6:$A$330,0),MATCH(P$3,'Budget by Source'!$A$5:$I$5,0))-(ROUND(INDEX('Budget by Source'!$A$6:$I$330,MATCH('Payment by Source'!$A121,'Budget by Source'!$A$6:$A$330,0),MATCH(P$3,'Budget by Source'!$A$5:$I$5,0))/10,0)*10)</f>
        <v>2</v>
      </c>
      <c r="Q121" s="154">
        <f>INDEX('Budget by Source'!$A$6:$I$330,MATCH('Payment by Source'!$A121,'Budget by Source'!$A$6:$A$330,0),MATCH(Q$3,'Budget by Source'!$A$5:$I$5,0))-(ROUND(INDEX('Budget by Source'!$A$6:$I$330,MATCH('Payment by Source'!$A121,'Budget by Source'!$A$6:$A$330,0),MATCH(Q$3,'Budget by Source'!$A$5:$I$5,0))/10,0)*10)</f>
        <v>-3</v>
      </c>
      <c r="R121" s="154">
        <f>INDEX('Budget by Source'!$A$6:$I$330,MATCH('Payment by Source'!$A121,'Budget by Source'!$A$6:$A$330,0),MATCH(R$3,'Budget by Source'!$A$5:$I$5,0))-(ROUND(INDEX('Budget by Source'!$A$6:$I$330,MATCH('Payment by Source'!$A121,'Budget by Source'!$A$6:$A$330,0),MATCH(R$3,'Budget by Source'!$A$5:$I$5,0))/10,0)*10)</f>
        <v>-3</v>
      </c>
      <c r="S121" s="154">
        <f>INDEX('Budget by Source'!$A$6:$I$330,MATCH('Payment by Source'!$A121,'Budget by Source'!$A$6:$A$330,0),MATCH(S$3,'Budget by Source'!$A$5:$I$5,0))-(ROUND(INDEX('Budget by Source'!$A$6:$I$330,MATCH('Payment by Source'!$A121,'Budget by Source'!$A$6:$A$330,0),MATCH(S$3,'Budget by Source'!$A$5:$I$5,0))/10,0)*10)</f>
        <v>-3</v>
      </c>
      <c r="T121" s="154">
        <f>INDEX('Budget by Source'!$A$6:$I$330,MATCH('Payment by Source'!$A121,'Budget by Source'!$A$6:$A$330,0),MATCH(T$3,'Budget by Source'!$A$5:$I$5,0))-(ROUND(INDEX('Budget by Source'!$A$6:$I$330,MATCH('Payment by Source'!$A121,'Budget by Source'!$A$6:$A$330,0),MATCH(T$3,'Budget by Source'!$A$5:$I$5,0))/10,0)*10)</f>
        <v>1</v>
      </c>
      <c r="U121" s="155">
        <f>INDEX('Budget by Source'!$A$6:$I$330,MATCH('Payment by Source'!$A121,'Budget by Source'!$A$6:$A$330,0),MATCH(U$3,'Budget by Source'!$A$5:$I$5,0))</f>
        <v>2109046</v>
      </c>
      <c r="V121" s="152">
        <f t="shared" si="4"/>
        <v>210905</v>
      </c>
      <c r="W121" s="152">
        <f t="shared" si="5"/>
        <v>2109050</v>
      </c>
    </row>
    <row r="122" spans="1:23" x14ac:dyDescent="0.2">
      <c r="A122" s="23" t="str">
        <f>Data!B118</f>
        <v>2466</v>
      </c>
      <c r="B122" s="21" t="str">
        <f>INDEX(Data[],MATCH($A122,Data[Dist],0),MATCH(B$5,Data[#Headers],0))</f>
        <v>Gilbert</v>
      </c>
      <c r="C122" s="22">
        <f>IF(Notes!$B$2="June",ROUND('Budget by Source'!C122/10,0)+P122,ROUND('Budget by Source'!C122/10,0))</f>
        <v>28507</v>
      </c>
      <c r="D122" s="22">
        <f>IF(Notes!$B$2="June",ROUND('Budget by Source'!D122/10,0)+Q122,ROUND('Budget by Source'!D122/10,0))</f>
        <v>98988</v>
      </c>
      <c r="E122" s="22">
        <f>IF(Notes!$B$2="June",ROUND('Budget by Source'!E122/10,0)+R122,ROUND('Budget by Source'!E122/10,0))</f>
        <v>9869</v>
      </c>
      <c r="F122" s="22">
        <f>IF(Notes!$B$2="June",ROUND('Budget by Source'!F122/10,0)+S122,ROUND('Budget by Source'!F122/10,0))</f>
        <v>11002</v>
      </c>
      <c r="G122" s="22">
        <f>IF(Notes!$B$2="June",ROUND('Budget by Source'!G122/10,0)+T122,ROUND('Budget by Source'!G122/10,0))</f>
        <v>58475</v>
      </c>
      <c r="H122" s="22">
        <f t="shared" si="3"/>
        <v>794643</v>
      </c>
      <c r="I122" s="22">
        <f>INDEX(Data[],MATCH($A122,Data[Dist],0),MATCH(I$5,Data[#Headers],0))</f>
        <v>1001484</v>
      </c>
      <c r="K122" s="69">
        <f>INDEX('Payment Total'!$A$7:$H$331,MATCH('Payment by Source'!$A122,'Payment Total'!$A$7:$A$331,0),3)-I122</f>
        <v>0</v>
      </c>
      <c r="P122" s="154">
        <f>INDEX('Budget by Source'!$A$6:$I$330,MATCH('Payment by Source'!$A122,'Budget by Source'!$A$6:$A$330,0),MATCH(P$3,'Budget by Source'!$A$5:$I$5,0))-(ROUND(INDEX('Budget by Source'!$A$6:$I$330,MATCH('Payment by Source'!$A122,'Budget by Source'!$A$6:$A$330,0),MATCH(P$3,'Budget by Source'!$A$5:$I$5,0))/10,0)*10)</f>
        <v>-1</v>
      </c>
      <c r="Q122" s="154">
        <f>INDEX('Budget by Source'!$A$6:$I$330,MATCH('Payment by Source'!$A122,'Budget by Source'!$A$6:$A$330,0),MATCH(Q$3,'Budget by Source'!$A$5:$I$5,0))-(ROUND(INDEX('Budget by Source'!$A$6:$I$330,MATCH('Payment by Source'!$A122,'Budget by Source'!$A$6:$A$330,0),MATCH(Q$3,'Budget by Source'!$A$5:$I$5,0))/10,0)*10)</f>
        <v>-1</v>
      </c>
      <c r="R122" s="154">
        <f>INDEX('Budget by Source'!$A$6:$I$330,MATCH('Payment by Source'!$A122,'Budget by Source'!$A$6:$A$330,0),MATCH(R$3,'Budget by Source'!$A$5:$I$5,0))-(ROUND(INDEX('Budget by Source'!$A$6:$I$330,MATCH('Payment by Source'!$A122,'Budget by Source'!$A$6:$A$330,0),MATCH(R$3,'Budget by Source'!$A$5:$I$5,0))/10,0)*10)</f>
        <v>3</v>
      </c>
      <c r="S122" s="154">
        <f>INDEX('Budget by Source'!$A$6:$I$330,MATCH('Payment by Source'!$A122,'Budget by Source'!$A$6:$A$330,0),MATCH(S$3,'Budget by Source'!$A$5:$I$5,0))-(ROUND(INDEX('Budget by Source'!$A$6:$I$330,MATCH('Payment by Source'!$A122,'Budget by Source'!$A$6:$A$330,0),MATCH(S$3,'Budget by Source'!$A$5:$I$5,0))/10,0)*10)</f>
        <v>2</v>
      </c>
      <c r="T122" s="154">
        <f>INDEX('Budget by Source'!$A$6:$I$330,MATCH('Payment by Source'!$A122,'Budget by Source'!$A$6:$A$330,0),MATCH(T$3,'Budget by Source'!$A$5:$I$5,0))-(ROUND(INDEX('Budget by Source'!$A$6:$I$330,MATCH('Payment by Source'!$A122,'Budget by Source'!$A$6:$A$330,0),MATCH(T$3,'Budget by Source'!$A$5:$I$5,0))/10,0)*10)</f>
        <v>-3</v>
      </c>
      <c r="U122" s="155">
        <f>INDEX('Budget by Source'!$A$6:$I$330,MATCH('Payment by Source'!$A122,'Budget by Source'!$A$6:$A$330,0),MATCH(U$3,'Budget by Source'!$A$5:$I$5,0))</f>
        <v>7946434</v>
      </c>
      <c r="V122" s="152">
        <f t="shared" si="4"/>
        <v>794643</v>
      </c>
      <c r="W122" s="152">
        <f t="shared" si="5"/>
        <v>7946430</v>
      </c>
    </row>
    <row r="123" spans="1:23" x14ac:dyDescent="0.2">
      <c r="A123" s="23" t="str">
        <f>Data!B119</f>
        <v>2493</v>
      </c>
      <c r="B123" s="21" t="str">
        <f>INDEX(Data[],MATCH($A123,Data[Dist],0),MATCH(B$5,Data[#Headers],0))</f>
        <v>Gilmore City-Bradgate</v>
      </c>
      <c r="C123" s="22">
        <f>IF(Notes!$B$2="June",ROUND('Budget by Source'!C123/10,0)+P123,ROUND('Budget by Source'!C123/10,0))</f>
        <v>6082</v>
      </c>
      <c r="D123" s="22">
        <f>IF(Notes!$B$2="June",ROUND('Budget by Source'!D123/10,0)+Q123,ROUND('Budget by Source'!D123/10,0))</f>
        <v>12688</v>
      </c>
      <c r="E123" s="22">
        <f>IF(Notes!$B$2="June",ROUND('Budget by Source'!E123/10,0)+R123,ROUND('Budget by Source'!E123/10,0))</f>
        <v>1081</v>
      </c>
      <c r="F123" s="22">
        <f>IF(Notes!$B$2="June",ROUND('Budget by Source'!F123/10,0)+S123,ROUND('Budget by Source'!F123/10,0))</f>
        <v>1492</v>
      </c>
      <c r="G123" s="22">
        <f>IF(Notes!$B$2="June",ROUND('Budget by Source'!G123/10,0)+T123,ROUND('Budget by Source'!G123/10,0))</f>
        <v>6412</v>
      </c>
      <c r="H123" s="22">
        <f t="shared" si="3"/>
        <v>93437</v>
      </c>
      <c r="I123" s="22">
        <f>INDEX(Data[],MATCH($A123,Data[Dist],0),MATCH(I$5,Data[#Headers],0))</f>
        <v>121192</v>
      </c>
      <c r="K123" s="69">
        <f>INDEX('Payment Total'!$A$7:$H$331,MATCH('Payment by Source'!$A123,'Payment Total'!$A$7:$A$331,0),3)-I123</f>
        <v>0</v>
      </c>
      <c r="P123" s="154">
        <f>INDEX('Budget by Source'!$A$6:$I$330,MATCH('Payment by Source'!$A123,'Budget by Source'!$A$6:$A$330,0),MATCH(P$3,'Budget by Source'!$A$5:$I$5,0))-(ROUND(INDEX('Budget by Source'!$A$6:$I$330,MATCH('Payment by Source'!$A123,'Budget by Source'!$A$6:$A$330,0),MATCH(P$3,'Budget by Source'!$A$5:$I$5,0))/10,0)*10)</f>
        <v>-5</v>
      </c>
      <c r="Q123" s="154">
        <f>INDEX('Budget by Source'!$A$6:$I$330,MATCH('Payment by Source'!$A123,'Budget by Source'!$A$6:$A$330,0),MATCH(Q$3,'Budget by Source'!$A$5:$I$5,0))-(ROUND(INDEX('Budget by Source'!$A$6:$I$330,MATCH('Payment by Source'!$A123,'Budget by Source'!$A$6:$A$330,0),MATCH(Q$3,'Budget by Source'!$A$5:$I$5,0))/10,0)*10)</f>
        <v>-3</v>
      </c>
      <c r="R123" s="154">
        <f>INDEX('Budget by Source'!$A$6:$I$330,MATCH('Payment by Source'!$A123,'Budget by Source'!$A$6:$A$330,0),MATCH(R$3,'Budget by Source'!$A$5:$I$5,0))-(ROUND(INDEX('Budget by Source'!$A$6:$I$330,MATCH('Payment by Source'!$A123,'Budget by Source'!$A$6:$A$330,0),MATCH(R$3,'Budget by Source'!$A$5:$I$5,0))/10,0)*10)</f>
        <v>2</v>
      </c>
      <c r="S123" s="154">
        <f>INDEX('Budget by Source'!$A$6:$I$330,MATCH('Payment by Source'!$A123,'Budget by Source'!$A$6:$A$330,0),MATCH(S$3,'Budget by Source'!$A$5:$I$5,0))-(ROUND(INDEX('Budget by Source'!$A$6:$I$330,MATCH('Payment by Source'!$A123,'Budget by Source'!$A$6:$A$330,0),MATCH(S$3,'Budget by Source'!$A$5:$I$5,0))/10,0)*10)</f>
        <v>-1</v>
      </c>
      <c r="T123" s="154">
        <f>INDEX('Budget by Source'!$A$6:$I$330,MATCH('Payment by Source'!$A123,'Budget by Source'!$A$6:$A$330,0),MATCH(T$3,'Budget by Source'!$A$5:$I$5,0))-(ROUND(INDEX('Budget by Source'!$A$6:$I$330,MATCH('Payment by Source'!$A123,'Budget by Source'!$A$6:$A$330,0),MATCH(T$3,'Budget by Source'!$A$5:$I$5,0))/10,0)*10)</f>
        <v>4</v>
      </c>
      <c r="U123" s="155">
        <f>INDEX('Budget by Source'!$A$6:$I$330,MATCH('Payment by Source'!$A123,'Budget by Source'!$A$6:$A$330,0),MATCH(U$3,'Budget by Source'!$A$5:$I$5,0))</f>
        <v>934374</v>
      </c>
      <c r="V123" s="152">
        <f t="shared" si="4"/>
        <v>93437</v>
      </c>
      <c r="W123" s="152">
        <f t="shared" si="5"/>
        <v>934370</v>
      </c>
    </row>
    <row r="124" spans="1:23" x14ac:dyDescent="0.2">
      <c r="A124" s="23" t="str">
        <f>Data!B120</f>
        <v>2502</v>
      </c>
      <c r="B124" s="21" t="str">
        <f>INDEX(Data[],MATCH($A124,Data[Dist],0),MATCH(B$5,Data[#Headers],0))</f>
        <v>Gladbrook-Reinbeck</v>
      </c>
      <c r="C124" s="22">
        <f>IF(Notes!$B$2="June",ROUND('Budget by Source'!C124/10,0)+P124,ROUND('Budget by Source'!C124/10,0))</f>
        <v>10643</v>
      </c>
      <c r="D124" s="22">
        <f>IF(Notes!$B$2="June",ROUND('Budget by Source'!D124/10,0)+Q124,ROUND('Budget by Source'!D124/10,0))</f>
        <v>43479</v>
      </c>
      <c r="E124" s="22">
        <f>IF(Notes!$B$2="June",ROUND('Budget by Source'!E124/10,0)+R124,ROUND('Budget by Source'!E124/10,0))</f>
        <v>3987</v>
      </c>
      <c r="F124" s="22">
        <f>IF(Notes!$B$2="June",ROUND('Budget by Source'!F124/10,0)+S124,ROUND('Budget by Source'!F124/10,0))</f>
        <v>4527</v>
      </c>
      <c r="G124" s="22">
        <f>IF(Notes!$B$2="June",ROUND('Budget by Source'!G124/10,0)+T124,ROUND('Budget by Source'!G124/10,0))</f>
        <v>22749</v>
      </c>
      <c r="H124" s="22">
        <f t="shared" si="3"/>
        <v>297044</v>
      </c>
      <c r="I124" s="22">
        <f>INDEX(Data[],MATCH($A124,Data[Dist],0),MATCH(I$5,Data[#Headers],0))</f>
        <v>382429</v>
      </c>
      <c r="K124" s="69">
        <f>INDEX('Payment Total'!$A$7:$H$331,MATCH('Payment by Source'!$A124,'Payment Total'!$A$7:$A$331,0),3)-I124</f>
        <v>0</v>
      </c>
      <c r="P124" s="154">
        <f>INDEX('Budget by Source'!$A$6:$I$330,MATCH('Payment by Source'!$A124,'Budget by Source'!$A$6:$A$330,0),MATCH(P$3,'Budget by Source'!$A$5:$I$5,0))-(ROUND(INDEX('Budget by Source'!$A$6:$I$330,MATCH('Payment by Source'!$A124,'Budget by Source'!$A$6:$A$330,0),MATCH(P$3,'Budget by Source'!$A$5:$I$5,0))/10,0)*10)</f>
        <v>-4</v>
      </c>
      <c r="Q124" s="154">
        <f>INDEX('Budget by Source'!$A$6:$I$330,MATCH('Payment by Source'!$A124,'Budget by Source'!$A$6:$A$330,0),MATCH(Q$3,'Budget by Source'!$A$5:$I$5,0))-(ROUND(INDEX('Budget by Source'!$A$6:$I$330,MATCH('Payment by Source'!$A124,'Budget by Source'!$A$6:$A$330,0),MATCH(Q$3,'Budget by Source'!$A$5:$I$5,0))/10,0)*10)</f>
        <v>-1</v>
      </c>
      <c r="R124" s="154">
        <f>INDEX('Budget by Source'!$A$6:$I$330,MATCH('Payment by Source'!$A124,'Budget by Source'!$A$6:$A$330,0),MATCH(R$3,'Budget by Source'!$A$5:$I$5,0))-(ROUND(INDEX('Budget by Source'!$A$6:$I$330,MATCH('Payment by Source'!$A124,'Budget by Source'!$A$6:$A$330,0),MATCH(R$3,'Budget by Source'!$A$5:$I$5,0))/10,0)*10)</f>
        <v>1</v>
      </c>
      <c r="S124" s="154">
        <f>INDEX('Budget by Source'!$A$6:$I$330,MATCH('Payment by Source'!$A124,'Budget by Source'!$A$6:$A$330,0),MATCH(S$3,'Budget by Source'!$A$5:$I$5,0))-(ROUND(INDEX('Budget by Source'!$A$6:$I$330,MATCH('Payment by Source'!$A124,'Budget by Source'!$A$6:$A$330,0),MATCH(S$3,'Budget by Source'!$A$5:$I$5,0))/10,0)*10)</f>
        <v>3</v>
      </c>
      <c r="T124" s="154">
        <f>INDEX('Budget by Source'!$A$6:$I$330,MATCH('Payment by Source'!$A124,'Budget by Source'!$A$6:$A$330,0),MATCH(T$3,'Budget by Source'!$A$5:$I$5,0))-(ROUND(INDEX('Budget by Source'!$A$6:$I$330,MATCH('Payment by Source'!$A124,'Budget by Source'!$A$6:$A$330,0),MATCH(T$3,'Budget by Source'!$A$5:$I$5,0))/10,0)*10)</f>
        <v>4</v>
      </c>
      <c r="U124" s="155">
        <f>INDEX('Budget by Source'!$A$6:$I$330,MATCH('Payment by Source'!$A124,'Budget by Source'!$A$6:$A$330,0),MATCH(U$3,'Budget by Source'!$A$5:$I$5,0))</f>
        <v>2970436</v>
      </c>
      <c r="V124" s="152">
        <f t="shared" si="4"/>
        <v>297044</v>
      </c>
      <c r="W124" s="152">
        <f t="shared" si="5"/>
        <v>2970440</v>
      </c>
    </row>
    <row r="125" spans="1:23" x14ac:dyDescent="0.2">
      <c r="A125" s="23" t="str">
        <f>Data!B121</f>
        <v>2511</v>
      </c>
      <c r="B125" s="21" t="str">
        <f>INDEX(Data[],MATCH($A125,Data[Dist],0),MATCH(B$5,Data[#Headers],0))</f>
        <v>Glenwood</v>
      </c>
      <c r="C125" s="22">
        <f>IF(Notes!$B$2="June",ROUND('Budget by Source'!C125/10,0)+P125,ROUND('Budget by Source'!C125/10,0))</f>
        <v>18244</v>
      </c>
      <c r="D125" s="22">
        <f>IF(Notes!$B$2="June",ROUND('Budget by Source'!D125/10,0)+Q125,ROUND('Budget by Source'!D125/10,0))</f>
        <v>120954</v>
      </c>
      <c r="E125" s="22">
        <f>IF(Notes!$B$2="June",ROUND('Budget by Source'!E125/10,0)+R125,ROUND('Budget by Source'!E125/10,0))</f>
        <v>14966</v>
      </c>
      <c r="F125" s="22">
        <f>IF(Notes!$B$2="June",ROUND('Budget by Source'!F125/10,0)+S125,ROUND('Budget by Source'!F125/10,0))</f>
        <v>13162</v>
      </c>
      <c r="G125" s="22">
        <f>IF(Notes!$B$2="June",ROUND('Budget by Source'!G125/10,0)+T125,ROUND('Budget by Source'!G125/10,0))</f>
        <v>70717</v>
      </c>
      <c r="H125" s="22">
        <f t="shared" si="3"/>
        <v>1110921</v>
      </c>
      <c r="I125" s="22">
        <f>INDEX(Data[],MATCH($A125,Data[Dist],0),MATCH(I$5,Data[#Headers],0))</f>
        <v>1348964</v>
      </c>
      <c r="K125" s="69">
        <f>INDEX('Payment Total'!$A$7:$H$331,MATCH('Payment by Source'!$A125,'Payment Total'!$A$7:$A$331,0),3)-I125</f>
        <v>0</v>
      </c>
      <c r="P125" s="154">
        <f>INDEX('Budget by Source'!$A$6:$I$330,MATCH('Payment by Source'!$A125,'Budget by Source'!$A$6:$A$330,0),MATCH(P$3,'Budget by Source'!$A$5:$I$5,0))-(ROUND(INDEX('Budget by Source'!$A$6:$I$330,MATCH('Payment by Source'!$A125,'Budget by Source'!$A$6:$A$330,0),MATCH(P$3,'Budget by Source'!$A$5:$I$5,0))/10,0)*10)</f>
        <v>4</v>
      </c>
      <c r="Q125" s="154">
        <f>INDEX('Budget by Source'!$A$6:$I$330,MATCH('Payment by Source'!$A125,'Budget by Source'!$A$6:$A$330,0),MATCH(Q$3,'Budget by Source'!$A$5:$I$5,0))-(ROUND(INDEX('Budget by Source'!$A$6:$I$330,MATCH('Payment by Source'!$A125,'Budget by Source'!$A$6:$A$330,0),MATCH(Q$3,'Budget by Source'!$A$5:$I$5,0))/10,0)*10)</f>
        <v>0</v>
      </c>
      <c r="R125" s="154">
        <f>INDEX('Budget by Source'!$A$6:$I$330,MATCH('Payment by Source'!$A125,'Budget by Source'!$A$6:$A$330,0),MATCH(R$3,'Budget by Source'!$A$5:$I$5,0))-(ROUND(INDEX('Budget by Source'!$A$6:$I$330,MATCH('Payment by Source'!$A125,'Budget by Source'!$A$6:$A$330,0),MATCH(R$3,'Budget by Source'!$A$5:$I$5,0))/10,0)*10)</f>
        <v>-5</v>
      </c>
      <c r="S125" s="154">
        <f>INDEX('Budget by Source'!$A$6:$I$330,MATCH('Payment by Source'!$A125,'Budget by Source'!$A$6:$A$330,0),MATCH(S$3,'Budget by Source'!$A$5:$I$5,0))-(ROUND(INDEX('Budget by Source'!$A$6:$I$330,MATCH('Payment by Source'!$A125,'Budget by Source'!$A$6:$A$330,0),MATCH(S$3,'Budget by Source'!$A$5:$I$5,0))/10,0)*10)</f>
        <v>-3</v>
      </c>
      <c r="T125" s="154">
        <f>INDEX('Budget by Source'!$A$6:$I$330,MATCH('Payment by Source'!$A125,'Budget by Source'!$A$6:$A$330,0),MATCH(T$3,'Budget by Source'!$A$5:$I$5,0))-(ROUND(INDEX('Budget by Source'!$A$6:$I$330,MATCH('Payment by Source'!$A125,'Budget by Source'!$A$6:$A$330,0),MATCH(T$3,'Budget by Source'!$A$5:$I$5,0))/10,0)*10)</f>
        <v>2</v>
      </c>
      <c r="U125" s="155">
        <f>INDEX('Budget by Source'!$A$6:$I$330,MATCH('Payment by Source'!$A125,'Budget by Source'!$A$6:$A$330,0),MATCH(U$3,'Budget by Source'!$A$5:$I$5,0))</f>
        <v>11109214</v>
      </c>
      <c r="V125" s="152">
        <f t="shared" si="4"/>
        <v>1110921</v>
      </c>
      <c r="W125" s="152">
        <f t="shared" si="5"/>
        <v>11109210</v>
      </c>
    </row>
    <row r="126" spans="1:23" x14ac:dyDescent="0.2">
      <c r="A126" s="23" t="str">
        <f>Data!B122</f>
        <v>2520</v>
      </c>
      <c r="B126" s="21" t="str">
        <f>INDEX(Data[],MATCH($A126,Data[Dist],0),MATCH(B$5,Data[#Headers],0))</f>
        <v>Glidden-Ralston</v>
      </c>
      <c r="C126" s="22">
        <f>IF(Notes!$B$2="June",ROUND('Budget by Source'!C126/10,0)+P126,ROUND('Budget by Source'!C126/10,0))</f>
        <v>13303</v>
      </c>
      <c r="D126" s="22">
        <f>IF(Notes!$B$2="June",ROUND('Budget by Source'!D126/10,0)+Q126,ROUND('Budget by Source'!D126/10,0))</f>
        <v>20920</v>
      </c>
      <c r="E126" s="22">
        <f>IF(Notes!$B$2="June",ROUND('Budget by Source'!E126/10,0)+R126,ROUND('Budget by Source'!E126/10,0))</f>
        <v>2298</v>
      </c>
      <c r="F126" s="22">
        <f>IF(Notes!$B$2="June",ROUND('Budget by Source'!F126/10,0)+S126,ROUND('Budget by Source'!F126/10,0))</f>
        <v>2230</v>
      </c>
      <c r="G126" s="22">
        <f>IF(Notes!$B$2="June",ROUND('Budget by Source'!G126/10,0)+T126,ROUND('Budget by Source'!G126/10,0))</f>
        <v>10909</v>
      </c>
      <c r="H126" s="22">
        <f t="shared" si="3"/>
        <v>135013</v>
      </c>
      <c r="I126" s="22">
        <f>INDEX(Data[],MATCH($A126,Data[Dist],0),MATCH(I$5,Data[#Headers],0))</f>
        <v>184673</v>
      </c>
      <c r="K126" s="69">
        <f>INDEX('Payment Total'!$A$7:$H$331,MATCH('Payment by Source'!$A126,'Payment Total'!$A$7:$A$331,0),3)-I126</f>
        <v>0</v>
      </c>
      <c r="P126" s="154">
        <f>INDEX('Budget by Source'!$A$6:$I$330,MATCH('Payment by Source'!$A126,'Budget by Source'!$A$6:$A$330,0),MATCH(P$3,'Budget by Source'!$A$5:$I$5,0))-(ROUND(INDEX('Budget by Source'!$A$6:$I$330,MATCH('Payment by Source'!$A126,'Budget by Source'!$A$6:$A$330,0),MATCH(P$3,'Budget by Source'!$A$5:$I$5,0))/10,0)*10)</f>
        <v>3</v>
      </c>
      <c r="Q126" s="154">
        <f>INDEX('Budget by Source'!$A$6:$I$330,MATCH('Payment by Source'!$A126,'Budget by Source'!$A$6:$A$330,0),MATCH(Q$3,'Budget by Source'!$A$5:$I$5,0))-(ROUND(INDEX('Budget by Source'!$A$6:$I$330,MATCH('Payment by Source'!$A126,'Budget by Source'!$A$6:$A$330,0),MATCH(Q$3,'Budget by Source'!$A$5:$I$5,0))/10,0)*10)</f>
        <v>-5</v>
      </c>
      <c r="R126" s="154">
        <f>INDEX('Budget by Source'!$A$6:$I$330,MATCH('Payment by Source'!$A126,'Budget by Source'!$A$6:$A$330,0),MATCH(R$3,'Budget by Source'!$A$5:$I$5,0))-(ROUND(INDEX('Budget by Source'!$A$6:$I$330,MATCH('Payment by Source'!$A126,'Budget by Source'!$A$6:$A$330,0),MATCH(R$3,'Budget by Source'!$A$5:$I$5,0))/10,0)*10)</f>
        <v>-4</v>
      </c>
      <c r="S126" s="154">
        <f>INDEX('Budget by Source'!$A$6:$I$330,MATCH('Payment by Source'!$A126,'Budget by Source'!$A$6:$A$330,0),MATCH(S$3,'Budget by Source'!$A$5:$I$5,0))-(ROUND(INDEX('Budget by Source'!$A$6:$I$330,MATCH('Payment by Source'!$A126,'Budget by Source'!$A$6:$A$330,0),MATCH(S$3,'Budget by Source'!$A$5:$I$5,0))/10,0)*10)</f>
        <v>4</v>
      </c>
      <c r="T126" s="154">
        <f>INDEX('Budget by Source'!$A$6:$I$330,MATCH('Payment by Source'!$A126,'Budget by Source'!$A$6:$A$330,0),MATCH(T$3,'Budget by Source'!$A$5:$I$5,0))-(ROUND(INDEX('Budget by Source'!$A$6:$I$330,MATCH('Payment by Source'!$A126,'Budget by Source'!$A$6:$A$330,0),MATCH(T$3,'Budget by Source'!$A$5:$I$5,0))/10,0)*10)</f>
        <v>-5</v>
      </c>
      <c r="U126" s="155">
        <f>INDEX('Budget by Source'!$A$6:$I$330,MATCH('Payment by Source'!$A126,'Budget by Source'!$A$6:$A$330,0),MATCH(U$3,'Budget by Source'!$A$5:$I$5,0))</f>
        <v>1350139</v>
      </c>
      <c r="V126" s="152">
        <f t="shared" si="4"/>
        <v>135014</v>
      </c>
      <c r="W126" s="152">
        <f t="shared" si="5"/>
        <v>1350140</v>
      </c>
    </row>
    <row r="127" spans="1:23" x14ac:dyDescent="0.2">
      <c r="A127" s="23" t="str">
        <f>Data!B123</f>
        <v>2556</v>
      </c>
      <c r="B127" s="21" t="str">
        <f>INDEX(Data[],MATCH($A127,Data[Dist],0),MATCH(B$5,Data[#Headers],0))</f>
        <v>Graettinger-Terril</v>
      </c>
      <c r="C127" s="22">
        <f>IF(Notes!$B$2="June",ROUND('Budget by Source'!C127/10,0)+P127,ROUND('Budget by Source'!C127/10,0))</f>
        <v>9882</v>
      </c>
      <c r="D127" s="22">
        <f>IF(Notes!$B$2="June",ROUND('Budget by Source'!D127/10,0)+Q127,ROUND('Budget by Source'!D127/10,0))</f>
        <v>26085</v>
      </c>
      <c r="E127" s="22">
        <f>IF(Notes!$B$2="June",ROUND('Budget by Source'!E127/10,0)+R127,ROUND('Budget by Source'!E127/10,0))</f>
        <v>3047</v>
      </c>
      <c r="F127" s="22">
        <f>IF(Notes!$B$2="June",ROUND('Budget by Source'!F127/10,0)+S127,ROUND('Budget by Source'!F127/10,0))</f>
        <v>2523</v>
      </c>
      <c r="G127" s="22">
        <f>IF(Notes!$B$2="June",ROUND('Budget by Source'!G127/10,0)+T127,ROUND('Budget by Source'!G127/10,0))</f>
        <v>13930</v>
      </c>
      <c r="H127" s="22">
        <f t="shared" si="3"/>
        <v>144240</v>
      </c>
      <c r="I127" s="22">
        <f>INDEX(Data[],MATCH($A127,Data[Dist],0),MATCH(I$5,Data[#Headers],0))</f>
        <v>199707</v>
      </c>
      <c r="K127" s="69">
        <f>INDEX('Payment Total'!$A$7:$H$331,MATCH('Payment by Source'!$A127,'Payment Total'!$A$7:$A$331,0),3)-I127</f>
        <v>0</v>
      </c>
      <c r="P127" s="154">
        <f>INDEX('Budget by Source'!$A$6:$I$330,MATCH('Payment by Source'!$A127,'Budget by Source'!$A$6:$A$330,0),MATCH(P$3,'Budget by Source'!$A$5:$I$5,0))-(ROUND(INDEX('Budget by Source'!$A$6:$I$330,MATCH('Payment by Source'!$A127,'Budget by Source'!$A$6:$A$330,0),MATCH(P$3,'Budget by Source'!$A$5:$I$5,0))/10,0)*10)</f>
        <v>4</v>
      </c>
      <c r="Q127" s="154">
        <f>INDEX('Budget by Source'!$A$6:$I$330,MATCH('Payment by Source'!$A127,'Budget by Source'!$A$6:$A$330,0),MATCH(Q$3,'Budget by Source'!$A$5:$I$5,0))-(ROUND(INDEX('Budget by Source'!$A$6:$I$330,MATCH('Payment by Source'!$A127,'Budget by Source'!$A$6:$A$330,0),MATCH(Q$3,'Budget by Source'!$A$5:$I$5,0))/10,0)*10)</f>
        <v>-4</v>
      </c>
      <c r="R127" s="154">
        <f>INDEX('Budget by Source'!$A$6:$I$330,MATCH('Payment by Source'!$A127,'Budget by Source'!$A$6:$A$330,0),MATCH(R$3,'Budget by Source'!$A$5:$I$5,0))-(ROUND(INDEX('Budget by Source'!$A$6:$I$330,MATCH('Payment by Source'!$A127,'Budget by Source'!$A$6:$A$330,0),MATCH(R$3,'Budget by Source'!$A$5:$I$5,0))/10,0)*10)</f>
        <v>1</v>
      </c>
      <c r="S127" s="154">
        <f>INDEX('Budget by Source'!$A$6:$I$330,MATCH('Payment by Source'!$A127,'Budget by Source'!$A$6:$A$330,0),MATCH(S$3,'Budget by Source'!$A$5:$I$5,0))-(ROUND(INDEX('Budget by Source'!$A$6:$I$330,MATCH('Payment by Source'!$A127,'Budget by Source'!$A$6:$A$330,0),MATCH(S$3,'Budget by Source'!$A$5:$I$5,0))/10,0)*10)</f>
        <v>-2</v>
      </c>
      <c r="T127" s="154">
        <f>INDEX('Budget by Source'!$A$6:$I$330,MATCH('Payment by Source'!$A127,'Budget by Source'!$A$6:$A$330,0),MATCH(T$3,'Budget by Source'!$A$5:$I$5,0))-(ROUND(INDEX('Budget by Source'!$A$6:$I$330,MATCH('Payment by Source'!$A127,'Budget by Source'!$A$6:$A$330,0),MATCH(T$3,'Budget by Source'!$A$5:$I$5,0))/10,0)*10)</f>
        <v>4</v>
      </c>
      <c r="U127" s="155">
        <f>INDEX('Budget by Source'!$A$6:$I$330,MATCH('Payment by Source'!$A127,'Budget by Source'!$A$6:$A$330,0),MATCH(U$3,'Budget by Source'!$A$5:$I$5,0))</f>
        <v>1442396</v>
      </c>
      <c r="V127" s="152">
        <f t="shared" si="4"/>
        <v>144240</v>
      </c>
      <c r="W127" s="152">
        <f t="shared" si="5"/>
        <v>1442400</v>
      </c>
    </row>
    <row r="128" spans="1:23" x14ac:dyDescent="0.2">
      <c r="A128" s="23" t="str">
        <f>Data!B124</f>
        <v>2673</v>
      </c>
      <c r="B128" s="21" t="str">
        <f>INDEX(Data[],MATCH($A128,Data[Dist],0),MATCH(B$5,Data[#Headers],0))</f>
        <v>Nodaway Valley</v>
      </c>
      <c r="C128" s="22">
        <f>IF(Notes!$B$2="June",ROUND('Budget by Source'!C128/10,0)+P128,ROUND('Budget by Source'!C128/10,0))</f>
        <v>8362</v>
      </c>
      <c r="D128" s="22">
        <f>IF(Notes!$B$2="June",ROUND('Budget by Source'!D128/10,0)+Q128,ROUND('Budget by Source'!D128/10,0))</f>
        <v>43420</v>
      </c>
      <c r="E128" s="22">
        <f>IF(Notes!$B$2="June",ROUND('Budget by Source'!E128/10,0)+R128,ROUND('Budget by Source'!E128/10,0))</f>
        <v>4941</v>
      </c>
      <c r="F128" s="22">
        <f>IF(Notes!$B$2="June",ROUND('Budget by Source'!F128/10,0)+S128,ROUND('Budget by Source'!F128/10,0))</f>
        <v>4967</v>
      </c>
      <c r="G128" s="22">
        <f>IF(Notes!$B$2="June",ROUND('Budget by Source'!G128/10,0)+T128,ROUND('Budget by Source'!G128/10,0))</f>
        <v>23088</v>
      </c>
      <c r="H128" s="22">
        <f t="shared" si="3"/>
        <v>327999</v>
      </c>
      <c r="I128" s="22">
        <f>INDEX(Data[],MATCH($A128,Data[Dist],0),MATCH(I$5,Data[#Headers],0))</f>
        <v>412777</v>
      </c>
      <c r="K128" s="69">
        <f>INDEX('Payment Total'!$A$7:$H$331,MATCH('Payment by Source'!$A128,'Payment Total'!$A$7:$A$331,0),3)-I128</f>
        <v>0</v>
      </c>
      <c r="P128" s="154">
        <f>INDEX('Budget by Source'!$A$6:$I$330,MATCH('Payment by Source'!$A128,'Budget by Source'!$A$6:$A$330,0),MATCH(P$3,'Budget by Source'!$A$5:$I$5,0))-(ROUND(INDEX('Budget by Source'!$A$6:$I$330,MATCH('Payment by Source'!$A128,'Budget by Source'!$A$6:$A$330,0),MATCH(P$3,'Budget by Source'!$A$5:$I$5,0))/10,0)*10)</f>
        <v>0</v>
      </c>
      <c r="Q128" s="154">
        <f>INDEX('Budget by Source'!$A$6:$I$330,MATCH('Payment by Source'!$A128,'Budget by Source'!$A$6:$A$330,0),MATCH(Q$3,'Budget by Source'!$A$5:$I$5,0))-(ROUND(INDEX('Budget by Source'!$A$6:$I$330,MATCH('Payment by Source'!$A128,'Budget by Source'!$A$6:$A$330,0),MATCH(Q$3,'Budget by Source'!$A$5:$I$5,0))/10,0)*10)</f>
        <v>-4</v>
      </c>
      <c r="R128" s="154">
        <f>INDEX('Budget by Source'!$A$6:$I$330,MATCH('Payment by Source'!$A128,'Budget by Source'!$A$6:$A$330,0),MATCH(R$3,'Budget by Source'!$A$5:$I$5,0))-(ROUND(INDEX('Budget by Source'!$A$6:$I$330,MATCH('Payment by Source'!$A128,'Budget by Source'!$A$6:$A$330,0),MATCH(R$3,'Budget by Source'!$A$5:$I$5,0))/10,0)*10)</f>
        <v>2</v>
      </c>
      <c r="S128" s="154">
        <f>INDEX('Budget by Source'!$A$6:$I$330,MATCH('Payment by Source'!$A128,'Budget by Source'!$A$6:$A$330,0),MATCH(S$3,'Budget by Source'!$A$5:$I$5,0))-(ROUND(INDEX('Budget by Source'!$A$6:$I$330,MATCH('Payment by Source'!$A128,'Budget by Source'!$A$6:$A$330,0),MATCH(S$3,'Budget by Source'!$A$5:$I$5,0))/10,0)*10)</f>
        <v>-1</v>
      </c>
      <c r="T128" s="154">
        <f>INDEX('Budget by Source'!$A$6:$I$330,MATCH('Payment by Source'!$A128,'Budget by Source'!$A$6:$A$330,0),MATCH(T$3,'Budget by Source'!$A$5:$I$5,0))-(ROUND(INDEX('Budget by Source'!$A$6:$I$330,MATCH('Payment by Source'!$A128,'Budget by Source'!$A$6:$A$330,0),MATCH(T$3,'Budget by Source'!$A$5:$I$5,0))/10,0)*10)</f>
        <v>4</v>
      </c>
      <c r="U128" s="155">
        <f>INDEX('Budget by Source'!$A$6:$I$330,MATCH('Payment by Source'!$A128,'Budget by Source'!$A$6:$A$330,0),MATCH(U$3,'Budget by Source'!$A$5:$I$5,0))</f>
        <v>3279989</v>
      </c>
      <c r="V128" s="152">
        <f t="shared" si="4"/>
        <v>327999</v>
      </c>
      <c r="W128" s="152">
        <f t="shared" si="5"/>
        <v>3279990</v>
      </c>
    </row>
    <row r="129" spans="1:23" x14ac:dyDescent="0.2">
      <c r="A129" s="23" t="str">
        <f>Data!B125</f>
        <v>2682</v>
      </c>
      <c r="B129" s="21" t="str">
        <f>INDEX(Data[],MATCH($A129,Data[Dist],0),MATCH(B$5,Data[#Headers],0))</f>
        <v>GMG</v>
      </c>
      <c r="C129" s="22">
        <f>IF(Notes!$B$2="June",ROUND('Budget by Source'!C129/10,0)+P129,ROUND('Budget by Source'!C129/10,0))</f>
        <v>9502</v>
      </c>
      <c r="D129" s="22">
        <f>IF(Notes!$B$2="June",ROUND('Budget by Source'!D129/10,0)+Q129,ROUND('Budget by Source'!D129/10,0))</f>
        <v>19155</v>
      </c>
      <c r="E129" s="22">
        <f>IF(Notes!$B$2="June",ROUND('Budget by Source'!E129/10,0)+R129,ROUND('Budget by Source'!E129/10,0))</f>
        <v>2283</v>
      </c>
      <c r="F129" s="22">
        <f>IF(Notes!$B$2="June",ROUND('Budget by Source'!F129/10,0)+S129,ROUND('Budget by Source'!F129/10,0))</f>
        <v>2256</v>
      </c>
      <c r="G129" s="22">
        <f>IF(Notes!$B$2="June",ROUND('Budget by Source'!G129/10,0)+T129,ROUND('Budget by Source'!G129/10,0))</f>
        <v>9379</v>
      </c>
      <c r="H129" s="22">
        <f t="shared" si="3"/>
        <v>91209</v>
      </c>
      <c r="I129" s="22">
        <f>INDEX(Data[],MATCH($A129,Data[Dist],0),MATCH(I$5,Data[#Headers],0))</f>
        <v>133784</v>
      </c>
      <c r="K129" s="69">
        <f>INDEX('Payment Total'!$A$7:$H$331,MATCH('Payment by Source'!$A129,'Payment Total'!$A$7:$A$331,0),3)-I129</f>
        <v>0</v>
      </c>
      <c r="P129" s="154">
        <f>INDEX('Budget by Source'!$A$6:$I$330,MATCH('Payment by Source'!$A129,'Budget by Source'!$A$6:$A$330,0),MATCH(P$3,'Budget by Source'!$A$5:$I$5,0))-(ROUND(INDEX('Budget by Source'!$A$6:$I$330,MATCH('Payment by Source'!$A129,'Budget by Source'!$A$6:$A$330,0),MATCH(P$3,'Budget by Source'!$A$5:$I$5,0))/10,0)*10)</f>
        <v>3</v>
      </c>
      <c r="Q129" s="154">
        <f>INDEX('Budget by Source'!$A$6:$I$330,MATCH('Payment by Source'!$A129,'Budget by Source'!$A$6:$A$330,0),MATCH(Q$3,'Budget by Source'!$A$5:$I$5,0))-(ROUND(INDEX('Budget by Source'!$A$6:$I$330,MATCH('Payment by Source'!$A129,'Budget by Source'!$A$6:$A$330,0),MATCH(Q$3,'Budget by Source'!$A$5:$I$5,0))/10,0)*10)</f>
        <v>-3</v>
      </c>
      <c r="R129" s="154">
        <f>INDEX('Budget by Source'!$A$6:$I$330,MATCH('Payment by Source'!$A129,'Budget by Source'!$A$6:$A$330,0),MATCH(R$3,'Budget by Source'!$A$5:$I$5,0))-(ROUND(INDEX('Budget by Source'!$A$6:$I$330,MATCH('Payment by Source'!$A129,'Budget by Source'!$A$6:$A$330,0),MATCH(R$3,'Budget by Source'!$A$5:$I$5,0))/10,0)*10)</f>
        <v>4</v>
      </c>
      <c r="S129" s="154">
        <f>INDEX('Budget by Source'!$A$6:$I$330,MATCH('Payment by Source'!$A129,'Budget by Source'!$A$6:$A$330,0),MATCH(S$3,'Budget by Source'!$A$5:$I$5,0))-(ROUND(INDEX('Budget by Source'!$A$6:$I$330,MATCH('Payment by Source'!$A129,'Budget by Source'!$A$6:$A$330,0),MATCH(S$3,'Budget by Source'!$A$5:$I$5,0))/10,0)*10)</f>
        <v>1</v>
      </c>
      <c r="T129" s="154">
        <f>INDEX('Budget by Source'!$A$6:$I$330,MATCH('Payment by Source'!$A129,'Budget by Source'!$A$6:$A$330,0),MATCH(T$3,'Budget by Source'!$A$5:$I$5,0))-(ROUND(INDEX('Budget by Source'!$A$6:$I$330,MATCH('Payment by Source'!$A129,'Budget by Source'!$A$6:$A$330,0),MATCH(T$3,'Budget by Source'!$A$5:$I$5,0))/10,0)*10)</f>
        <v>1</v>
      </c>
      <c r="U129" s="155">
        <f>INDEX('Budget by Source'!$A$6:$I$330,MATCH('Payment by Source'!$A129,'Budget by Source'!$A$6:$A$330,0),MATCH(U$3,'Budget by Source'!$A$5:$I$5,0))</f>
        <v>912083</v>
      </c>
      <c r="V129" s="152">
        <f t="shared" si="4"/>
        <v>91208</v>
      </c>
      <c r="W129" s="152">
        <f t="shared" si="5"/>
        <v>912080</v>
      </c>
    </row>
    <row r="130" spans="1:23" x14ac:dyDescent="0.2">
      <c r="A130" s="23" t="str">
        <f>Data!B126</f>
        <v>2709</v>
      </c>
      <c r="B130" s="21" t="str">
        <f>INDEX(Data[],MATCH($A130,Data[Dist],0),MATCH(B$5,Data[#Headers],0))</f>
        <v>Grinnell-Newburg</v>
      </c>
      <c r="C130" s="22">
        <f>IF(Notes!$B$2="June",ROUND('Budget by Source'!C130/10,0)+P130,ROUND('Budget by Source'!C130/10,0))</f>
        <v>27367</v>
      </c>
      <c r="D130" s="22">
        <f>IF(Notes!$B$2="June",ROUND('Budget by Source'!D130/10,0)+Q130,ROUND('Budget by Source'!D130/10,0))</f>
        <v>96705</v>
      </c>
      <c r="E130" s="22">
        <f>IF(Notes!$B$2="June",ROUND('Budget by Source'!E130/10,0)+R130,ROUND('Budget by Source'!E130/10,0))</f>
        <v>11789</v>
      </c>
      <c r="F130" s="22">
        <f>IF(Notes!$B$2="June",ROUND('Budget by Source'!F130/10,0)+S130,ROUND('Budget by Source'!F130/10,0))</f>
        <v>10623</v>
      </c>
      <c r="G130" s="22">
        <f>IF(Notes!$B$2="June",ROUND('Budget by Source'!G130/10,0)+T130,ROUND('Budget by Source'!G130/10,0))</f>
        <v>55217</v>
      </c>
      <c r="H130" s="22">
        <f t="shared" si="3"/>
        <v>805857</v>
      </c>
      <c r="I130" s="22">
        <f>INDEX(Data[],MATCH($A130,Data[Dist],0),MATCH(I$5,Data[#Headers],0))</f>
        <v>1007558</v>
      </c>
      <c r="K130" s="69">
        <f>INDEX('Payment Total'!$A$7:$H$331,MATCH('Payment by Source'!$A130,'Payment Total'!$A$7:$A$331,0),3)-I130</f>
        <v>0</v>
      </c>
      <c r="P130" s="154">
        <f>INDEX('Budget by Source'!$A$6:$I$330,MATCH('Payment by Source'!$A130,'Budget by Source'!$A$6:$A$330,0),MATCH(P$3,'Budget by Source'!$A$5:$I$5,0))-(ROUND(INDEX('Budget by Source'!$A$6:$I$330,MATCH('Payment by Source'!$A130,'Budget by Source'!$A$6:$A$330,0),MATCH(P$3,'Budget by Source'!$A$5:$I$5,0))/10,0)*10)</f>
        <v>-4</v>
      </c>
      <c r="Q130" s="154">
        <f>INDEX('Budget by Source'!$A$6:$I$330,MATCH('Payment by Source'!$A130,'Budget by Source'!$A$6:$A$330,0),MATCH(Q$3,'Budget by Source'!$A$5:$I$5,0))-(ROUND(INDEX('Budget by Source'!$A$6:$I$330,MATCH('Payment by Source'!$A130,'Budget by Source'!$A$6:$A$330,0),MATCH(Q$3,'Budget by Source'!$A$5:$I$5,0))/10,0)*10)</f>
        <v>-2</v>
      </c>
      <c r="R130" s="154">
        <f>INDEX('Budget by Source'!$A$6:$I$330,MATCH('Payment by Source'!$A130,'Budget by Source'!$A$6:$A$330,0),MATCH(R$3,'Budget by Source'!$A$5:$I$5,0))-(ROUND(INDEX('Budget by Source'!$A$6:$I$330,MATCH('Payment by Source'!$A130,'Budget by Source'!$A$6:$A$330,0),MATCH(R$3,'Budget by Source'!$A$5:$I$5,0))/10,0)*10)</f>
        <v>-4</v>
      </c>
      <c r="S130" s="154">
        <f>INDEX('Budget by Source'!$A$6:$I$330,MATCH('Payment by Source'!$A130,'Budget by Source'!$A$6:$A$330,0),MATCH(S$3,'Budget by Source'!$A$5:$I$5,0))-(ROUND(INDEX('Budget by Source'!$A$6:$I$330,MATCH('Payment by Source'!$A130,'Budget by Source'!$A$6:$A$330,0),MATCH(S$3,'Budget by Source'!$A$5:$I$5,0))/10,0)*10)</f>
        <v>-1</v>
      </c>
      <c r="T130" s="154">
        <f>INDEX('Budget by Source'!$A$6:$I$330,MATCH('Payment by Source'!$A130,'Budget by Source'!$A$6:$A$330,0),MATCH(T$3,'Budget by Source'!$A$5:$I$5,0))-(ROUND(INDEX('Budget by Source'!$A$6:$I$330,MATCH('Payment by Source'!$A130,'Budget by Source'!$A$6:$A$330,0),MATCH(T$3,'Budget by Source'!$A$5:$I$5,0))/10,0)*10)</f>
        <v>-2</v>
      </c>
      <c r="U130" s="155">
        <f>INDEX('Budget by Source'!$A$6:$I$330,MATCH('Payment by Source'!$A130,'Budget by Source'!$A$6:$A$330,0),MATCH(U$3,'Budget by Source'!$A$5:$I$5,0))</f>
        <v>8058581</v>
      </c>
      <c r="V130" s="152">
        <f t="shared" si="4"/>
        <v>805858</v>
      </c>
      <c r="W130" s="152">
        <f t="shared" si="5"/>
        <v>8058580</v>
      </c>
    </row>
    <row r="131" spans="1:23" x14ac:dyDescent="0.2">
      <c r="A131" s="23" t="str">
        <f>Data!B127</f>
        <v>2718</v>
      </c>
      <c r="B131" s="21" t="str">
        <f>INDEX(Data[],MATCH($A131,Data[Dist],0),MATCH(B$5,Data[#Headers],0))</f>
        <v>Griswold</v>
      </c>
      <c r="C131" s="22">
        <f>IF(Notes!$B$2="June",ROUND('Budget by Source'!C131/10,0)+P131,ROUND('Budget by Source'!C131/10,0))</f>
        <v>11403</v>
      </c>
      <c r="D131" s="22">
        <f>IF(Notes!$B$2="June",ROUND('Budget by Source'!D131/10,0)+Q131,ROUND('Budget by Source'!D131/10,0))</f>
        <v>28814</v>
      </c>
      <c r="E131" s="22">
        <f>IF(Notes!$B$2="June",ROUND('Budget by Source'!E131/10,0)+R131,ROUND('Budget by Source'!E131/10,0))</f>
        <v>3088</v>
      </c>
      <c r="F131" s="22">
        <f>IF(Notes!$B$2="June",ROUND('Budget by Source'!F131/10,0)+S131,ROUND('Budget by Source'!F131/10,0))</f>
        <v>3029</v>
      </c>
      <c r="G131" s="22">
        <f>IF(Notes!$B$2="June",ROUND('Budget by Source'!G131/10,0)+T131,ROUND('Budget by Source'!G131/10,0))</f>
        <v>16503</v>
      </c>
      <c r="H131" s="22">
        <f t="shared" si="3"/>
        <v>216243</v>
      </c>
      <c r="I131" s="22">
        <f>INDEX(Data[],MATCH($A131,Data[Dist],0),MATCH(I$5,Data[#Headers],0))</f>
        <v>279080</v>
      </c>
      <c r="K131" s="69">
        <f>INDEX('Payment Total'!$A$7:$H$331,MATCH('Payment by Source'!$A131,'Payment Total'!$A$7:$A$331,0),3)-I131</f>
        <v>0</v>
      </c>
      <c r="P131" s="154">
        <f>INDEX('Budget by Source'!$A$6:$I$330,MATCH('Payment by Source'!$A131,'Budget by Source'!$A$6:$A$330,0),MATCH(P$3,'Budget by Source'!$A$5:$I$5,0))-(ROUND(INDEX('Budget by Source'!$A$6:$I$330,MATCH('Payment by Source'!$A131,'Budget by Source'!$A$6:$A$330,0),MATCH(P$3,'Budget by Source'!$A$5:$I$5,0))/10,0)*10)</f>
        <v>-3</v>
      </c>
      <c r="Q131" s="154">
        <f>INDEX('Budget by Source'!$A$6:$I$330,MATCH('Payment by Source'!$A131,'Budget by Source'!$A$6:$A$330,0),MATCH(Q$3,'Budget by Source'!$A$5:$I$5,0))-(ROUND(INDEX('Budget by Source'!$A$6:$I$330,MATCH('Payment by Source'!$A131,'Budget by Source'!$A$6:$A$330,0),MATCH(Q$3,'Budget by Source'!$A$5:$I$5,0))/10,0)*10)</f>
        <v>-3</v>
      </c>
      <c r="R131" s="154">
        <f>INDEX('Budget by Source'!$A$6:$I$330,MATCH('Payment by Source'!$A131,'Budget by Source'!$A$6:$A$330,0),MATCH(R$3,'Budget by Source'!$A$5:$I$5,0))-(ROUND(INDEX('Budget by Source'!$A$6:$I$330,MATCH('Payment by Source'!$A131,'Budget by Source'!$A$6:$A$330,0),MATCH(R$3,'Budget by Source'!$A$5:$I$5,0))/10,0)*10)</f>
        <v>0</v>
      </c>
      <c r="S131" s="154">
        <f>INDEX('Budget by Source'!$A$6:$I$330,MATCH('Payment by Source'!$A131,'Budget by Source'!$A$6:$A$330,0),MATCH(S$3,'Budget by Source'!$A$5:$I$5,0))-(ROUND(INDEX('Budget by Source'!$A$6:$I$330,MATCH('Payment by Source'!$A131,'Budget by Source'!$A$6:$A$330,0),MATCH(S$3,'Budget by Source'!$A$5:$I$5,0))/10,0)*10)</f>
        <v>-1</v>
      </c>
      <c r="T131" s="154">
        <f>INDEX('Budget by Source'!$A$6:$I$330,MATCH('Payment by Source'!$A131,'Budget by Source'!$A$6:$A$330,0),MATCH(T$3,'Budget by Source'!$A$5:$I$5,0))-(ROUND(INDEX('Budget by Source'!$A$6:$I$330,MATCH('Payment by Source'!$A131,'Budget by Source'!$A$6:$A$330,0),MATCH(T$3,'Budget by Source'!$A$5:$I$5,0))/10,0)*10)</f>
        <v>-2</v>
      </c>
      <c r="U131" s="155">
        <f>INDEX('Budget by Source'!$A$6:$I$330,MATCH('Payment by Source'!$A131,'Budget by Source'!$A$6:$A$330,0),MATCH(U$3,'Budget by Source'!$A$5:$I$5,0))</f>
        <v>2162437</v>
      </c>
      <c r="V131" s="152">
        <f t="shared" si="4"/>
        <v>216244</v>
      </c>
      <c r="W131" s="152">
        <f t="shared" si="5"/>
        <v>2162440</v>
      </c>
    </row>
    <row r="132" spans="1:23" x14ac:dyDescent="0.2">
      <c r="A132" s="23" t="str">
        <f>Data!B128</f>
        <v>2727</v>
      </c>
      <c r="B132" s="21" t="str">
        <f>INDEX(Data[],MATCH($A132,Data[Dist],0),MATCH(B$5,Data[#Headers],0))</f>
        <v>Grundy Center</v>
      </c>
      <c r="C132" s="22">
        <f>IF(Notes!$B$2="June",ROUND('Budget by Source'!C132/10,0)+P132,ROUND('Budget by Source'!C132/10,0))</f>
        <v>17864</v>
      </c>
      <c r="D132" s="22">
        <f>IF(Notes!$B$2="June",ROUND('Budget by Source'!D132/10,0)+Q132,ROUND('Budget by Source'!D132/10,0))</f>
        <v>48052</v>
      </c>
      <c r="E132" s="22">
        <f>IF(Notes!$B$2="June",ROUND('Budget by Source'!E132/10,0)+R132,ROUND('Budget by Source'!E132/10,0))</f>
        <v>4771</v>
      </c>
      <c r="F132" s="22">
        <f>IF(Notes!$B$2="June",ROUND('Budget by Source'!F132/10,0)+S132,ROUND('Budget by Source'!F132/10,0))</f>
        <v>5172</v>
      </c>
      <c r="G132" s="22">
        <f>IF(Notes!$B$2="June",ROUND('Budget by Source'!G132/10,0)+T132,ROUND('Budget by Source'!G132/10,0))</f>
        <v>25034</v>
      </c>
      <c r="H132" s="22">
        <f t="shared" si="3"/>
        <v>380800</v>
      </c>
      <c r="I132" s="22">
        <f>INDEX(Data[],MATCH($A132,Data[Dist],0),MATCH(I$5,Data[#Headers],0))</f>
        <v>481693</v>
      </c>
      <c r="K132" s="69">
        <f>INDEX('Payment Total'!$A$7:$H$331,MATCH('Payment by Source'!$A132,'Payment Total'!$A$7:$A$331,0),3)-I132</f>
        <v>0</v>
      </c>
      <c r="P132" s="154">
        <f>INDEX('Budget by Source'!$A$6:$I$330,MATCH('Payment by Source'!$A132,'Budget by Source'!$A$6:$A$330,0),MATCH(P$3,'Budget by Source'!$A$5:$I$5,0))-(ROUND(INDEX('Budget by Source'!$A$6:$I$330,MATCH('Payment by Source'!$A132,'Budget by Source'!$A$6:$A$330,0),MATCH(P$3,'Budget by Source'!$A$5:$I$5,0))/10,0)*10)</f>
        <v>4</v>
      </c>
      <c r="Q132" s="154">
        <f>INDEX('Budget by Source'!$A$6:$I$330,MATCH('Payment by Source'!$A132,'Budget by Source'!$A$6:$A$330,0),MATCH(Q$3,'Budget by Source'!$A$5:$I$5,0))-(ROUND(INDEX('Budget by Source'!$A$6:$I$330,MATCH('Payment by Source'!$A132,'Budget by Source'!$A$6:$A$330,0),MATCH(Q$3,'Budget by Source'!$A$5:$I$5,0))/10,0)*10)</f>
        <v>3</v>
      </c>
      <c r="R132" s="154">
        <f>INDEX('Budget by Source'!$A$6:$I$330,MATCH('Payment by Source'!$A132,'Budget by Source'!$A$6:$A$330,0),MATCH(R$3,'Budget by Source'!$A$5:$I$5,0))-(ROUND(INDEX('Budget by Source'!$A$6:$I$330,MATCH('Payment by Source'!$A132,'Budget by Source'!$A$6:$A$330,0),MATCH(R$3,'Budget by Source'!$A$5:$I$5,0))/10,0)*10)</f>
        <v>-3</v>
      </c>
      <c r="S132" s="154">
        <f>INDEX('Budget by Source'!$A$6:$I$330,MATCH('Payment by Source'!$A132,'Budget by Source'!$A$6:$A$330,0),MATCH(S$3,'Budget by Source'!$A$5:$I$5,0))-(ROUND(INDEX('Budget by Source'!$A$6:$I$330,MATCH('Payment by Source'!$A132,'Budget by Source'!$A$6:$A$330,0),MATCH(S$3,'Budget by Source'!$A$5:$I$5,0))/10,0)*10)</f>
        <v>2</v>
      </c>
      <c r="T132" s="154">
        <f>INDEX('Budget by Source'!$A$6:$I$330,MATCH('Payment by Source'!$A132,'Budget by Source'!$A$6:$A$330,0),MATCH(T$3,'Budget by Source'!$A$5:$I$5,0))-(ROUND(INDEX('Budget by Source'!$A$6:$I$330,MATCH('Payment by Source'!$A132,'Budget by Source'!$A$6:$A$330,0),MATCH(T$3,'Budget by Source'!$A$5:$I$5,0))/10,0)*10)</f>
        <v>2</v>
      </c>
      <c r="U132" s="155">
        <f>INDEX('Budget by Source'!$A$6:$I$330,MATCH('Payment by Source'!$A132,'Budget by Source'!$A$6:$A$330,0),MATCH(U$3,'Budget by Source'!$A$5:$I$5,0))</f>
        <v>3807988</v>
      </c>
      <c r="V132" s="152">
        <f t="shared" si="4"/>
        <v>380799</v>
      </c>
      <c r="W132" s="152">
        <f t="shared" si="5"/>
        <v>3807990</v>
      </c>
    </row>
    <row r="133" spans="1:23" x14ac:dyDescent="0.2">
      <c r="A133" s="23" t="str">
        <f>Data!B129</f>
        <v>2754</v>
      </c>
      <c r="B133" s="21" t="str">
        <f>INDEX(Data[],MATCH($A133,Data[Dist],0),MATCH(B$5,Data[#Headers],0))</f>
        <v>Guthrie Center</v>
      </c>
      <c r="C133" s="22">
        <f>IF(Notes!$B$2="June",ROUND('Budget by Source'!C133/10,0)+P133,ROUND('Budget by Source'!C133/10,0))</f>
        <v>12923</v>
      </c>
      <c r="D133" s="22">
        <f>IF(Notes!$B$2="June",ROUND('Budget by Source'!D133/10,0)+Q133,ROUND('Budget by Source'!D133/10,0))</f>
        <v>27306</v>
      </c>
      <c r="E133" s="22">
        <f>IF(Notes!$B$2="June",ROUND('Budget by Source'!E133/10,0)+R133,ROUND('Budget by Source'!E133/10,0))</f>
        <v>3328</v>
      </c>
      <c r="F133" s="22">
        <f>IF(Notes!$B$2="June",ROUND('Budget by Source'!F133/10,0)+S133,ROUND('Budget by Source'!F133/10,0))</f>
        <v>2822</v>
      </c>
      <c r="G133" s="22">
        <f>IF(Notes!$B$2="June",ROUND('Budget by Source'!G133/10,0)+T133,ROUND('Budget by Source'!G133/10,0))</f>
        <v>14745</v>
      </c>
      <c r="H133" s="22">
        <f t="shared" si="3"/>
        <v>193699</v>
      </c>
      <c r="I133" s="22">
        <f>INDEX(Data[],MATCH($A133,Data[Dist],0),MATCH(I$5,Data[#Headers],0))</f>
        <v>254823</v>
      </c>
      <c r="K133" s="69">
        <f>INDEX('Payment Total'!$A$7:$H$331,MATCH('Payment by Source'!$A133,'Payment Total'!$A$7:$A$331,0),3)-I133</f>
        <v>0</v>
      </c>
      <c r="P133" s="154">
        <f>INDEX('Budget by Source'!$A$6:$I$330,MATCH('Payment by Source'!$A133,'Budget by Source'!$A$6:$A$330,0),MATCH(P$3,'Budget by Source'!$A$5:$I$5,0))-(ROUND(INDEX('Budget by Source'!$A$6:$I$330,MATCH('Payment by Source'!$A133,'Budget by Source'!$A$6:$A$330,0),MATCH(P$3,'Budget by Source'!$A$5:$I$5,0))/10,0)*10)</f>
        <v>1</v>
      </c>
      <c r="Q133" s="154">
        <f>INDEX('Budget by Source'!$A$6:$I$330,MATCH('Payment by Source'!$A133,'Budget by Source'!$A$6:$A$330,0),MATCH(Q$3,'Budget by Source'!$A$5:$I$5,0))-(ROUND(INDEX('Budget by Source'!$A$6:$I$330,MATCH('Payment by Source'!$A133,'Budget by Source'!$A$6:$A$330,0),MATCH(Q$3,'Budget by Source'!$A$5:$I$5,0))/10,0)*10)</f>
        <v>0</v>
      </c>
      <c r="R133" s="154">
        <f>INDEX('Budget by Source'!$A$6:$I$330,MATCH('Payment by Source'!$A133,'Budget by Source'!$A$6:$A$330,0),MATCH(R$3,'Budget by Source'!$A$5:$I$5,0))-(ROUND(INDEX('Budget by Source'!$A$6:$I$330,MATCH('Payment by Source'!$A133,'Budget by Source'!$A$6:$A$330,0),MATCH(R$3,'Budget by Source'!$A$5:$I$5,0))/10,0)*10)</f>
        <v>-4</v>
      </c>
      <c r="S133" s="154">
        <f>INDEX('Budget by Source'!$A$6:$I$330,MATCH('Payment by Source'!$A133,'Budget by Source'!$A$6:$A$330,0),MATCH(S$3,'Budget by Source'!$A$5:$I$5,0))-(ROUND(INDEX('Budget by Source'!$A$6:$I$330,MATCH('Payment by Source'!$A133,'Budget by Source'!$A$6:$A$330,0),MATCH(S$3,'Budget by Source'!$A$5:$I$5,0))/10,0)*10)</f>
        <v>-1</v>
      </c>
      <c r="T133" s="154">
        <f>INDEX('Budget by Source'!$A$6:$I$330,MATCH('Payment by Source'!$A133,'Budget by Source'!$A$6:$A$330,0),MATCH(T$3,'Budget by Source'!$A$5:$I$5,0))-(ROUND(INDEX('Budget by Source'!$A$6:$I$330,MATCH('Payment by Source'!$A133,'Budget by Source'!$A$6:$A$330,0),MATCH(T$3,'Budget by Source'!$A$5:$I$5,0))/10,0)*10)</f>
        <v>-1</v>
      </c>
      <c r="U133" s="155">
        <f>INDEX('Budget by Source'!$A$6:$I$330,MATCH('Payment by Source'!$A133,'Budget by Source'!$A$6:$A$330,0),MATCH(U$3,'Budget by Source'!$A$5:$I$5,0))</f>
        <v>1936990</v>
      </c>
      <c r="V133" s="152">
        <f t="shared" si="4"/>
        <v>193699</v>
      </c>
      <c r="W133" s="152">
        <f t="shared" si="5"/>
        <v>1936990</v>
      </c>
    </row>
    <row r="134" spans="1:23" x14ac:dyDescent="0.2">
      <c r="A134" s="23" t="str">
        <f>Data!B130</f>
        <v>2763</v>
      </c>
      <c r="B134" s="21" t="str">
        <f>INDEX(Data[],MATCH($A134,Data[Dist],0),MATCH(B$5,Data[#Headers],0))</f>
        <v>Clayton Ridge</v>
      </c>
      <c r="C134" s="22">
        <f>IF(Notes!$B$2="June",ROUND('Budget by Source'!C134/10,0)+P134,ROUND('Budget by Source'!C134/10,0))</f>
        <v>9122</v>
      </c>
      <c r="D134" s="22">
        <f>IF(Notes!$B$2="June",ROUND('Budget by Source'!D134/10,0)+Q134,ROUND('Budget by Source'!D134/10,0))</f>
        <v>42300</v>
      </c>
      <c r="E134" s="22">
        <f>IF(Notes!$B$2="June",ROUND('Budget by Source'!E134/10,0)+R134,ROUND('Budget by Source'!E134/10,0))</f>
        <v>4403</v>
      </c>
      <c r="F134" s="22">
        <f>IF(Notes!$B$2="June",ROUND('Budget by Source'!F134/10,0)+S134,ROUND('Budget by Source'!F134/10,0))</f>
        <v>4788</v>
      </c>
      <c r="G134" s="22">
        <f>IF(Notes!$B$2="June",ROUND('Budget by Source'!G134/10,0)+T134,ROUND('Budget by Source'!G134/10,0))</f>
        <v>23656</v>
      </c>
      <c r="H134" s="22">
        <f t="shared" si="3"/>
        <v>274814</v>
      </c>
      <c r="I134" s="22">
        <f>INDEX(Data[],MATCH($A134,Data[Dist],0),MATCH(I$5,Data[#Headers],0))</f>
        <v>359083</v>
      </c>
      <c r="K134" s="69">
        <f>INDEX('Payment Total'!$A$7:$H$331,MATCH('Payment by Source'!$A134,'Payment Total'!$A$7:$A$331,0),3)-I134</f>
        <v>0</v>
      </c>
      <c r="P134" s="154">
        <f>INDEX('Budget by Source'!$A$6:$I$330,MATCH('Payment by Source'!$A134,'Budget by Source'!$A$6:$A$330,0),MATCH(P$3,'Budget by Source'!$A$5:$I$5,0))-(ROUND(INDEX('Budget by Source'!$A$6:$I$330,MATCH('Payment by Source'!$A134,'Budget by Source'!$A$6:$A$330,0),MATCH(P$3,'Budget by Source'!$A$5:$I$5,0))/10,0)*10)</f>
        <v>2</v>
      </c>
      <c r="Q134" s="154">
        <f>INDEX('Budget by Source'!$A$6:$I$330,MATCH('Payment by Source'!$A134,'Budget by Source'!$A$6:$A$330,0),MATCH(Q$3,'Budget by Source'!$A$5:$I$5,0))-(ROUND(INDEX('Budget by Source'!$A$6:$I$330,MATCH('Payment by Source'!$A134,'Budget by Source'!$A$6:$A$330,0),MATCH(Q$3,'Budget by Source'!$A$5:$I$5,0))/10,0)*10)</f>
        <v>-1</v>
      </c>
      <c r="R134" s="154">
        <f>INDEX('Budget by Source'!$A$6:$I$330,MATCH('Payment by Source'!$A134,'Budget by Source'!$A$6:$A$330,0),MATCH(R$3,'Budget by Source'!$A$5:$I$5,0))-(ROUND(INDEX('Budget by Source'!$A$6:$I$330,MATCH('Payment by Source'!$A134,'Budget by Source'!$A$6:$A$330,0),MATCH(R$3,'Budget by Source'!$A$5:$I$5,0))/10,0)*10)</f>
        <v>-2</v>
      </c>
      <c r="S134" s="154">
        <f>INDEX('Budget by Source'!$A$6:$I$330,MATCH('Payment by Source'!$A134,'Budget by Source'!$A$6:$A$330,0),MATCH(S$3,'Budget by Source'!$A$5:$I$5,0))-(ROUND(INDEX('Budget by Source'!$A$6:$I$330,MATCH('Payment by Source'!$A134,'Budget by Source'!$A$6:$A$330,0),MATCH(S$3,'Budget by Source'!$A$5:$I$5,0))/10,0)*10)</f>
        <v>-1</v>
      </c>
      <c r="T134" s="154">
        <f>INDEX('Budget by Source'!$A$6:$I$330,MATCH('Payment by Source'!$A134,'Budget by Source'!$A$6:$A$330,0),MATCH(T$3,'Budget by Source'!$A$5:$I$5,0))-(ROUND(INDEX('Budget by Source'!$A$6:$I$330,MATCH('Payment by Source'!$A134,'Budget by Source'!$A$6:$A$330,0),MATCH(T$3,'Budget by Source'!$A$5:$I$5,0))/10,0)*10)</f>
        <v>-1</v>
      </c>
      <c r="U134" s="155">
        <f>INDEX('Budget by Source'!$A$6:$I$330,MATCH('Payment by Source'!$A134,'Budget by Source'!$A$6:$A$330,0),MATCH(U$3,'Budget by Source'!$A$5:$I$5,0))</f>
        <v>2748138</v>
      </c>
      <c r="V134" s="152">
        <f t="shared" si="4"/>
        <v>274814</v>
      </c>
      <c r="W134" s="152">
        <f t="shared" si="5"/>
        <v>2748140</v>
      </c>
    </row>
    <row r="135" spans="1:23" x14ac:dyDescent="0.2">
      <c r="A135" s="23" t="str">
        <f>Data!B131</f>
        <v>2766</v>
      </c>
      <c r="B135" s="21" t="str">
        <f>INDEX(Data[],MATCH($A135,Data[Dist],0),MATCH(B$5,Data[#Headers],0))</f>
        <v>HLV</v>
      </c>
      <c r="C135" s="22">
        <f>IF(Notes!$B$2="June",ROUND('Budget by Source'!C135/10,0)+P135,ROUND('Budget by Source'!C135/10,0))</f>
        <v>6462</v>
      </c>
      <c r="D135" s="22">
        <f>IF(Notes!$B$2="June",ROUND('Budget by Source'!D135/10,0)+Q135,ROUND('Budget by Source'!D135/10,0))</f>
        <v>21569</v>
      </c>
      <c r="E135" s="22">
        <f>IF(Notes!$B$2="June",ROUND('Budget by Source'!E135/10,0)+R135,ROUND('Budget by Source'!E135/10,0))</f>
        <v>2294</v>
      </c>
      <c r="F135" s="22">
        <f>IF(Notes!$B$2="June",ROUND('Budget by Source'!F135/10,0)+S135,ROUND('Budget by Source'!F135/10,0))</f>
        <v>2244</v>
      </c>
      <c r="G135" s="22">
        <f>IF(Notes!$B$2="June",ROUND('Budget by Source'!G135/10,0)+T135,ROUND('Budget by Source'!G135/10,0))</f>
        <v>11679</v>
      </c>
      <c r="H135" s="22">
        <f t="shared" ref="H135:H198" si="6">I135-SUM(C135:G135)</f>
        <v>150849</v>
      </c>
      <c r="I135" s="22">
        <f>INDEX(Data[],MATCH($A135,Data[Dist],0),MATCH(I$5,Data[#Headers],0))</f>
        <v>195097</v>
      </c>
      <c r="K135" s="69">
        <f>INDEX('Payment Total'!$A$7:$H$331,MATCH('Payment by Source'!$A135,'Payment Total'!$A$7:$A$331,0),3)-I135</f>
        <v>0</v>
      </c>
      <c r="P135" s="154">
        <f>INDEX('Budget by Source'!$A$6:$I$330,MATCH('Payment by Source'!$A135,'Budget by Source'!$A$6:$A$330,0),MATCH(P$3,'Budget by Source'!$A$5:$I$5,0))-(ROUND(INDEX('Budget by Source'!$A$6:$I$330,MATCH('Payment by Source'!$A135,'Budget by Source'!$A$6:$A$330,0),MATCH(P$3,'Budget by Source'!$A$5:$I$5,0))/10,0)*10)</f>
        <v>-4</v>
      </c>
      <c r="Q135" s="154">
        <f>INDEX('Budget by Source'!$A$6:$I$330,MATCH('Payment by Source'!$A135,'Budget by Source'!$A$6:$A$330,0),MATCH(Q$3,'Budget by Source'!$A$5:$I$5,0))-(ROUND(INDEX('Budget by Source'!$A$6:$I$330,MATCH('Payment by Source'!$A135,'Budget by Source'!$A$6:$A$330,0),MATCH(Q$3,'Budget by Source'!$A$5:$I$5,0))/10,0)*10)</f>
        <v>-2</v>
      </c>
      <c r="R135" s="154">
        <f>INDEX('Budget by Source'!$A$6:$I$330,MATCH('Payment by Source'!$A135,'Budget by Source'!$A$6:$A$330,0),MATCH(R$3,'Budget by Source'!$A$5:$I$5,0))-(ROUND(INDEX('Budget by Source'!$A$6:$I$330,MATCH('Payment by Source'!$A135,'Budget by Source'!$A$6:$A$330,0),MATCH(R$3,'Budget by Source'!$A$5:$I$5,0))/10,0)*10)</f>
        <v>3</v>
      </c>
      <c r="S135" s="154">
        <f>INDEX('Budget by Source'!$A$6:$I$330,MATCH('Payment by Source'!$A135,'Budget by Source'!$A$6:$A$330,0),MATCH(S$3,'Budget by Source'!$A$5:$I$5,0))-(ROUND(INDEX('Budget by Source'!$A$6:$I$330,MATCH('Payment by Source'!$A135,'Budget by Source'!$A$6:$A$330,0),MATCH(S$3,'Budget by Source'!$A$5:$I$5,0))/10,0)*10)</f>
        <v>0</v>
      </c>
      <c r="T135" s="154">
        <f>INDEX('Budget by Source'!$A$6:$I$330,MATCH('Payment by Source'!$A135,'Budget by Source'!$A$6:$A$330,0),MATCH(T$3,'Budget by Source'!$A$5:$I$5,0))-(ROUND(INDEX('Budget by Source'!$A$6:$I$330,MATCH('Payment by Source'!$A135,'Budget by Source'!$A$6:$A$330,0),MATCH(T$3,'Budget by Source'!$A$5:$I$5,0))/10,0)*10)</f>
        <v>-4</v>
      </c>
      <c r="U135" s="155">
        <f>INDEX('Budget by Source'!$A$6:$I$330,MATCH('Payment by Source'!$A135,'Budget by Source'!$A$6:$A$330,0),MATCH(U$3,'Budget by Source'!$A$5:$I$5,0))</f>
        <v>1508498</v>
      </c>
      <c r="V135" s="152">
        <f t="shared" ref="V135:V198" si="7">ROUND(U135/10,0)</f>
        <v>150850</v>
      </c>
      <c r="W135" s="152">
        <f t="shared" ref="W135:W198" si="8">V135*10</f>
        <v>1508500</v>
      </c>
    </row>
    <row r="136" spans="1:23" x14ac:dyDescent="0.2">
      <c r="A136" s="23" t="str">
        <f>Data!B132</f>
        <v>2772</v>
      </c>
      <c r="B136" s="21" t="str">
        <f>INDEX(Data[],MATCH($A136,Data[Dist],0),MATCH(B$5,Data[#Headers],0))</f>
        <v>Hamburg</v>
      </c>
      <c r="C136" s="22">
        <f>IF(Notes!$B$2="June",ROUND('Budget by Source'!C136/10,0)+P136,ROUND('Budget by Source'!C136/10,0))</f>
        <v>4181</v>
      </c>
      <c r="D136" s="22">
        <f>IF(Notes!$B$2="June",ROUND('Budget by Source'!D136/10,0)+Q136,ROUND('Budget by Source'!D136/10,0))</f>
        <v>15104</v>
      </c>
      <c r="E136" s="22">
        <f>IF(Notes!$B$2="June",ROUND('Budget by Source'!E136/10,0)+R136,ROUND('Budget by Source'!E136/10,0))</f>
        <v>1774</v>
      </c>
      <c r="F136" s="22">
        <f>IF(Notes!$B$2="June",ROUND('Budget by Source'!F136/10,0)+S136,ROUND('Budget by Source'!F136/10,0))</f>
        <v>1576</v>
      </c>
      <c r="G136" s="22">
        <f>IF(Notes!$B$2="June",ROUND('Budget by Source'!G136/10,0)+T136,ROUND('Budget by Source'!G136/10,0))</f>
        <v>8329</v>
      </c>
      <c r="H136" s="22">
        <f t="shared" si="6"/>
        <v>91228</v>
      </c>
      <c r="I136" s="22">
        <f>INDEX(Data[],MATCH($A136,Data[Dist],0),MATCH(I$5,Data[#Headers],0))</f>
        <v>122192</v>
      </c>
      <c r="K136" s="69">
        <f>INDEX('Payment Total'!$A$7:$H$331,MATCH('Payment by Source'!$A136,'Payment Total'!$A$7:$A$331,0),3)-I136</f>
        <v>0</v>
      </c>
      <c r="P136" s="154">
        <f>INDEX('Budget by Source'!$A$6:$I$330,MATCH('Payment by Source'!$A136,'Budget by Source'!$A$6:$A$330,0),MATCH(P$3,'Budget by Source'!$A$5:$I$5,0))-(ROUND(INDEX('Budget by Source'!$A$6:$I$330,MATCH('Payment by Source'!$A136,'Budget by Source'!$A$6:$A$330,0),MATCH(P$3,'Budget by Source'!$A$5:$I$5,0))/10,0)*10)</f>
        <v>1</v>
      </c>
      <c r="Q136" s="154">
        <f>INDEX('Budget by Source'!$A$6:$I$330,MATCH('Payment by Source'!$A136,'Budget by Source'!$A$6:$A$330,0),MATCH(Q$3,'Budget by Source'!$A$5:$I$5,0))-(ROUND(INDEX('Budget by Source'!$A$6:$I$330,MATCH('Payment by Source'!$A136,'Budget by Source'!$A$6:$A$330,0),MATCH(Q$3,'Budget by Source'!$A$5:$I$5,0))/10,0)*10)</f>
        <v>-4</v>
      </c>
      <c r="R136" s="154">
        <f>INDEX('Budget by Source'!$A$6:$I$330,MATCH('Payment by Source'!$A136,'Budget by Source'!$A$6:$A$330,0),MATCH(R$3,'Budget by Source'!$A$5:$I$5,0))-(ROUND(INDEX('Budget by Source'!$A$6:$I$330,MATCH('Payment by Source'!$A136,'Budget by Source'!$A$6:$A$330,0),MATCH(R$3,'Budget by Source'!$A$5:$I$5,0))/10,0)*10)</f>
        <v>-4</v>
      </c>
      <c r="S136" s="154">
        <f>INDEX('Budget by Source'!$A$6:$I$330,MATCH('Payment by Source'!$A136,'Budget by Source'!$A$6:$A$330,0),MATCH(S$3,'Budget by Source'!$A$5:$I$5,0))-(ROUND(INDEX('Budget by Source'!$A$6:$I$330,MATCH('Payment by Source'!$A136,'Budget by Source'!$A$6:$A$330,0),MATCH(S$3,'Budget by Source'!$A$5:$I$5,0))/10,0)*10)</f>
        <v>1</v>
      </c>
      <c r="T136" s="154">
        <f>INDEX('Budget by Source'!$A$6:$I$330,MATCH('Payment by Source'!$A136,'Budget by Source'!$A$6:$A$330,0),MATCH(T$3,'Budget by Source'!$A$5:$I$5,0))-(ROUND(INDEX('Budget by Source'!$A$6:$I$330,MATCH('Payment by Source'!$A136,'Budget by Source'!$A$6:$A$330,0),MATCH(T$3,'Budget by Source'!$A$5:$I$5,0))/10,0)*10)</f>
        <v>-2</v>
      </c>
      <c r="U136" s="155">
        <f>INDEX('Budget by Source'!$A$6:$I$330,MATCH('Payment by Source'!$A136,'Budget by Source'!$A$6:$A$330,0),MATCH(U$3,'Budget by Source'!$A$5:$I$5,0))</f>
        <v>912291</v>
      </c>
      <c r="V136" s="152">
        <f t="shared" si="7"/>
        <v>91229</v>
      </c>
      <c r="W136" s="152">
        <f t="shared" si="8"/>
        <v>912290</v>
      </c>
    </row>
    <row r="137" spans="1:23" x14ac:dyDescent="0.2">
      <c r="A137" s="23" t="str">
        <f>Data!B133</f>
        <v>2781</v>
      </c>
      <c r="B137" s="21" t="str">
        <f>INDEX(Data[],MATCH($A137,Data[Dist],0),MATCH(B$5,Data[#Headers],0))</f>
        <v>Hampton-Dumont</v>
      </c>
      <c r="C137" s="22">
        <f>IF(Notes!$B$2="June",ROUND('Budget by Source'!C137/10,0)+P137,ROUND('Budget by Source'!C137/10,0))</f>
        <v>20525</v>
      </c>
      <c r="D137" s="22">
        <f>IF(Notes!$B$2="June",ROUND('Budget by Source'!D137/10,0)+Q137,ROUND('Budget by Source'!D137/10,0))</f>
        <v>76060</v>
      </c>
      <c r="E137" s="22">
        <f>IF(Notes!$B$2="June",ROUND('Budget by Source'!E137/10,0)+R137,ROUND('Budget by Source'!E137/10,0))</f>
        <v>9760</v>
      </c>
      <c r="F137" s="22">
        <f>IF(Notes!$B$2="June",ROUND('Budget by Source'!F137/10,0)+S137,ROUND('Budget by Source'!F137/10,0))</f>
        <v>8280</v>
      </c>
      <c r="G137" s="22">
        <f>IF(Notes!$B$2="June",ROUND('Budget by Source'!G137/10,0)+T137,ROUND('Budget by Source'!G137/10,0))</f>
        <v>41257</v>
      </c>
      <c r="H137" s="22">
        <f t="shared" si="6"/>
        <v>644851</v>
      </c>
      <c r="I137" s="22">
        <f>INDEX(Data[],MATCH($A137,Data[Dist],0),MATCH(I$5,Data[#Headers],0))</f>
        <v>800733</v>
      </c>
      <c r="K137" s="69">
        <f>INDEX('Payment Total'!$A$7:$H$331,MATCH('Payment by Source'!$A137,'Payment Total'!$A$7:$A$331,0),3)-I137</f>
        <v>0</v>
      </c>
      <c r="P137" s="154">
        <f>INDEX('Budget by Source'!$A$6:$I$330,MATCH('Payment by Source'!$A137,'Budget by Source'!$A$6:$A$330,0),MATCH(P$3,'Budget by Source'!$A$5:$I$5,0))-(ROUND(INDEX('Budget by Source'!$A$6:$I$330,MATCH('Payment by Source'!$A137,'Budget by Source'!$A$6:$A$330,0),MATCH(P$3,'Budget by Source'!$A$5:$I$5,0))/10,0)*10)</f>
        <v>-1</v>
      </c>
      <c r="Q137" s="154">
        <f>INDEX('Budget by Source'!$A$6:$I$330,MATCH('Payment by Source'!$A137,'Budget by Source'!$A$6:$A$330,0),MATCH(Q$3,'Budget by Source'!$A$5:$I$5,0))-(ROUND(INDEX('Budget by Source'!$A$6:$I$330,MATCH('Payment by Source'!$A137,'Budget by Source'!$A$6:$A$330,0),MATCH(Q$3,'Budget by Source'!$A$5:$I$5,0))/10,0)*10)</f>
        <v>-1</v>
      </c>
      <c r="R137" s="154">
        <f>INDEX('Budget by Source'!$A$6:$I$330,MATCH('Payment by Source'!$A137,'Budget by Source'!$A$6:$A$330,0),MATCH(R$3,'Budget by Source'!$A$5:$I$5,0))-(ROUND(INDEX('Budget by Source'!$A$6:$I$330,MATCH('Payment by Source'!$A137,'Budget by Source'!$A$6:$A$330,0),MATCH(R$3,'Budget by Source'!$A$5:$I$5,0))/10,0)*10)</f>
        <v>-2</v>
      </c>
      <c r="S137" s="154">
        <f>INDEX('Budget by Source'!$A$6:$I$330,MATCH('Payment by Source'!$A137,'Budget by Source'!$A$6:$A$330,0),MATCH(S$3,'Budget by Source'!$A$5:$I$5,0))-(ROUND(INDEX('Budget by Source'!$A$6:$I$330,MATCH('Payment by Source'!$A137,'Budget by Source'!$A$6:$A$330,0),MATCH(S$3,'Budget by Source'!$A$5:$I$5,0))/10,0)*10)</f>
        <v>-2</v>
      </c>
      <c r="T137" s="154">
        <f>INDEX('Budget by Source'!$A$6:$I$330,MATCH('Payment by Source'!$A137,'Budget by Source'!$A$6:$A$330,0),MATCH(T$3,'Budget by Source'!$A$5:$I$5,0))-(ROUND(INDEX('Budget by Source'!$A$6:$I$330,MATCH('Payment by Source'!$A137,'Budget by Source'!$A$6:$A$330,0),MATCH(T$3,'Budget by Source'!$A$5:$I$5,0))/10,0)*10)</f>
        <v>-1</v>
      </c>
      <c r="U137" s="155">
        <f>INDEX('Budget by Source'!$A$6:$I$330,MATCH('Payment by Source'!$A137,'Budget by Source'!$A$6:$A$330,0),MATCH(U$3,'Budget by Source'!$A$5:$I$5,0))</f>
        <v>6448518</v>
      </c>
      <c r="V137" s="152">
        <f t="shared" si="7"/>
        <v>644852</v>
      </c>
      <c r="W137" s="152">
        <f t="shared" si="8"/>
        <v>6448520</v>
      </c>
    </row>
    <row r="138" spans="1:23" x14ac:dyDescent="0.2">
      <c r="A138" s="23" t="str">
        <f>Data!B134</f>
        <v>2826</v>
      </c>
      <c r="B138" s="21" t="str">
        <f>INDEX(Data[],MATCH($A138,Data[Dist],0),MATCH(B$5,Data[#Headers],0))</f>
        <v>Harlan</v>
      </c>
      <c r="C138" s="22">
        <f>IF(Notes!$B$2="June",ROUND('Budget by Source'!C138/10,0)+P138,ROUND('Budget by Source'!C138/10,0))</f>
        <v>31168</v>
      </c>
      <c r="D138" s="22">
        <f>IF(Notes!$B$2="June",ROUND('Budget by Source'!D138/10,0)+Q138,ROUND('Budget by Source'!D138/10,0))</f>
        <v>90064</v>
      </c>
      <c r="E138" s="22">
        <f>IF(Notes!$B$2="June",ROUND('Budget by Source'!E138/10,0)+R138,ROUND('Budget by Source'!E138/10,0))</f>
        <v>10547</v>
      </c>
      <c r="F138" s="22">
        <f>IF(Notes!$B$2="June",ROUND('Budget by Source'!F138/10,0)+S138,ROUND('Budget by Source'!F138/10,0))</f>
        <v>10533</v>
      </c>
      <c r="G138" s="22">
        <f>IF(Notes!$B$2="June",ROUND('Budget by Source'!G138/10,0)+T138,ROUND('Budget by Source'!G138/10,0))</f>
        <v>50684</v>
      </c>
      <c r="H138" s="22">
        <f t="shared" si="6"/>
        <v>759187</v>
      </c>
      <c r="I138" s="22">
        <f>INDEX(Data[],MATCH($A138,Data[Dist],0),MATCH(I$5,Data[#Headers],0))</f>
        <v>952183</v>
      </c>
      <c r="K138" s="69">
        <f>INDEX('Payment Total'!$A$7:$H$331,MATCH('Payment by Source'!$A138,'Payment Total'!$A$7:$A$331,0),3)-I138</f>
        <v>0</v>
      </c>
      <c r="P138" s="154">
        <f>INDEX('Budget by Source'!$A$6:$I$330,MATCH('Payment by Source'!$A138,'Budget by Source'!$A$6:$A$330,0),MATCH(P$3,'Budget by Source'!$A$5:$I$5,0))-(ROUND(INDEX('Budget by Source'!$A$6:$I$330,MATCH('Payment by Source'!$A138,'Budget by Source'!$A$6:$A$330,0),MATCH(P$3,'Budget by Source'!$A$5:$I$5,0))/10,0)*10)</f>
        <v>-5</v>
      </c>
      <c r="Q138" s="154">
        <f>INDEX('Budget by Source'!$A$6:$I$330,MATCH('Payment by Source'!$A138,'Budget by Source'!$A$6:$A$330,0),MATCH(Q$3,'Budget by Source'!$A$5:$I$5,0))-(ROUND(INDEX('Budget by Source'!$A$6:$I$330,MATCH('Payment by Source'!$A138,'Budget by Source'!$A$6:$A$330,0),MATCH(Q$3,'Budget by Source'!$A$5:$I$5,0))/10,0)*10)</f>
        <v>3</v>
      </c>
      <c r="R138" s="154">
        <f>INDEX('Budget by Source'!$A$6:$I$330,MATCH('Payment by Source'!$A138,'Budget by Source'!$A$6:$A$330,0),MATCH(R$3,'Budget by Source'!$A$5:$I$5,0))-(ROUND(INDEX('Budget by Source'!$A$6:$I$330,MATCH('Payment by Source'!$A138,'Budget by Source'!$A$6:$A$330,0),MATCH(R$3,'Budget by Source'!$A$5:$I$5,0))/10,0)*10)</f>
        <v>2</v>
      </c>
      <c r="S138" s="154">
        <f>INDEX('Budget by Source'!$A$6:$I$330,MATCH('Payment by Source'!$A138,'Budget by Source'!$A$6:$A$330,0),MATCH(S$3,'Budget by Source'!$A$5:$I$5,0))-(ROUND(INDEX('Budget by Source'!$A$6:$I$330,MATCH('Payment by Source'!$A138,'Budget by Source'!$A$6:$A$330,0),MATCH(S$3,'Budget by Source'!$A$5:$I$5,0))/10,0)*10)</f>
        <v>4</v>
      </c>
      <c r="T138" s="154">
        <f>INDEX('Budget by Source'!$A$6:$I$330,MATCH('Payment by Source'!$A138,'Budget by Source'!$A$6:$A$330,0),MATCH(T$3,'Budget by Source'!$A$5:$I$5,0))-(ROUND(INDEX('Budget by Source'!$A$6:$I$330,MATCH('Payment by Source'!$A138,'Budget by Source'!$A$6:$A$330,0),MATCH(T$3,'Budget by Source'!$A$5:$I$5,0))/10,0)*10)</f>
        <v>-1</v>
      </c>
      <c r="U138" s="155">
        <f>INDEX('Budget by Source'!$A$6:$I$330,MATCH('Payment by Source'!$A138,'Budget by Source'!$A$6:$A$330,0),MATCH(U$3,'Budget by Source'!$A$5:$I$5,0))</f>
        <v>7591869</v>
      </c>
      <c r="V138" s="152">
        <f t="shared" si="7"/>
        <v>759187</v>
      </c>
      <c r="W138" s="152">
        <f t="shared" si="8"/>
        <v>7591870</v>
      </c>
    </row>
    <row r="139" spans="1:23" x14ac:dyDescent="0.2">
      <c r="A139" s="23" t="str">
        <f>Data!B135</f>
        <v>2846</v>
      </c>
      <c r="B139" s="21" t="str">
        <f>INDEX(Data[],MATCH($A139,Data[Dist],0),MATCH(B$5,Data[#Headers],0))</f>
        <v>Harris-Lake Park</v>
      </c>
      <c r="C139" s="22">
        <f>IF(Notes!$B$2="June",ROUND('Budget by Source'!C139/10,0)+P139,ROUND('Budget by Source'!C139/10,0))</f>
        <v>5701</v>
      </c>
      <c r="D139" s="22">
        <f>IF(Notes!$B$2="June",ROUND('Budget by Source'!D139/10,0)+Q139,ROUND('Budget by Source'!D139/10,0))</f>
        <v>20049</v>
      </c>
      <c r="E139" s="22">
        <f>IF(Notes!$B$2="June",ROUND('Budget by Source'!E139/10,0)+R139,ROUND('Budget by Source'!E139/10,0))</f>
        <v>2686</v>
      </c>
      <c r="F139" s="22">
        <f>IF(Notes!$B$2="June",ROUND('Budget by Source'!F139/10,0)+S139,ROUND('Budget by Source'!F139/10,0))</f>
        <v>2110</v>
      </c>
      <c r="G139" s="22">
        <f>IF(Notes!$B$2="June",ROUND('Budget by Source'!G139/10,0)+T139,ROUND('Budget by Source'!G139/10,0))</f>
        <v>10835</v>
      </c>
      <c r="H139" s="22">
        <f t="shared" si="6"/>
        <v>72765</v>
      </c>
      <c r="I139" s="22">
        <f>INDEX(Data[],MATCH($A139,Data[Dist],0),MATCH(I$5,Data[#Headers],0))</f>
        <v>114146</v>
      </c>
      <c r="K139" s="69">
        <f>INDEX('Payment Total'!$A$7:$H$331,MATCH('Payment by Source'!$A139,'Payment Total'!$A$7:$A$331,0),3)-I139</f>
        <v>0</v>
      </c>
      <c r="P139" s="154">
        <f>INDEX('Budget by Source'!$A$6:$I$330,MATCH('Payment by Source'!$A139,'Budget by Source'!$A$6:$A$330,0),MATCH(P$3,'Budget by Source'!$A$5:$I$5,0))-(ROUND(INDEX('Budget by Source'!$A$6:$I$330,MATCH('Payment by Source'!$A139,'Budget by Source'!$A$6:$A$330,0),MATCH(P$3,'Budget by Source'!$A$5:$I$5,0))/10,0)*10)</f>
        <v>4</v>
      </c>
      <c r="Q139" s="154">
        <f>INDEX('Budget by Source'!$A$6:$I$330,MATCH('Payment by Source'!$A139,'Budget by Source'!$A$6:$A$330,0),MATCH(Q$3,'Budget by Source'!$A$5:$I$5,0))-(ROUND(INDEX('Budget by Source'!$A$6:$I$330,MATCH('Payment by Source'!$A139,'Budget by Source'!$A$6:$A$330,0),MATCH(Q$3,'Budget by Source'!$A$5:$I$5,0))/10,0)*10)</f>
        <v>0</v>
      </c>
      <c r="R139" s="154">
        <f>INDEX('Budget by Source'!$A$6:$I$330,MATCH('Payment by Source'!$A139,'Budget by Source'!$A$6:$A$330,0),MATCH(R$3,'Budget by Source'!$A$5:$I$5,0))-(ROUND(INDEX('Budget by Source'!$A$6:$I$330,MATCH('Payment by Source'!$A139,'Budget by Source'!$A$6:$A$330,0),MATCH(R$3,'Budget by Source'!$A$5:$I$5,0))/10,0)*10)</f>
        <v>3</v>
      </c>
      <c r="S139" s="154">
        <f>INDEX('Budget by Source'!$A$6:$I$330,MATCH('Payment by Source'!$A139,'Budget by Source'!$A$6:$A$330,0),MATCH(S$3,'Budget by Source'!$A$5:$I$5,0))-(ROUND(INDEX('Budget by Source'!$A$6:$I$330,MATCH('Payment by Source'!$A139,'Budget by Source'!$A$6:$A$330,0),MATCH(S$3,'Budget by Source'!$A$5:$I$5,0))/10,0)*10)</f>
        <v>3</v>
      </c>
      <c r="T139" s="154">
        <f>INDEX('Budget by Source'!$A$6:$I$330,MATCH('Payment by Source'!$A139,'Budget by Source'!$A$6:$A$330,0),MATCH(T$3,'Budget by Source'!$A$5:$I$5,0))-(ROUND(INDEX('Budget by Source'!$A$6:$I$330,MATCH('Payment by Source'!$A139,'Budget by Source'!$A$6:$A$330,0),MATCH(T$3,'Budget by Source'!$A$5:$I$5,0))/10,0)*10)</f>
        <v>-2</v>
      </c>
      <c r="U139" s="155">
        <f>INDEX('Budget by Source'!$A$6:$I$330,MATCH('Payment by Source'!$A139,'Budget by Source'!$A$6:$A$330,0),MATCH(U$3,'Budget by Source'!$A$5:$I$5,0))</f>
        <v>727639</v>
      </c>
      <c r="V139" s="152">
        <f t="shared" si="7"/>
        <v>72764</v>
      </c>
      <c r="W139" s="152">
        <f t="shared" si="8"/>
        <v>727640</v>
      </c>
    </row>
    <row r="140" spans="1:23" x14ac:dyDescent="0.2">
      <c r="A140" s="23" t="str">
        <f>Data!B136</f>
        <v>2862</v>
      </c>
      <c r="B140" s="21" t="str">
        <f>INDEX(Data[],MATCH($A140,Data[Dist],0),MATCH(B$5,Data[#Headers],0))</f>
        <v>Hartley-Melvin-Sanborn</v>
      </c>
      <c r="C140" s="22">
        <f>IF(Notes!$B$2="June",ROUND('Budget by Source'!C140/10,0)+P140,ROUND('Budget by Source'!C140/10,0))</f>
        <v>14063</v>
      </c>
      <c r="D140" s="22">
        <f>IF(Notes!$B$2="June",ROUND('Budget by Source'!D140/10,0)+Q140,ROUND('Budget by Source'!D140/10,0))</f>
        <v>44198</v>
      </c>
      <c r="E140" s="22">
        <f>IF(Notes!$B$2="June",ROUND('Budget by Source'!E140/10,0)+R140,ROUND('Budget by Source'!E140/10,0))</f>
        <v>4555</v>
      </c>
      <c r="F140" s="22">
        <f>IF(Notes!$B$2="June",ROUND('Budget by Source'!F140/10,0)+S140,ROUND('Budget by Source'!F140/10,0))</f>
        <v>4794</v>
      </c>
      <c r="G140" s="22">
        <f>IF(Notes!$B$2="June",ROUND('Budget by Source'!G140/10,0)+T140,ROUND('Budget by Source'!G140/10,0))</f>
        <v>23649</v>
      </c>
      <c r="H140" s="22">
        <f t="shared" si="6"/>
        <v>234137</v>
      </c>
      <c r="I140" s="22">
        <f>INDEX(Data[],MATCH($A140,Data[Dist],0),MATCH(I$5,Data[#Headers],0))</f>
        <v>325396</v>
      </c>
      <c r="K140" s="69">
        <f>INDEX('Payment Total'!$A$7:$H$331,MATCH('Payment by Source'!$A140,'Payment Total'!$A$7:$A$331,0),3)-I140</f>
        <v>0</v>
      </c>
      <c r="P140" s="154">
        <f>INDEX('Budget by Source'!$A$6:$I$330,MATCH('Payment by Source'!$A140,'Budget by Source'!$A$6:$A$330,0),MATCH(P$3,'Budget by Source'!$A$5:$I$5,0))-(ROUND(INDEX('Budget by Source'!$A$6:$I$330,MATCH('Payment by Source'!$A140,'Budget by Source'!$A$6:$A$330,0),MATCH(P$3,'Budget by Source'!$A$5:$I$5,0))/10,0)*10)</f>
        <v>4</v>
      </c>
      <c r="Q140" s="154">
        <f>INDEX('Budget by Source'!$A$6:$I$330,MATCH('Payment by Source'!$A140,'Budget by Source'!$A$6:$A$330,0),MATCH(Q$3,'Budget by Source'!$A$5:$I$5,0))-(ROUND(INDEX('Budget by Source'!$A$6:$I$330,MATCH('Payment by Source'!$A140,'Budget by Source'!$A$6:$A$330,0),MATCH(Q$3,'Budget by Source'!$A$5:$I$5,0))/10,0)*10)</f>
        <v>-3</v>
      </c>
      <c r="R140" s="154">
        <f>INDEX('Budget by Source'!$A$6:$I$330,MATCH('Payment by Source'!$A140,'Budget by Source'!$A$6:$A$330,0),MATCH(R$3,'Budget by Source'!$A$5:$I$5,0))-(ROUND(INDEX('Budget by Source'!$A$6:$I$330,MATCH('Payment by Source'!$A140,'Budget by Source'!$A$6:$A$330,0),MATCH(R$3,'Budget by Source'!$A$5:$I$5,0))/10,0)*10)</f>
        <v>-2</v>
      </c>
      <c r="S140" s="154">
        <f>INDEX('Budget by Source'!$A$6:$I$330,MATCH('Payment by Source'!$A140,'Budget by Source'!$A$6:$A$330,0),MATCH(S$3,'Budget by Source'!$A$5:$I$5,0))-(ROUND(INDEX('Budget by Source'!$A$6:$I$330,MATCH('Payment by Source'!$A140,'Budget by Source'!$A$6:$A$330,0),MATCH(S$3,'Budget by Source'!$A$5:$I$5,0))/10,0)*10)</f>
        <v>1</v>
      </c>
      <c r="T140" s="154">
        <f>INDEX('Budget by Source'!$A$6:$I$330,MATCH('Payment by Source'!$A140,'Budget by Source'!$A$6:$A$330,0),MATCH(T$3,'Budget by Source'!$A$5:$I$5,0))-(ROUND(INDEX('Budget by Source'!$A$6:$I$330,MATCH('Payment by Source'!$A140,'Budget by Source'!$A$6:$A$330,0),MATCH(T$3,'Budget by Source'!$A$5:$I$5,0))/10,0)*10)</f>
        <v>-4</v>
      </c>
      <c r="U140" s="155">
        <f>INDEX('Budget by Source'!$A$6:$I$330,MATCH('Payment by Source'!$A140,'Budget by Source'!$A$6:$A$330,0),MATCH(U$3,'Budget by Source'!$A$5:$I$5,0))</f>
        <v>2341377</v>
      </c>
      <c r="V140" s="152">
        <f t="shared" si="7"/>
        <v>234138</v>
      </c>
      <c r="W140" s="152">
        <f t="shared" si="8"/>
        <v>2341380</v>
      </c>
    </row>
    <row r="141" spans="1:23" x14ac:dyDescent="0.2">
      <c r="A141" s="23" t="str">
        <f>Data!B137</f>
        <v>2977</v>
      </c>
      <c r="B141" s="21" t="str">
        <f>INDEX(Data[],MATCH($A141,Data[Dist],0),MATCH(B$5,Data[#Headers],0))</f>
        <v>Highland</v>
      </c>
      <c r="C141" s="22">
        <f>IF(Notes!$B$2="June",ROUND('Budget by Source'!C141/10,0)+P141,ROUND('Budget by Source'!C141/10,0))</f>
        <v>12933</v>
      </c>
      <c r="D141" s="22">
        <f>IF(Notes!$B$2="June",ROUND('Budget by Source'!D141/10,0)+Q141,ROUND('Budget by Source'!D141/10,0))</f>
        <v>40064</v>
      </c>
      <c r="E141" s="22">
        <f>IF(Notes!$B$2="June",ROUND('Budget by Source'!E141/10,0)+R141,ROUND('Budget by Source'!E141/10,0))</f>
        <v>4749</v>
      </c>
      <c r="F141" s="22">
        <f>IF(Notes!$B$2="June",ROUND('Budget by Source'!F141/10,0)+S141,ROUND('Budget by Source'!F141/10,0))</f>
        <v>4268</v>
      </c>
      <c r="G141" s="22">
        <f>IF(Notes!$B$2="June",ROUND('Budget by Source'!G141/10,0)+T141,ROUND('Budget by Source'!G141/10,0))</f>
        <v>21485</v>
      </c>
      <c r="H141" s="22">
        <f t="shared" si="6"/>
        <v>264610</v>
      </c>
      <c r="I141" s="22">
        <f>INDEX(Data[],MATCH($A141,Data[Dist],0),MATCH(I$5,Data[#Headers],0))</f>
        <v>348109</v>
      </c>
      <c r="K141" s="69">
        <f>INDEX('Payment Total'!$A$7:$H$331,MATCH('Payment by Source'!$A141,'Payment Total'!$A$7:$A$331,0),3)-I141</f>
        <v>0</v>
      </c>
      <c r="P141" s="154">
        <f>INDEX('Budget by Source'!$A$6:$I$330,MATCH('Payment by Source'!$A141,'Budget by Source'!$A$6:$A$330,0),MATCH(P$3,'Budget by Source'!$A$5:$I$5,0))-(ROUND(INDEX('Budget by Source'!$A$6:$I$330,MATCH('Payment by Source'!$A141,'Budget by Source'!$A$6:$A$330,0),MATCH(P$3,'Budget by Source'!$A$5:$I$5,0))/10,0)*10)</f>
        <v>-4</v>
      </c>
      <c r="Q141" s="154">
        <f>INDEX('Budget by Source'!$A$6:$I$330,MATCH('Payment by Source'!$A141,'Budget by Source'!$A$6:$A$330,0),MATCH(Q$3,'Budget by Source'!$A$5:$I$5,0))-(ROUND(INDEX('Budget by Source'!$A$6:$I$330,MATCH('Payment by Source'!$A141,'Budget by Source'!$A$6:$A$330,0),MATCH(Q$3,'Budget by Source'!$A$5:$I$5,0))/10,0)*10)</f>
        <v>3</v>
      </c>
      <c r="R141" s="154">
        <f>INDEX('Budget by Source'!$A$6:$I$330,MATCH('Payment by Source'!$A141,'Budget by Source'!$A$6:$A$330,0),MATCH(R$3,'Budget by Source'!$A$5:$I$5,0))-(ROUND(INDEX('Budget by Source'!$A$6:$I$330,MATCH('Payment by Source'!$A141,'Budget by Source'!$A$6:$A$330,0),MATCH(R$3,'Budget by Source'!$A$5:$I$5,0))/10,0)*10)</f>
        <v>-5</v>
      </c>
      <c r="S141" s="154">
        <f>INDEX('Budget by Source'!$A$6:$I$330,MATCH('Payment by Source'!$A141,'Budget by Source'!$A$6:$A$330,0),MATCH(S$3,'Budget by Source'!$A$5:$I$5,0))-(ROUND(INDEX('Budget by Source'!$A$6:$I$330,MATCH('Payment by Source'!$A141,'Budget by Source'!$A$6:$A$330,0),MATCH(S$3,'Budget by Source'!$A$5:$I$5,0))/10,0)*10)</f>
        <v>1</v>
      </c>
      <c r="T141" s="154">
        <f>INDEX('Budget by Source'!$A$6:$I$330,MATCH('Payment by Source'!$A141,'Budget by Source'!$A$6:$A$330,0),MATCH(T$3,'Budget by Source'!$A$5:$I$5,0))-(ROUND(INDEX('Budget by Source'!$A$6:$I$330,MATCH('Payment by Source'!$A141,'Budget by Source'!$A$6:$A$330,0),MATCH(T$3,'Budget by Source'!$A$5:$I$5,0))/10,0)*10)</f>
        <v>3</v>
      </c>
      <c r="U141" s="155">
        <f>INDEX('Budget by Source'!$A$6:$I$330,MATCH('Payment by Source'!$A141,'Budget by Source'!$A$6:$A$330,0),MATCH(U$3,'Budget by Source'!$A$5:$I$5,0))</f>
        <v>2646100</v>
      </c>
      <c r="V141" s="152">
        <f t="shared" si="7"/>
        <v>264610</v>
      </c>
      <c r="W141" s="152">
        <f t="shared" si="8"/>
        <v>2646100</v>
      </c>
    </row>
    <row r="142" spans="1:23" x14ac:dyDescent="0.2">
      <c r="A142" s="23" t="str">
        <f>Data!B138</f>
        <v>2988</v>
      </c>
      <c r="B142" s="21" t="str">
        <f>INDEX(Data[],MATCH($A142,Data[Dist],0),MATCH(B$5,Data[#Headers],0))</f>
        <v>Hinton</v>
      </c>
      <c r="C142" s="22">
        <f>IF(Notes!$B$2="June",ROUND('Budget by Source'!C142/10,0)+P142,ROUND('Budget by Source'!C142/10,0))</f>
        <v>13303</v>
      </c>
      <c r="D142" s="22">
        <f>IF(Notes!$B$2="June",ROUND('Budget by Source'!D142/10,0)+Q142,ROUND('Budget by Source'!D142/10,0))</f>
        <v>37771</v>
      </c>
      <c r="E142" s="22">
        <f>IF(Notes!$B$2="June",ROUND('Budget by Source'!E142/10,0)+R142,ROUND('Budget by Source'!E142/10,0))</f>
        <v>4576</v>
      </c>
      <c r="F142" s="22">
        <f>IF(Notes!$B$2="June",ROUND('Budget by Source'!F142/10,0)+S142,ROUND('Budget by Source'!F142/10,0))</f>
        <v>4245</v>
      </c>
      <c r="G142" s="22">
        <f>IF(Notes!$B$2="June",ROUND('Budget by Source'!G142/10,0)+T142,ROUND('Budget by Source'!G142/10,0))</f>
        <v>20531</v>
      </c>
      <c r="H142" s="22">
        <f t="shared" si="6"/>
        <v>289044</v>
      </c>
      <c r="I142" s="22">
        <f>INDEX(Data[],MATCH($A142,Data[Dist],0),MATCH(I$5,Data[#Headers],0))</f>
        <v>369470</v>
      </c>
      <c r="K142" s="69">
        <f>INDEX('Payment Total'!$A$7:$H$331,MATCH('Payment by Source'!$A142,'Payment Total'!$A$7:$A$331,0),3)-I142</f>
        <v>0</v>
      </c>
      <c r="P142" s="154">
        <f>INDEX('Budget by Source'!$A$6:$I$330,MATCH('Payment by Source'!$A142,'Budget by Source'!$A$6:$A$330,0),MATCH(P$3,'Budget by Source'!$A$5:$I$5,0))-(ROUND(INDEX('Budget by Source'!$A$6:$I$330,MATCH('Payment by Source'!$A142,'Budget by Source'!$A$6:$A$330,0),MATCH(P$3,'Budget by Source'!$A$5:$I$5,0))/10,0)*10)</f>
        <v>3</v>
      </c>
      <c r="Q142" s="154">
        <f>INDEX('Budget by Source'!$A$6:$I$330,MATCH('Payment by Source'!$A142,'Budget by Source'!$A$6:$A$330,0),MATCH(Q$3,'Budget by Source'!$A$5:$I$5,0))-(ROUND(INDEX('Budget by Source'!$A$6:$I$330,MATCH('Payment by Source'!$A142,'Budget by Source'!$A$6:$A$330,0),MATCH(Q$3,'Budget by Source'!$A$5:$I$5,0))/10,0)*10)</f>
        <v>-2</v>
      </c>
      <c r="R142" s="154">
        <f>INDEX('Budget by Source'!$A$6:$I$330,MATCH('Payment by Source'!$A142,'Budget by Source'!$A$6:$A$330,0),MATCH(R$3,'Budget by Source'!$A$5:$I$5,0))-(ROUND(INDEX('Budget by Source'!$A$6:$I$330,MATCH('Payment by Source'!$A142,'Budget by Source'!$A$6:$A$330,0),MATCH(R$3,'Budget by Source'!$A$5:$I$5,0))/10,0)*10)</f>
        <v>0</v>
      </c>
      <c r="S142" s="154">
        <f>INDEX('Budget by Source'!$A$6:$I$330,MATCH('Payment by Source'!$A142,'Budget by Source'!$A$6:$A$330,0),MATCH(S$3,'Budget by Source'!$A$5:$I$5,0))-(ROUND(INDEX('Budget by Source'!$A$6:$I$330,MATCH('Payment by Source'!$A142,'Budget by Source'!$A$6:$A$330,0),MATCH(S$3,'Budget by Source'!$A$5:$I$5,0))/10,0)*10)</f>
        <v>1</v>
      </c>
      <c r="T142" s="154">
        <f>INDEX('Budget by Source'!$A$6:$I$330,MATCH('Payment by Source'!$A142,'Budget by Source'!$A$6:$A$330,0),MATCH(T$3,'Budget by Source'!$A$5:$I$5,0))-(ROUND(INDEX('Budget by Source'!$A$6:$I$330,MATCH('Payment by Source'!$A142,'Budget by Source'!$A$6:$A$330,0),MATCH(T$3,'Budget by Source'!$A$5:$I$5,0))/10,0)*10)</f>
        <v>-2</v>
      </c>
      <c r="U142" s="155">
        <f>INDEX('Budget by Source'!$A$6:$I$330,MATCH('Payment by Source'!$A142,'Budget by Source'!$A$6:$A$330,0),MATCH(U$3,'Budget by Source'!$A$5:$I$5,0))</f>
        <v>2890438</v>
      </c>
      <c r="V142" s="152">
        <f t="shared" si="7"/>
        <v>289044</v>
      </c>
      <c r="W142" s="152">
        <f t="shared" si="8"/>
        <v>2890440</v>
      </c>
    </row>
    <row r="143" spans="1:23" x14ac:dyDescent="0.2">
      <c r="A143" s="23" t="str">
        <f>Data!B139</f>
        <v>3029</v>
      </c>
      <c r="B143" s="21" t="str">
        <f>INDEX(Data[],MATCH($A143,Data[Dist],0),MATCH(B$5,Data[#Headers],0))</f>
        <v>Howard-Winneshiek</v>
      </c>
      <c r="C143" s="22">
        <f>IF(Notes!$B$2="June",ROUND('Budget by Source'!C143/10,0)+P143,ROUND('Budget by Source'!C143/10,0))</f>
        <v>23946</v>
      </c>
      <c r="D143" s="22">
        <f>IF(Notes!$B$2="June",ROUND('Budget by Source'!D143/10,0)+Q143,ROUND('Budget by Source'!D143/10,0))</f>
        <v>77966</v>
      </c>
      <c r="E143" s="22">
        <f>IF(Notes!$B$2="June",ROUND('Budget by Source'!E143/10,0)+R143,ROUND('Budget by Source'!E143/10,0))</f>
        <v>8398</v>
      </c>
      <c r="F143" s="22">
        <f>IF(Notes!$B$2="June",ROUND('Budget by Source'!F143/10,0)+S143,ROUND('Budget by Source'!F143/10,0))</f>
        <v>8441</v>
      </c>
      <c r="G143" s="22">
        <f>IF(Notes!$B$2="June",ROUND('Budget by Source'!G143/10,0)+T143,ROUND('Budget by Source'!G143/10,0))</f>
        <v>42444</v>
      </c>
      <c r="H143" s="22">
        <f t="shared" si="6"/>
        <v>586231</v>
      </c>
      <c r="I143" s="22">
        <f>INDEX(Data[],MATCH($A143,Data[Dist],0),MATCH(I$5,Data[#Headers],0))</f>
        <v>747426</v>
      </c>
      <c r="K143" s="69">
        <f>INDEX('Payment Total'!$A$7:$H$331,MATCH('Payment by Source'!$A143,'Payment Total'!$A$7:$A$331,0),3)-I143</f>
        <v>0</v>
      </c>
      <c r="P143" s="154">
        <f>INDEX('Budget by Source'!$A$6:$I$330,MATCH('Payment by Source'!$A143,'Budget by Source'!$A$6:$A$330,0),MATCH(P$3,'Budget by Source'!$A$5:$I$5,0))-(ROUND(INDEX('Budget by Source'!$A$6:$I$330,MATCH('Payment by Source'!$A143,'Budget by Source'!$A$6:$A$330,0),MATCH(P$3,'Budget by Source'!$A$5:$I$5,0))/10,0)*10)</f>
        <v>-2</v>
      </c>
      <c r="Q143" s="154">
        <f>INDEX('Budget by Source'!$A$6:$I$330,MATCH('Payment by Source'!$A143,'Budget by Source'!$A$6:$A$330,0),MATCH(Q$3,'Budget by Source'!$A$5:$I$5,0))-(ROUND(INDEX('Budget by Source'!$A$6:$I$330,MATCH('Payment by Source'!$A143,'Budget by Source'!$A$6:$A$330,0),MATCH(Q$3,'Budget by Source'!$A$5:$I$5,0))/10,0)*10)</f>
        <v>-5</v>
      </c>
      <c r="R143" s="154">
        <f>INDEX('Budget by Source'!$A$6:$I$330,MATCH('Payment by Source'!$A143,'Budget by Source'!$A$6:$A$330,0),MATCH(R$3,'Budget by Source'!$A$5:$I$5,0))-(ROUND(INDEX('Budget by Source'!$A$6:$I$330,MATCH('Payment by Source'!$A143,'Budget by Source'!$A$6:$A$330,0),MATCH(R$3,'Budget by Source'!$A$5:$I$5,0))/10,0)*10)</f>
        <v>2</v>
      </c>
      <c r="S143" s="154">
        <f>INDEX('Budget by Source'!$A$6:$I$330,MATCH('Payment by Source'!$A143,'Budget by Source'!$A$6:$A$330,0),MATCH(S$3,'Budget by Source'!$A$5:$I$5,0))-(ROUND(INDEX('Budget by Source'!$A$6:$I$330,MATCH('Payment by Source'!$A143,'Budget by Source'!$A$6:$A$330,0),MATCH(S$3,'Budget by Source'!$A$5:$I$5,0))/10,0)*10)</f>
        <v>-2</v>
      </c>
      <c r="T143" s="154">
        <f>INDEX('Budget by Source'!$A$6:$I$330,MATCH('Payment by Source'!$A143,'Budget by Source'!$A$6:$A$330,0),MATCH(T$3,'Budget by Source'!$A$5:$I$5,0))-(ROUND(INDEX('Budget by Source'!$A$6:$I$330,MATCH('Payment by Source'!$A143,'Budget by Source'!$A$6:$A$330,0),MATCH(T$3,'Budget by Source'!$A$5:$I$5,0))/10,0)*10)</f>
        <v>-4</v>
      </c>
      <c r="U143" s="155">
        <f>INDEX('Budget by Source'!$A$6:$I$330,MATCH('Payment by Source'!$A143,'Budget by Source'!$A$6:$A$330,0),MATCH(U$3,'Budget by Source'!$A$5:$I$5,0))</f>
        <v>5862320</v>
      </c>
      <c r="V143" s="152">
        <f t="shared" si="7"/>
        <v>586232</v>
      </c>
      <c r="W143" s="152">
        <f t="shared" si="8"/>
        <v>5862320</v>
      </c>
    </row>
    <row r="144" spans="1:23" x14ac:dyDescent="0.2">
      <c r="A144" s="23" t="str">
        <f>Data!B140</f>
        <v>3033</v>
      </c>
      <c r="B144" s="21" t="str">
        <f>INDEX(Data[],MATCH($A144,Data[Dist],0),MATCH(B$5,Data[#Headers],0))</f>
        <v>Hubbard-Radcliffe</v>
      </c>
      <c r="C144" s="22">
        <f>IF(Notes!$B$2="June",ROUND('Budget by Source'!C144/10,0)+P144,ROUND('Budget by Source'!C144/10,0))</f>
        <v>9882</v>
      </c>
      <c r="D144" s="22">
        <f>IF(Notes!$B$2="June",ROUND('Budget by Source'!D144/10,0)+Q144,ROUND('Budget by Source'!D144/10,0))</f>
        <v>26753</v>
      </c>
      <c r="E144" s="22">
        <f>IF(Notes!$B$2="June",ROUND('Budget by Source'!E144/10,0)+R144,ROUND('Budget by Source'!E144/10,0))</f>
        <v>2729</v>
      </c>
      <c r="F144" s="22">
        <f>IF(Notes!$B$2="June",ROUND('Budget by Source'!F144/10,0)+S144,ROUND('Budget by Source'!F144/10,0))</f>
        <v>2373</v>
      </c>
      <c r="G144" s="22">
        <f>IF(Notes!$B$2="June",ROUND('Budget by Source'!G144/10,0)+T144,ROUND('Budget by Source'!G144/10,0))</f>
        <v>15176</v>
      </c>
      <c r="H144" s="22">
        <f t="shared" si="6"/>
        <v>139348</v>
      </c>
      <c r="I144" s="22">
        <f>INDEX(Data[],MATCH($A144,Data[Dist],0),MATCH(I$5,Data[#Headers],0))</f>
        <v>196261</v>
      </c>
      <c r="K144" s="69">
        <f>INDEX('Payment Total'!$A$7:$H$331,MATCH('Payment by Source'!$A144,'Payment Total'!$A$7:$A$331,0),3)-I144</f>
        <v>0</v>
      </c>
      <c r="P144" s="154">
        <f>INDEX('Budget by Source'!$A$6:$I$330,MATCH('Payment by Source'!$A144,'Budget by Source'!$A$6:$A$330,0),MATCH(P$3,'Budget by Source'!$A$5:$I$5,0))-(ROUND(INDEX('Budget by Source'!$A$6:$I$330,MATCH('Payment by Source'!$A144,'Budget by Source'!$A$6:$A$330,0),MATCH(P$3,'Budget by Source'!$A$5:$I$5,0))/10,0)*10)</f>
        <v>4</v>
      </c>
      <c r="Q144" s="154">
        <f>INDEX('Budget by Source'!$A$6:$I$330,MATCH('Payment by Source'!$A144,'Budget by Source'!$A$6:$A$330,0),MATCH(Q$3,'Budget by Source'!$A$5:$I$5,0))-(ROUND(INDEX('Budget by Source'!$A$6:$I$330,MATCH('Payment by Source'!$A144,'Budget by Source'!$A$6:$A$330,0),MATCH(Q$3,'Budget by Source'!$A$5:$I$5,0))/10,0)*10)</f>
        <v>-4</v>
      </c>
      <c r="R144" s="154">
        <f>INDEX('Budget by Source'!$A$6:$I$330,MATCH('Payment by Source'!$A144,'Budget by Source'!$A$6:$A$330,0),MATCH(R$3,'Budget by Source'!$A$5:$I$5,0))-(ROUND(INDEX('Budget by Source'!$A$6:$I$330,MATCH('Payment by Source'!$A144,'Budget by Source'!$A$6:$A$330,0),MATCH(R$3,'Budget by Source'!$A$5:$I$5,0))/10,0)*10)</f>
        <v>4</v>
      </c>
      <c r="S144" s="154">
        <f>INDEX('Budget by Source'!$A$6:$I$330,MATCH('Payment by Source'!$A144,'Budget by Source'!$A$6:$A$330,0),MATCH(S$3,'Budget by Source'!$A$5:$I$5,0))-(ROUND(INDEX('Budget by Source'!$A$6:$I$330,MATCH('Payment by Source'!$A144,'Budget by Source'!$A$6:$A$330,0),MATCH(S$3,'Budget by Source'!$A$5:$I$5,0))/10,0)*10)</f>
        <v>2</v>
      </c>
      <c r="T144" s="154">
        <f>INDEX('Budget by Source'!$A$6:$I$330,MATCH('Payment by Source'!$A144,'Budget by Source'!$A$6:$A$330,0),MATCH(T$3,'Budget by Source'!$A$5:$I$5,0))-(ROUND(INDEX('Budget by Source'!$A$6:$I$330,MATCH('Payment by Source'!$A144,'Budget by Source'!$A$6:$A$330,0),MATCH(T$3,'Budget by Source'!$A$5:$I$5,0))/10,0)*10)</f>
        <v>1</v>
      </c>
      <c r="U144" s="155">
        <f>INDEX('Budget by Source'!$A$6:$I$330,MATCH('Payment by Source'!$A144,'Budget by Source'!$A$6:$A$330,0),MATCH(U$3,'Budget by Source'!$A$5:$I$5,0))</f>
        <v>1393469</v>
      </c>
      <c r="V144" s="152">
        <f t="shared" si="7"/>
        <v>139347</v>
      </c>
      <c r="W144" s="152">
        <f t="shared" si="8"/>
        <v>1393470</v>
      </c>
    </row>
    <row r="145" spans="1:23" x14ac:dyDescent="0.2">
      <c r="A145" s="23" t="str">
        <f>Data!B141</f>
        <v>3042</v>
      </c>
      <c r="B145" s="21" t="str">
        <f>INDEX(Data[],MATCH($A145,Data[Dist],0),MATCH(B$5,Data[#Headers],0))</f>
        <v>Hudson</v>
      </c>
      <c r="C145" s="22">
        <f>IF(Notes!$B$2="June",ROUND('Budget by Source'!C145/10,0)+P145,ROUND('Budget by Source'!C145/10,0))</f>
        <v>15584</v>
      </c>
      <c r="D145" s="22">
        <f>IF(Notes!$B$2="June",ROUND('Budget by Source'!D145/10,0)+Q145,ROUND('Budget by Source'!D145/10,0))</f>
        <v>50129</v>
      </c>
      <c r="E145" s="22">
        <f>IF(Notes!$B$2="June",ROUND('Budget by Source'!E145/10,0)+R145,ROUND('Budget by Source'!E145/10,0))</f>
        <v>4606</v>
      </c>
      <c r="F145" s="22">
        <f>IF(Notes!$B$2="June",ROUND('Budget by Source'!F145/10,0)+S145,ROUND('Budget by Source'!F145/10,0))</f>
        <v>5675</v>
      </c>
      <c r="G145" s="22">
        <f>IF(Notes!$B$2="June",ROUND('Budget by Source'!G145/10,0)+T145,ROUND('Budget by Source'!G145/10,0))</f>
        <v>26339</v>
      </c>
      <c r="H145" s="22">
        <f t="shared" si="6"/>
        <v>456689</v>
      </c>
      <c r="I145" s="22">
        <f>INDEX(Data[],MATCH($A145,Data[Dist],0),MATCH(I$5,Data[#Headers],0))</f>
        <v>559022</v>
      </c>
      <c r="K145" s="69">
        <f>INDEX('Payment Total'!$A$7:$H$331,MATCH('Payment by Source'!$A145,'Payment Total'!$A$7:$A$331,0),3)-I145</f>
        <v>0</v>
      </c>
      <c r="P145" s="154">
        <f>INDEX('Budget by Source'!$A$6:$I$330,MATCH('Payment by Source'!$A145,'Budget by Source'!$A$6:$A$330,0),MATCH(P$3,'Budget by Source'!$A$5:$I$5,0))-(ROUND(INDEX('Budget by Source'!$A$6:$I$330,MATCH('Payment by Source'!$A145,'Budget by Source'!$A$6:$A$330,0),MATCH(P$3,'Budget by Source'!$A$5:$I$5,0))/10,0)*10)</f>
        <v>-2</v>
      </c>
      <c r="Q145" s="154">
        <f>INDEX('Budget by Source'!$A$6:$I$330,MATCH('Payment by Source'!$A145,'Budget by Source'!$A$6:$A$330,0),MATCH(Q$3,'Budget by Source'!$A$5:$I$5,0))-(ROUND(INDEX('Budget by Source'!$A$6:$I$330,MATCH('Payment by Source'!$A145,'Budget by Source'!$A$6:$A$330,0),MATCH(Q$3,'Budget by Source'!$A$5:$I$5,0))/10,0)*10)</f>
        <v>1</v>
      </c>
      <c r="R145" s="154">
        <f>INDEX('Budget by Source'!$A$6:$I$330,MATCH('Payment by Source'!$A145,'Budget by Source'!$A$6:$A$330,0),MATCH(R$3,'Budget by Source'!$A$5:$I$5,0))-(ROUND(INDEX('Budget by Source'!$A$6:$I$330,MATCH('Payment by Source'!$A145,'Budget by Source'!$A$6:$A$330,0),MATCH(R$3,'Budget by Source'!$A$5:$I$5,0))/10,0)*10)</f>
        <v>2</v>
      </c>
      <c r="S145" s="154">
        <f>INDEX('Budget by Source'!$A$6:$I$330,MATCH('Payment by Source'!$A145,'Budget by Source'!$A$6:$A$330,0),MATCH(S$3,'Budget by Source'!$A$5:$I$5,0))-(ROUND(INDEX('Budget by Source'!$A$6:$I$330,MATCH('Payment by Source'!$A145,'Budget by Source'!$A$6:$A$330,0),MATCH(S$3,'Budget by Source'!$A$5:$I$5,0))/10,0)*10)</f>
        <v>-3</v>
      </c>
      <c r="T145" s="154">
        <f>INDEX('Budget by Source'!$A$6:$I$330,MATCH('Payment by Source'!$A145,'Budget by Source'!$A$6:$A$330,0),MATCH(T$3,'Budget by Source'!$A$5:$I$5,0))-(ROUND(INDEX('Budget by Source'!$A$6:$I$330,MATCH('Payment by Source'!$A145,'Budget by Source'!$A$6:$A$330,0),MATCH(T$3,'Budget by Source'!$A$5:$I$5,0))/10,0)*10)</f>
        <v>-2</v>
      </c>
      <c r="U145" s="155">
        <f>INDEX('Budget by Source'!$A$6:$I$330,MATCH('Payment by Source'!$A145,'Budget by Source'!$A$6:$A$330,0),MATCH(U$3,'Budget by Source'!$A$5:$I$5,0))</f>
        <v>4566889</v>
      </c>
      <c r="V145" s="152">
        <f t="shared" si="7"/>
        <v>456689</v>
      </c>
      <c r="W145" s="152">
        <f t="shared" si="8"/>
        <v>4566890</v>
      </c>
    </row>
    <row r="146" spans="1:23" x14ac:dyDescent="0.2">
      <c r="A146" s="23" t="str">
        <f>Data!B142</f>
        <v>3060</v>
      </c>
      <c r="B146" s="21" t="str">
        <f>INDEX(Data[],MATCH($A146,Data[Dist],0),MATCH(B$5,Data[#Headers],0))</f>
        <v>Humboldt</v>
      </c>
      <c r="C146" s="22">
        <f>IF(Notes!$B$2="June",ROUND('Budget by Source'!C146/10,0)+P146,ROUND('Budget by Source'!C146/10,0))</f>
        <v>27367</v>
      </c>
      <c r="D146" s="22">
        <f>IF(Notes!$B$2="June",ROUND('Budget by Source'!D146/10,0)+Q146,ROUND('Budget by Source'!D146/10,0))</f>
        <v>83509</v>
      </c>
      <c r="E146" s="22">
        <f>IF(Notes!$B$2="June",ROUND('Budget by Source'!E146/10,0)+R146,ROUND('Budget by Source'!E146/10,0))</f>
        <v>10168</v>
      </c>
      <c r="F146" s="22">
        <f>IF(Notes!$B$2="June",ROUND('Budget by Source'!F146/10,0)+S146,ROUND('Budget by Source'!F146/10,0))</f>
        <v>9176</v>
      </c>
      <c r="G146" s="22">
        <f>IF(Notes!$B$2="June",ROUND('Budget by Source'!G146/10,0)+T146,ROUND('Budget by Source'!G146/10,0))</f>
        <v>45948</v>
      </c>
      <c r="H146" s="22">
        <f t="shared" si="6"/>
        <v>661782</v>
      </c>
      <c r="I146" s="22">
        <f>INDEX(Data[],MATCH($A146,Data[Dist],0),MATCH(I$5,Data[#Headers],0))</f>
        <v>837950</v>
      </c>
      <c r="K146" s="69">
        <f>INDEX('Payment Total'!$A$7:$H$331,MATCH('Payment by Source'!$A146,'Payment Total'!$A$7:$A$331,0),3)-I146</f>
        <v>0</v>
      </c>
      <c r="P146" s="154">
        <f>INDEX('Budget by Source'!$A$6:$I$330,MATCH('Payment by Source'!$A146,'Budget by Source'!$A$6:$A$330,0),MATCH(P$3,'Budget by Source'!$A$5:$I$5,0))-(ROUND(INDEX('Budget by Source'!$A$6:$I$330,MATCH('Payment by Source'!$A146,'Budget by Source'!$A$6:$A$330,0),MATCH(P$3,'Budget by Source'!$A$5:$I$5,0))/10,0)*10)</f>
        <v>-4</v>
      </c>
      <c r="Q146" s="154">
        <f>INDEX('Budget by Source'!$A$6:$I$330,MATCH('Payment by Source'!$A146,'Budget by Source'!$A$6:$A$330,0),MATCH(Q$3,'Budget by Source'!$A$5:$I$5,0))-(ROUND(INDEX('Budget by Source'!$A$6:$I$330,MATCH('Payment by Source'!$A146,'Budget by Source'!$A$6:$A$330,0),MATCH(Q$3,'Budget by Source'!$A$5:$I$5,0))/10,0)*10)</f>
        <v>4</v>
      </c>
      <c r="R146" s="154">
        <f>INDEX('Budget by Source'!$A$6:$I$330,MATCH('Payment by Source'!$A146,'Budget by Source'!$A$6:$A$330,0),MATCH(R$3,'Budget by Source'!$A$5:$I$5,0))-(ROUND(INDEX('Budget by Source'!$A$6:$I$330,MATCH('Payment by Source'!$A146,'Budget by Source'!$A$6:$A$330,0),MATCH(R$3,'Budget by Source'!$A$5:$I$5,0))/10,0)*10)</f>
        <v>-3</v>
      </c>
      <c r="S146" s="154">
        <f>INDEX('Budget by Source'!$A$6:$I$330,MATCH('Payment by Source'!$A146,'Budget by Source'!$A$6:$A$330,0),MATCH(S$3,'Budget by Source'!$A$5:$I$5,0))-(ROUND(INDEX('Budget by Source'!$A$6:$I$330,MATCH('Payment by Source'!$A146,'Budget by Source'!$A$6:$A$330,0),MATCH(S$3,'Budget by Source'!$A$5:$I$5,0))/10,0)*10)</f>
        <v>4</v>
      </c>
      <c r="T146" s="154">
        <f>INDEX('Budget by Source'!$A$6:$I$330,MATCH('Payment by Source'!$A146,'Budget by Source'!$A$6:$A$330,0),MATCH(T$3,'Budget by Source'!$A$5:$I$5,0))-(ROUND(INDEX('Budget by Source'!$A$6:$I$330,MATCH('Payment by Source'!$A146,'Budget by Source'!$A$6:$A$330,0),MATCH(T$3,'Budget by Source'!$A$5:$I$5,0))/10,0)*10)</f>
        <v>3</v>
      </c>
      <c r="U146" s="155">
        <f>INDEX('Budget by Source'!$A$6:$I$330,MATCH('Payment by Source'!$A146,'Budget by Source'!$A$6:$A$330,0),MATCH(U$3,'Budget by Source'!$A$5:$I$5,0))</f>
        <v>6617816</v>
      </c>
      <c r="V146" s="152">
        <f t="shared" si="7"/>
        <v>661782</v>
      </c>
      <c r="W146" s="152">
        <f t="shared" si="8"/>
        <v>6617820</v>
      </c>
    </row>
    <row r="147" spans="1:23" x14ac:dyDescent="0.2">
      <c r="A147" s="23" t="str">
        <f>Data!B143</f>
        <v>3105</v>
      </c>
      <c r="B147" s="21" t="str">
        <f>INDEX(Data[],MATCH($A147,Data[Dist],0),MATCH(B$5,Data[#Headers],0))</f>
        <v>Independence</v>
      </c>
      <c r="C147" s="22">
        <f>IF(Notes!$B$2="June",ROUND('Budget by Source'!C147/10,0)+P147,ROUND('Budget by Source'!C147/10,0))</f>
        <v>39530</v>
      </c>
      <c r="D147" s="22">
        <f>IF(Notes!$B$2="June",ROUND('Budget by Source'!D147/10,0)+Q147,ROUND('Budget by Source'!D147/10,0))</f>
        <v>94292</v>
      </c>
      <c r="E147" s="22">
        <f>IF(Notes!$B$2="June",ROUND('Budget by Source'!E147/10,0)+R147,ROUND('Budget by Source'!E147/10,0))</f>
        <v>10625</v>
      </c>
      <c r="F147" s="22">
        <f>IF(Notes!$B$2="June",ROUND('Budget by Source'!F147/10,0)+S147,ROUND('Budget by Source'!F147/10,0))</f>
        <v>11053</v>
      </c>
      <c r="G147" s="22">
        <f>IF(Notes!$B$2="June",ROUND('Budget by Source'!G147/10,0)+T147,ROUND('Budget by Source'!G147/10,0))</f>
        <v>50994</v>
      </c>
      <c r="H147" s="22">
        <f t="shared" si="6"/>
        <v>816580</v>
      </c>
      <c r="I147" s="22">
        <f>INDEX(Data[],MATCH($A147,Data[Dist],0),MATCH(I$5,Data[#Headers],0))</f>
        <v>1023074</v>
      </c>
      <c r="K147" s="69">
        <f>INDEX('Payment Total'!$A$7:$H$331,MATCH('Payment by Source'!$A147,'Payment Total'!$A$7:$A$331,0),3)-I147</f>
        <v>0</v>
      </c>
      <c r="P147" s="154">
        <f>INDEX('Budget by Source'!$A$6:$I$330,MATCH('Payment by Source'!$A147,'Budget by Source'!$A$6:$A$330,0),MATCH(P$3,'Budget by Source'!$A$5:$I$5,0))-(ROUND(INDEX('Budget by Source'!$A$6:$I$330,MATCH('Payment by Source'!$A147,'Budget by Source'!$A$6:$A$330,0),MATCH(P$3,'Budget by Source'!$A$5:$I$5,0))/10,0)*10)</f>
        <v>-5</v>
      </c>
      <c r="Q147" s="154">
        <f>INDEX('Budget by Source'!$A$6:$I$330,MATCH('Payment by Source'!$A147,'Budget by Source'!$A$6:$A$330,0),MATCH(Q$3,'Budget by Source'!$A$5:$I$5,0))-(ROUND(INDEX('Budget by Source'!$A$6:$I$330,MATCH('Payment by Source'!$A147,'Budget by Source'!$A$6:$A$330,0),MATCH(Q$3,'Budget by Source'!$A$5:$I$5,0))/10,0)*10)</f>
        <v>2</v>
      </c>
      <c r="R147" s="154">
        <f>INDEX('Budget by Source'!$A$6:$I$330,MATCH('Payment by Source'!$A147,'Budget by Source'!$A$6:$A$330,0),MATCH(R$3,'Budget by Source'!$A$5:$I$5,0))-(ROUND(INDEX('Budget by Source'!$A$6:$I$330,MATCH('Payment by Source'!$A147,'Budget by Source'!$A$6:$A$330,0),MATCH(R$3,'Budget by Source'!$A$5:$I$5,0))/10,0)*10)</f>
        <v>4</v>
      </c>
      <c r="S147" s="154">
        <f>INDEX('Budget by Source'!$A$6:$I$330,MATCH('Payment by Source'!$A147,'Budget by Source'!$A$6:$A$330,0),MATCH(S$3,'Budget by Source'!$A$5:$I$5,0))-(ROUND(INDEX('Budget by Source'!$A$6:$I$330,MATCH('Payment by Source'!$A147,'Budget by Source'!$A$6:$A$330,0),MATCH(S$3,'Budget by Source'!$A$5:$I$5,0))/10,0)*10)</f>
        <v>0</v>
      </c>
      <c r="T147" s="154">
        <f>INDEX('Budget by Source'!$A$6:$I$330,MATCH('Payment by Source'!$A147,'Budget by Source'!$A$6:$A$330,0),MATCH(T$3,'Budget by Source'!$A$5:$I$5,0))-(ROUND(INDEX('Budget by Source'!$A$6:$I$330,MATCH('Payment by Source'!$A147,'Budget by Source'!$A$6:$A$330,0),MATCH(T$3,'Budget by Source'!$A$5:$I$5,0))/10,0)*10)</f>
        <v>-5</v>
      </c>
      <c r="U147" s="155">
        <f>INDEX('Budget by Source'!$A$6:$I$330,MATCH('Payment by Source'!$A147,'Budget by Source'!$A$6:$A$330,0),MATCH(U$3,'Budget by Source'!$A$5:$I$5,0))</f>
        <v>8165808</v>
      </c>
      <c r="V147" s="152">
        <f t="shared" si="7"/>
        <v>816581</v>
      </c>
      <c r="W147" s="152">
        <f t="shared" si="8"/>
        <v>8165810</v>
      </c>
    </row>
    <row r="148" spans="1:23" x14ac:dyDescent="0.2">
      <c r="A148" s="23" t="str">
        <f>Data!B144</f>
        <v>3114</v>
      </c>
      <c r="B148" s="21" t="str">
        <f>INDEX(Data[],MATCH($A148,Data[Dist],0),MATCH(B$5,Data[#Headers],0))</f>
        <v>Indianola</v>
      </c>
      <c r="C148" s="22">
        <f>IF(Notes!$B$2="June",ROUND('Budget by Source'!C148/10,0)+P148,ROUND('Budget by Source'!C148/10,0))</f>
        <v>45991</v>
      </c>
      <c r="D148" s="22">
        <f>IF(Notes!$B$2="June",ROUND('Budget by Source'!D148/10,0)+Q148,ROUND('Budget by Source'!D148/10,0))</f>
        <v>210664</v>
      </c>
      <c r="E148" s="22">
        <f>IF(Notes!$B$2="June",ROUND('Budget by Source'!E148/10,0)+R148,ROUND('Budget by Source'!E148/10,0))</f>
        <v>24177</v>
      </c>
      <c r="F148" s="22">
        <f>IF(Notes!$B$2="June",ROUND('Budget by Source'!F148/10,0)+S148,ROUND('Budget by Source'!F148/10,0))</f>
        <v>24836</v>
      </c>
      <c r="G148" s="22">
        <f>IF(Notes!$B$2="June",ROUND('Budget by Source'!G148/10,0)+T148,ROUND('Budget by Source'!G148/10,0))</f>
        <v>126649</v>
      </c>
      <c r="H148" s="22">
        <f t="shared" si="6"/>
        <v>2179217</v>
      </c>
      <c r="I148" s="22">
        <f>INDEX(Data[],MATCH($A148,Data[Dist],0),MATCH(I$5,Data[#Headers],0))</f>
        <v>2611534</v>
      </c>
      <c r="K148" s="69">
        <f>INDEX('Payment Total'!$A$7:$H$331,MATCH('Payment by Source'!$A148,'Payment Total'!$A$7:$A$331,0),3)-I148</f>
        <v>0</v>
      </c>
      <c r="P148" s="154">
        <f>INDEX('Budget by Source'!$A$6:$I$330,MATCH('Payment by Source'!$A148,'Budget by Source'!$A$6:$A$330,0),MATCH(P$3,'Budget by Source'!$A$5:$I$5,0))-(ROUND(INDEX('Budget by Source'!$A$6:$I$330,MATCH('Payment by Source'!$A148,'Budget by Source'!$A$6:$A$330,0),MATCH(P$3,'Budget by Source'!$A$5:$I$5,0))/10,0)*10)</f>
        <v>1</v>
      </c>
      <c r="Q148" s="154">
        <f>INDEX('Budget by Source'!$A$6:$I$330,MATCH('Payment by Source'!$A148,'Budget by Source'!$A$6:$A$330,0),MATCH(Q$3,'Budget by Source'!$A$5:$I$5,0))-(ROUND(INDEX('Budget by Source'!$A$6:$I$330,MATCH('Payment by Source'!$A148,'Budget by Source'!$A$6:$A$330,0),MATCH(Q$3,'Budget by Source'!$A$5:$I$5,0))/10,0)*10)</f>
        <v>-4</v>
      </c>
      <c r="R148" s="154">
        <f>INDEX('Budget by Source'!$A$6:$I$330,MATCH('Payment by Source'!$A148,'Budget by Source'!$A$6:$A$330,0),MATCH(R$3,'Budget by Source'!$A$5:$I$5,0))-(ROUND(INDEX('Budget by Source'!$A$6:$I$330,MATCH('Payment by Source'!$A148,'Budget by Source'!$A$6:$A$330,0),MATCH(R$3,'Budget by Source'!$A$5:$I$5,0))/10,0)*10)</f>
        <v>-5</v>
      </c>
      <c r="S148" s="154">
        <f>INDEX('Budget by Source'!$A$6:$I$330,MATCH('Payment by Source'!$A148,'Budget by Source'!$A$6:$A$330,0),MATCH(S$3,'Budget by Source'!$A$5:$I$5,0))-(ROUND(INDEX('Budget by Source'!$A$6:$I$330,MATCH('Payment by Source'!$A148,'Budget by Source'!$A$6:$A$330,0),MATCH(S$3,'Budget by Source'!$A$5:$I$5,0))/10,0)*10)</f>
        <v>3</v>
      </c>
      <c r="T148" s="154">
        <f>INDEX('Budget by Source'!$A$6:$I$330,MATCH('Payment by Source'!$A148,'Budget by Source'!$A$6:$A$330,0),MATCH(T$3,'Budget by Source'!$A$5:$I$5,0))-(ROUND(INDEX('Budget by Source'!$A$6:$I$330,MATCH('Payment by Source'!$A148,'Budget by Source'!$A$6:$A$330,0),MATCH(T$3,'Budget by Source'!$A$5:$I$5,0))/10,0)*10)</f>
        <v>0</v>
      </c>
      <c r="U148" s="155">
        <f>INDEX('Budget by Source'!$A$6:$I$330,MATCH('Payment by Source'!$A148,'Budget by Source'!$A$6:$A$330,0),MATCH(U$3,'Budget by Source'!$A$5:$I$5,0))</f>
        <v>21792170</v>
      </c>
      <c r="V148" s="152">
        <f t="shared" si="7"/>
        <v>2179217</v>
      </c>
      <c r="W148" s="152">
        <f t="shared" si="8"/>
        <v>21792170</v>
      </c>
    </row>
    <row r="149" spans="1:23" x14ac:dyDescent="0.2">
      <c r="A149" s="23" t="str">
        <f>Data!B145</f>
        <v>3119</v>
      </c>
      <c r="B149" s="21" t="str">
        <f>INDEX(Data[],MATCH($A149,Data[Dist],0),MATCH(B$5,Data[#Headers],0))</f>
        <v>Interstate 35</v>
      </c>
      <c r="C149" s="22">
        <f>IF(Notes!$B$2="June",ROUND('Budget by Source'!C149/10,0)+P149,ROUND('Budget by Source'!C149/10,0))</f>
        <v>14824</v>
      </c>
      <c r="D149" s="22">
        <f>IF(Notes!$B$2="June",ROUND('Budget by Source'!D149/10,0)+Q149,ROUND('Budget by Source'!D149/10,0))</f>
        <v>55764</v>
      </c>
      <c r="E149" s="22">
        <f>IF(Notes!$B$2="June",ROUND('Budget by Source'!E149/10,0)+R149,ROUND('Budget by Source'!E149/10,0))</f>
        <v>6005</v>
      </c>
      <c r="F149" s="22">
        <f>IF(Notes!$B$2="June",ROUND('Budget by Source'!F149/10,0)+S149,ROUND('Budget by Source'!F149/10,0))</f>
        <v>5295</v>
      </c>
      <c r="G149" s="22">
        <f>IF(Notes!$B$2="June",ROUND('Budget by Source'!G149/10,0)+T149,ROUND('Budget by Source'!G149/10,0))</f>
        <v>30912</v>
      </c>
      <c r="H149" s="22">
        <f t="shared" si="6"/>
        <v>488608</v>
      </c>
      <c r="I149" s="22">
        <f>INDEX(Data[],MATCH($A149,Data[Dist],0),MATCH(I$5,Data[#Headers],0))</f>
        <v>601408</v>
      </c>
      <c r="K149" s="69">
        <f>INDEX('Payment Total'!$A$7:$H$331,MATCH('Payment by Source'!$A149,'Payment Total'!$A$7:$A$331,0),3)-I149</f>
        <v>0</v>
      </c>
      <c r="P149" s="154">
        <f>INDEX('Budget by Source'!$A$6:$I$330,MATCH('Payment by Source'!$A149,'Budget by Source'!$A$6:$A$330,0),MATCH(P$3,'Budget by Source'!$A$5:$I$5,0))-(ROUND(INDEX('Budget by Source'!$A$6:$I$330,MATCH('Payment by Source'!$A149,'Budget by Source'!$A$6:$A$330,0),MATCH(P$3,'Budget by Source'!$A$5:$I$5,0))/10,0)*10)</f>
        <v>-4</v>
      </c>
      <c r="Q149" s="154">
        <f>INDEX('Budget by Source'!$A$6:$I$330,MATCH('Payment by Source'!$A149,'Budget by Source'!$A$6:$A$330,0),MATCH(Q$3,'Budget by Source'!$A$5:$I$5,0))-(ROUND(INDEX('Budget by Source'!$A$6:$I$330,MATCH('Payment by Source'!$A149,'Budget by Source'!$A$6:$A$330,0),MATCH(Q$3,'Budget by Source'!$A$5:$I$5,0))/10,0)*10)</f>
        <v>3</v>
      </c>
      <c r="R149" s="154">
        <f>INDEX('Budget by Source'!$A$6:$I$330,MATCH('Payment by Source'!$A149,'Budget by Source'!$A$6:$A$330,0),MATCH(R$3,'Budget by Source'!$A$5:$I$5,0))-(ROUND(INDEX('Budget by Source'!$A$6:$I$330,MATCH('Payment by Source'!$A149,'Budget by Source'!$A$6:$A$330,0),MATCH(R$3,'Budget by Source'!$A$5:$I$5,0))/10,0)*10)</f>
        <v>0</v>
      </c>
      <c r="S149" s="154">
        <f>INDEX('Budget by Source'!$A$6:$I$330,MATCH('Payment by Source'!$A149,'Budget by Source'!$A$6:$A$330,0),MATCH(S$3,'Budget by Source'!$A$5:$I$5,0))-(ROUND(INDEX('Budget by Source'!$A$6:$I$330,MATCH('Payment by Source'!$A149,'Budget by Source'!$A$6:$A$330,0),MATCH(S$3,'Budget by Source'!$A$5:$I$5,0))/10,0)*10)</f>
        <v>3</v>
      </c>
      <c r="T149" s="154">
        <f>INDEX('Budget by Source'!$A$6:$I$330,MATCH('Payment by Source'!$A149,'Budget by Source'!$A$6:$A$330,0),MATCH(T$3,'Budget by Source'!$A$5:$I$5,0))-(ROUND(INDEX('Budget by Source'!$A$6:$I$330,MATCH('Payment by Source'!$A149,'Budget by Source'!$A$6:$A$330,0),MATCH(T$3,'Budget by Source'!$A$5:$I$5,0))/10,0)*10)</f>
        <v>3</v>
      </c>
      <c r="U149" s="155">
        <f>INDEX('Budget by Source'!$A$6:$I$330,MATCH('Payment by Source'!$A149,'Budget by Source'!$A$6:$A$330,0),MATCH(U$3,'Budget by Source'!$A$5:$I$5,0))</f>
        <v>4886070</v>
      </c>
      <c r="V149" s="152">
        <f t="shared" si="7"/>
        <v>488607</v>
      </c>
      <c r="W149" s="152">
        <f t="shared" si="8"/>
        <v>4886070</v>
      </c>
    </row>
    <row r="150" spans="1:23" x14ac:dyDescent="0.2">
      <c r="A150" s="23" t="str">
        <f>Data!B146</f>
        <v>3141</v>
      </c>
      <c r="B150" s="21" t="str">
        <f>INDEX(Data[],MATCH($A150,Data[Dist],0),MATCH(B$5,Data[#Headers],0))</f>
        <v>Iowa City</v>
      </c>
      <c r="C150" s="22">
        <f>IF(Notes!$B$2="June",ROUND('Budget by Source'!C150/10,0)+P150,ROUND('Budget by Source'!C150/10,0))</f>
        <v>174880</v>
      </c>
      <c r="D150" s="22">
        <f>IF(Notes!$B$2="June",ROUND('Budget by Source'!D150/10,0)+Q150,ROUND('Budget by Source'!D150/10,0))</f>
        <v>913289</v>
      </c>
      <c r="E150" s="22">
        <f>IF(Notes!$B$2="June",ROUND('Budget by Source'!E150/10,0)+R150,ROUND('Budget by Source'!E150/10,0))</f>
        <v>115374</v>
      </c>
      <c r="F150" s="22">
        <f>IF(Notes!$B$2="June",ROUND('Budget by Source'!F150/10,0)+S150,ROUND('Budget by Source'!F150/10,0))</f>
        <v>111764</v>
      </c>
      <c r="G150" s="22">
        <f>IF(Notes!$B$2="June",ROUND('Budget by Source'!G150/10,0)+T150,ROUND('Budget by Source'!G150/10,0))</f>
        <v>532150</v>
      </c>
      <c r="H150" s="22">
        <f t="shared" si="6"/>
        <v>7333968</v>
      </c>
      <c r="I150" s="22">
        <f>INDEX(Data[],MATCH($A150,Data[Dist],0),MATCH(I$5,Data[#Headers],0))</f>
        <v>9181425</v>
      </c>
      <c r="K150" s="69">
        <f>INDEX('Payment Total'!$A$7:$H$331,MATCH('Payment by Source'!$A150,'Payment Total'!$A$7:$A$331,0),3)-I150</f>
        <v>0</v>
      </c>
      <c r="P150" s="154">
        <f>INDEX('Budget by Source'!$A$6:$I$330,MATCH('Payment by Source'!$A150,'Budget by Source'!$A$6:$A$330,0),MATCH(P$3,'Budget by Source'!$A$5:$I$5,0))-(ROUND(INDEX('Budget by Source'!$A$6:$I$330,MATCH('Payment by Source'!$A150,'Budget by Source'!$A$6:$A$330,0),MATCH(P$3,'Budget by Source'!$A$5:$I$5,0))/10,0)*10)</f>
        <v>-1</v>
      </c>
      <c r="Q150" s="154">
        <f>INDEX('Budget by Source'!$A$6:$I$330,MATCH('Payment by Source'!$A150,'Budget by Source'!$A$6:$A$330,0),MATCH(Q$3,'Budget by Source'!$A$5:$I$5,0))-(ROUND(INDEX('Budget by Source'!$A$6:$I$330,MATCH('Payment by Source'!$A150,'Budget by Source'!$A$6:$A$330,0),MATCH(Q$3,'Budget by Source'!$A$5:$I$5,0))/10,0)*10)</f>
        <v>-5</v>
      </c>
      <c r="R150" s="154">
        <f>INDEX('Budget by Source'!$A$6:$I$330,MATCH('Payment by Source'!$A150,'Budget by Source'!$A$6:$A$330,0),MATCH(R$3,'Budget by Source'!$A$5:$I$5,0))-(ROUND(INDEX('Budget by Source'!$A$6:$I$330,MATCH('Payment by Source'!$A150,'Budget by Source'!$A$6:$A$330,0),MATCH(R$3,'Budget by Source'!$A$5:$I$5,0))/10,0)*10)</f>
        <v>0</v>
      </c>
      <c r="S150" s="154">
        <f>INDEX('Budget by Source'!$A$6:$I$330,MATCH('Payment by Source'!$A150,'Budget by Source'!$A$6:$A$330,0),MATCH(S$3,'Budget by Source'!$A$5:$I$5,0))-(ROUND(INDEX('Budget by Source'!$A$6:$I$330,MATCH('Payment by Source'!$A150,'Budget by Source'!$A$6:$A$330,0),MATCH(S$3,'Budget by Source'!$A$5:$I$5,0))/10,0)*10)</f>
        <v>1</v>
      </c>
      <c r="T150" s="154">
        <f>INDEX('Budget by Source'!$A$6:$I$330,MATCH('Payment by Source'!$A150,'Budget by Source'!$A$6:$A$330,0),MATCH(T$3,'Budget by Source'!$A$5:$I$5,0))-(ROUND(INDEX('Budget by Source'!$A$6:$I$330,MATCH('Payment by Source'!$A150,'Budget by Source'!$A$6:$A$330,0),MATCH(T$3,'Budget by Source'!$A$5:$I$5,0))/10,0)*10)</f>
        <v>-1</v>
      </c>
      <c r="U150" s="155">
        <f>INDEX('Budget by Source'!$A$6:$I$330,MATCH('Payment by Source'!$A150,'Budget by Source'!$A$6:$A$330,0),MATCH(U$3,'Budget by Source'!$A$5:$I$5,0))</f>
        <v>73339686</v>
      </c>
      <c r="V150" s="152">
        <f t="shared" si="7"/>
        <v>7333969</v>
      </c>
      <c r="W150" s="152">
        <f t="shared" si="8"/>
        <v>73339690</v>
      </c>
    </row>
    <row r="151" spans="1:23" x14ac:dyDescent="0.2">
      <c r="A151" s="23" t="str">
        <f>Data!B147</f>
        <v>3150</v>
      </c>
      <c r="B151" s="21" t="str">
        <f>INDEX(Data[],MATCH($A151,Data[Dist],0),MATCH(B$5,Data[#Headers],0))</f>
        <v>Iowa Falls</v>
      </c>
      <c r="C151" s="22">
        <f>IF(Notes!$B$2="June",ROUND('Budget by Source'!C151/10,0)+P151,ROUND('Budget by Source'!C151/10,0))</f>
        <v>23566</v>
      </c>
      <c r="D151" s="22">
        <f>IF(Notes!$B$2="June",ROUND('Budget by Source'!D151/10,0)+Q151,ROUND('Budget by Source'!D151/10,0))</f>
        <v>66591</v>
      </c>
      <c r="E151" s="22">
        <f>IF(Notes!$B$2="June",ROUND('Budget by Source'!E151/10,0)+R151,ROUND('Budget by Source'!E151/10,0))</f>
        <v>8336</v>
      </c>
      <c r="F151" s="22">
        <f>IF(Notes!$B$2="June",ROUND('Budget by Source'!F151/10,0)+S151,ROUND('Budget by Source'!F151/10,0))</f>
        <v>7721</v>
      </c>
      <c r="G151" s="22">
        <f>IF(Notes!$B$2="June",ROUND('Budget by Source'!G151/10,0)+T151,ROUND('Budget by Source'!G151/10,0))</f>
        <v>36938</v>
      </c>
      <c r="H151" s="22">
        <f t="shared" si="6"/>
        <v>556072</v>
      </c>
      <c r="I151" s="22">
        <f>INDEX(Data[],MATCH($A151,Data[Dist],0),MATCH(I$5,Data[#Headers],0))</f>
        <v>699224</v>
      </c>
      <c r="K151" s="69">
        <f>INDEX('Payment Total'!$A$7:$H$331,MATCH('Payment by Source'!$A151,'Payment Total'!$A$7:$A$331,0),3)-I151</f>
        <v>0</v>
      </c>
      <c r="P151" s="154">
        <f>INDEX('Budget by Source'!$A$6:$I$330,MATCH('Payment by Source'!$A151,'Budget by Source'!$A$6:$A$330,0),MATCH(P$3,'Budget by Source'!$A$5:$I$5,0))-(ROUND(INDEX('Budget by Source'!$A$6:$I$330,MATCH('Payment by Source'!$A151,'Budget by Source'!$A$6:$A$330,0),MATCH(P$3,'Budget by Source'!$A$5:$I$5,0))/10,0)*10)</f>
        <v>-3</v>
      </c>
      <c r="Q151" s="154">
        <f>INDEX('Budget by Source'!$A$6:$I$330,MATCH('Payment by Source'!$A151,'Budget by Source'!$A$6:$A$330,0),MATCH(Q$3,'Budget by Source'!$A$5:$I$5,0))-(ROUND(INDEX('Budget by Source'!$A$6:$I$330,MATCH('Payment by Source'!$A151,'Budget by Source'!$A$6:$A$330,0),MATCH(Q$3,'Budget by Source'!$A$5:$I$5,0))/10,0)*10)</f>
        <v>-2</v>
      </c>
      <c r="R151" s="154">
        <f>INDEX('Budget by Source'!$A$6:$I$330,MATCH('Payment by Source'!$A151,'Budget by Source'!$A$6:$A$330,0),MATCH(R$3,'Budget by Source'!$A$5:$I$5,0))-(ROUND(INDEX('Budget by Source'!$A$6:$I$330,MATCH('Payment by Source'!$A151,'Budget by Source'!$A$6:$A$330,0),MATCH(R$3,'Budget by Source'!$A$5:$I$5,0))/10,0)*10)</f>
        <v>1</v>
      </c>
      <c r="S151" s="154">
        <f>INDEX('Budget by Source'!$A$6:$I$330,MATCH('Payment by Source'!$A151,'Budget by Source'!$A$6:$A$330,0),MATCH(S$3,'Budget by Source'!$A$5:$I$5,0))-(ROUND(INDEX('Budget by Source'!$A$6:$I$330,MATCH('Payment by Source'!$A151,'Budget by Source'!$A$6:$A$330,0),MATCH(S$3,'Budget by Source'!$A$5:$I$5,0))/10,0)*10)</f>
        <v>-3</v>
      </c>
      <c r="T151" s="154">
        <f>INDEX('Budget by Source'!$A$6:$I$330,MATCH('Payment by Source'!$A151,'Budget by Source'!$A$6:$A$330,0),MATCH(T$3,'Budget by Source'!$A$5:$I$5,0))-(ROUND(INDEX('Budget by Source'!$A$6:$I$330,MATCH('Payment by Source'!$A151,'Budget by Source'!$A$6:$A$330,0),MATCH(T$3,'Budget by Source'!$A$5:$I$5,0))/10,0)*10)</f>
        <v>-2</v>
      </c>
      <c r="U151" s="155">
        <f>INDEX('Budget by Source'!$A$6:$I$330,MATCH('Payment by Source'!$A151,'Budget by Source'!$A$6:$A$330,0),MATCH(U$3,'Budget by Source'!$A$5:$I$5,0))</f>
        <v>5560730</v>
      </c>
      <c r="V151" s="152">
        <f t="shared" si="7"/>
        <v>556073</v>
      </c>
      <c r="W151" s="152">
        <f t="shared" si="8"/>
        <v>5560730</v>
      </c>
    </row>
    <row r="152" spans="1:23" x14ac:dyDescent="0.2">
      <c r="A152" s="23" t="str">
        <f>Data!B148</f>
        <v>3154</v>
      </c>
      <c r="B152" s="21" t="str">
        <f>INDEX(Data[],MATCH($A152,Data[Dist],0),MATCH(B$5,Data[#Headers],0))</f>
        <v>Iowa Valley</v>
      </c>
      <c r="C152" s="22">
        <f>IF(Notes!$B$2="June",ROUND('Budget by Source'!C152/10,0)+P152,ROUND('Budget by Source'!C152/10,0))</f>
        <v>11783</v>
      </c>
      <c r="D152" s="22">
        <f>IF(Notes!$B$2="June",ROUND('Budget by Source'!D152/10,0)+Q152,ROUND('Budget by Source'!D152/10,0))</f>
        <v>31377</v>
      </c>
      <c r="E152" s="22">
        <f>IF(Notes!$B$2="June",ROUND('Budget by Source'!E152/10,0)+R152,ROUND('Budget by Source'!E152/10,0))</f>
        <v>3191</v>
      </c>
      <c r="F152" s="22">
        <f>IF(Notes!$B$2="June",ROUND('Budget by Source'!F152/10,0)+S152,ROUND('Budget by Source'!F152/10,0))</f>
        <v>3646</v>
      </c>
      <c r="G152" s="22">
        <f>IF(Notes!$B$2="June",ROUND('Budget by Source'!G152/10,0)+T152,ROUND('Budget by Source'!G152/10,0))</f>
        <v>18427</v>
      </c>
      <c r="H152" s="22">
        <f t="shared" si="6"/>
        <v>291742</v>
      </c>
      <c r="I152" s="22">
        <f>INDEX(Data[],MATCH($A152,Data[Dist],0),MATCH(I$5,Data[#Headers],0))</f>
        <v>360166</v>
      </c>
      <c r="K152" s="69">
        <f>INDEX('Payment Total'!$A$7:$H$331,MATCH('Payment by Source'!$A152,'Payment Total'!$A$7:$A$331,0),3)-I152</f>
        <v>0</v>
      </c>
      <c r="P152" s="154">
        <f>INDEX('Budget by Source'!$A$6:$I$330,MATCH('Payment by Source'!$A152,'Budget by Source'!$A$6:$A$330,0),MATCH(P$3,'Budget by Source'!$A$5:$I$5,0))-(ROUND(INDEX('Budget by Source'!$A$6:$I$330,MATCH('Payment by Source'!$A152,'Budget by Source'!$A$6:$A$330,0),MATCH(P$3,'Budget by Source'!$A$5:$I$5,0))/10,0)*10)</f>
        <v>-1</v>
      </c>
      <c r="Q152" s="154">
        <f>INDEX('Budget by Source'!$A$6:$I$330,MATCH('Payment by Source'!$A152,'Budget by Source'!$A$6:$A$330,0),MATCH(Q$3,'Budget by Source'!$A$5:$I$5,0))-(ROUND(INDEX('Budget by Source'!$A$6:$I$330,MATCH('Payment by Source'!$A152,'Budget by Source'!$A$6:$A$330,0),MATCH(Q$3,'Budget by Source'!$A$5:$I$5,0))/10,0)*10)</f>
        <v>0</v>
      </c>
      <c r="R152" s="154">
        <f>INDEX('Budget by Source'!$A$6:$I$330,MATCH('Payment by Source'!$A152,'Budget by Source'!$A$6:$A$330,0),MATCH(R$3,'Budget by Source'!$A$5:$I$5,0))-(ROUND(INDEX('Budget by Source'!$A$6:$I$330,MATCH('Payment by Source'!$A152,'Budget by Source'!$A$6:$A$330,0),MATCH(R$3,'Budget by Source'!$A$5:$I$5,0))/10,0)*10)</f>
        <v>-5</v>
      </c>
      <c r="S152" s="154">
        <f>INDEX('Budget by Source'!$A$6:$I$330,MATCH('Payment by Source'!$A152,'Budget by Source'!$A$6:$A$330,0),MATCH(S$3,'Budget by Source'!$A$5:$I$5,0))-(ROUND(INDEX('Budget by Source'!$A$6:$I$330,MATCH('Payment by Source'!$A152,'Budget by Source'!$A$6:$A$330,0),MATCH(S$3,'Budget by Source'!$A$5:$I$5,0))/10,0)*10)</f>
        <v>0</v>
      </c>
      <c r="T152" s="154">
        <f>INDEX('Budget by Source'!$A$6:$I$330,MATCH('Payment by Source'!$A152,'Budget by Source'!$A$6:$A$330,0),MATCH(T$3,'Budget by Source'!$A$5:$I$5,0))-(ROUND(INDEX('Budget by Source'!$A$6:$I$330,MATCH('Payment by Source'!$A152,'Budget by Source'!$A$6:$A$330,0),MATCH(T$3,'Budget by Source'!$A$5:$I$5,0))/10,0)*10)</f>
        <v>-5</v>
      </c>
      <c r="U152" s="155">
        <f>INDEX('Budget by Source'!$A$6:$I$330,MATCH('Payment by Source'!$A152,'Budget by Source'!$A$6:$A$330,0),MATCH(U$3,'Budget by Source'!$A$5:$I$5,0))</f>
        <v>2917433</v>
      </c>
      <c r="V152" s="152">
        <f t="shared" si="7"/>
        <v>291743</v>
      </c>
      <c r="W152" s="152">
        <f t="shared" si="8"/>
        <v>2917430</v>
      </c>
    </row>
    <row r="153" spans="1:23" x14ac:dyDescent="0.2">
      <c r="A153" s="23" t="str">
        <f>Data!B149</f>
        <v>3168</v>
      </c>
      <c r="B153" s="21" t="str">
        <f>INDEX(Data[],MATCH($A153,Data[Dist],0),MATCH(B$5,Data[#Headers],0))</f>
        <v>IKM-Manning</v>
      </c>
      <c r="C153" s="22">
        <f>IF(Notes!$B$2="June",ROUND('Budget by Source'!C153/10,0)+P153,ROUND('Budget by Source'!C153/10,0))</f>
        <v>18244</v>
      </c>
      <c r="D153" s="22">
        <f>IF(Notes!$B$2="June",ROUND('Budget by Source'!D153/10,0)+Q153,ROUND('Budget by Source'!D153/10,0))</f>
        <v>47035</v>
      </c>
      <c r="E153" s="22">
        <f>IF(Notes!$B$2="June",ROUND('Budget by Source'!E153/10,0)+R153,ROUND('Budget by Source'!E153/10,0))</f>
        <v>4953</v>
      </c>
      <c r="F153" s="22">
        <f>IF(Notes!$B$2="June",ROUND('Budget by Source'!F153/10,0)+S153,ROUND('Budget by Source'!F153/10,0))</f>
        <v>5380</v>
      </c>
      <c r="G153" s="22">
        <f>IF(Notes!$B$2="June",ROUND('Budget by Source'!G153/10,0)+T153,ROUND('Budget by Source'!G153/10,0))</f>
        <v>24548</v>
      </c>
      <c r="H153" s="22">
        <f t="shared" si="6"/>
        <v>284303</v>
      </c>
      <c r="I153" s="22">
        <f>INDEX(Data[],MATCH($A153,Data[Dist],0),MATCH(I$5,Data[#Headers],0))</f>
        <v>384463</v>
      </c>
      <c r="K153" s="69">
        <f>INDEX('Payment Total'!$A$7:$H$331,MATCH('Payment by Source'!$A153,'Payment Total'!$A$7:$A$331,0),3)-I153</f>
        <v>0</v>
      </c>
      <c r="P153" s="154">
        <f>INDEX('Budget by Source'!$A$6:$I$330,MATCH('Payment by Source'!$A153,'Budget by Source'!$A$6:$A$330,0),MATCH(P$3,'Budget by Source'!$A$5:$I$5,0))-(ROUND(INDEX('Budget by Source'!$A$6:$I$330,MATCH('Payment by Source'!$A153,'Budget by Source'!$A$6:$A$330,0),MATCH(P$3,'Budget by Source'!$A$5:$I$5,0))/10,0)*10)</f>
        <v>4</v>
      </c>
      <c r="Q153" s="154">
        <f>INDEX('Budget by Source'!$A$6:$I$330,MATCH('Payment by Source'!$A153,'Budget by Source'!$A$6:$A$330,0),MATCH(Q$3,'Budget by Source'!$A$5:$I$5,0))-(ROUND(INDEX('Budget by Source'!$A$6:$I$330,MATCH('Payment by Source'!$A153,'Budget by Source'!$A$6:$A$330,0),MATCH(Q$3,'Budget by Source'!$A$5:$I$5,0))/10,0)*10)</f>
        <v>3</v>
      </c>
      <c r="R153" s="154">
        <f>INDEX('Budget by Source'!$A$6:$I$330,MATCH('Payment by Source'!$A153,'Budget by Source'!$A$6:$A$330,0),MATCH(R$3,'Budget by Source'!$A$5:$I$5,0))-(ROUND(INDEX('Budget by Source'!$A$6:$I$330,MATCH('Payment by Source'!$A153,'Budget by Source'!$A$6:$A$330,0),MATCH(R$3,'Budget by Source'!$A$5:$I$5,0))/10,0)*10)</f>
        <v>-5</v>
      </c>
      <c r="S153" s="154">
        <f>INDEX('Budget by Source'!$A$6:$I$330,MATCH('Payment by Source'!$A153,'Budget by Source'!$A$6:$A$330,0),MATCH(S$3,'Budget by Source'!$A$5:$I$5,0))-(ROUND(INDEX('Budget by Source'!$A$6:$I$330,MATCH('Payment by Source'!$A153,'Budget by Source'!$A$6:$A$330,0),MATCH(S$3,'Budget by Source'!$A$5:$I$5,0))/10,0)*10)</f>
        <v>1</v>
      </c>
      <c r="T153" s="154">
        <f>INDEX('Budget by Source'!$A$6:$I$330,MATCH('Payment by Source'!$A153,'Budget by Source'!$A$6:$A$330,0),MATCH(T$3,'Budget by Source'!$A$5:$I$5,0))-(ROUND(INDEX('Budget by Source'!$A$6:$I$330,MATCH('Payment by Source'!$A153,'Budget by Source'!$A$6:$A$330,0),MATCH(T$3,'Budget by Source'!$A$5:$I$5,0))/10,0)*10)</f>
        <v>-2</v>
      </c>
      <c r="U153" s="155">
        <f>INDEX('Budget by Source'!$A$6:$I$330,MATCH('Payment by Source'!$A153,'Budget by Source'!$A$6:$A$330,0),MATCH(U$3,'Budget by Source'!$A$5:$I$5,0))</f>
        <v>2843031</v>
      </c>
      <c r="V153" s="152">
        <f t="shared" si="7"/>
        <v>284303</v>
      </c>
      <c r="W153" s="152">
        <f t="shared" si="8"/>
        <v>2843030</v>
      </c>
    </row>
    <row r="154" spans="1:23" x14ac:dyDescent="0.2">
      <c r="A154" s="23" t="str">
        <f>Data!B150</f>
        <v>3186</v>
      </c>
      <c r="B154" s="21" t="str">
        <f>INDEX(Data[],MATCH($A154,Data[Dist],0),MATCH(B$5,Data[#Headers],0))</f>
        <v>Janesville</v>
      </c>
      <c r="C154" s="22">
        <f>IF(Notes!$B$2="June",ROUND('Budget by Source'!C154/10,0)+P154,ROUND('Budget by Source'!C154/10,0))</f>
        <v>14824</v>
      </c>
      <c r="D154" s="22">
        <f>IF(Notes!$B$2="June",ROUND('Budget by Source'!D154/10,0)+Q154,ROUND('Budget by Source'!D154/10,0))</f>
        <v>28412</v>
      </c>
      <c r="E154" s="22">
        <f>IF(Notes!$B$2="June",ROUND('Budget by Source'!E154/10,0)+R154,ROUND('Budget by Source'!E154/10,0))</f>
        <v>2538</v>
      </c>
      <c r="F154" s="22">
        <f>IF(Notes!$B$2="June",ROUND('Budget by Source'!F154/10,0)+S154,ROUND('Budget by Source'!F154/10,0))</f>
        <v>2783</v>
      </c>
      <c r="G154" s="22">
        <f>IF(Notes!$B$2="June",ROUND('Budget by Source'!G154/10,0)+T154,ROUND('Budget by Source'!G154/10,0))</f>
        <v>16249</v>
      </c>
      <c r="H154" s="22">
        <f t="shared" si="6"/>
        <v>262948</v>
      </c>
      <c r="I154" s="22">
        <f>INDEX(Data[],MATCH($A154,Data[Dist],0),MATCH(I$5,Data[#Headers],0))</f>
        <v>327754</v>
      </c>
      <c r="K154" s="69">
        <f>INDEX('Payment Total'!$A$7:$H$331,MATCH('Payment by Source'!$A154,'Payment Total'!$A$7:$A$331,0),3)-I154</f>
        <v>0</v>
      </c>
      <c r="P154" s="154">
        <f>INDEX('Budget by Source'!$A$6:$I$330,MATCH('Payment by Source'!$A154,'Budget by Source'!$A$6:$A$330,0),MATCH(P$3,'Budget by Source'!$A$5:$I$5,0))-(ROUND(INDEX('Budget by Source'!$A$6:$I$330,MATCH('Payment by Source'!$A154,'Budget by Source'!$A$6:$A$330,0),MATCH(P$3,'Budget by Source'!$A$5:$I$5,0))/10,0)*10)</f>
        <v>-4</v>
      </c>
      <c r="Q154" s="154">
        <f>INDEX('Budget by Source'!$A$6:$I$330,MATCH('Payment by Source'!$A154,'Budget by Source'!$A$6:$A$330,0),MATCH(Q$3,'Budget by Source'!$A$5:$I$5,0))-(ROUND(INDEX('Budget by Source'!$A$6:$I$330,MATCH('Payment by Source'!$A154,'Budget by Source'!$A$6:$A$330,0),MATCH(Q$3,'Budget by Source'!$A$5:$I$5,0))/10,0)*10)</f>
        <v>-4</v>
      </c>
      <c r="R154" s="154">
        <f>INDEX('Budget by Source'!$A$6:$I$330,MATCH('Payment by Source'!$A154,'Budget by Source'!$A$6:$A$330,0),MATCH(R$3,'Budget by Source'!$A$5:$I$5,0))-(ROUND(INDEX('Budget by Source'!$A$6:$I$330,MATCH('Payment by Source'!$A154,'Budget by Source'!$A$6:$A$330,0),MATCH(R$3,'Budget by Source'!$A$5:$I$5,0))/10,0)*10)</f>
        <v>3</v>
      </c>
      <c r="S154" s="154">
        <f>INDEX('Budget by Source'!$A$6:$I$330,MATCH('Payment by Source'!$A154,'Budget by Source'!$A$6:$A$330,0),MATCH(S$3,'Budget by Source'!$A$5:$I$5,0))-(ROUND(INDEX('Budget by Source'!$A$6:$I$330,MATCH('Payment by Source'!$A154,'Budget by Source'!$A$6:$A$330,0),MATCH(S$3,'Budget by Source'!$A$5:$I$5,0))/10,0)*10)</f>
        <v>-5</v>
      </c>
      <c r="T154" s="154">
        <f>INDEX('Budget by Source'!$A$6:$I$330,MATCH('Payment by Source'!$A154,'Budget by Source'!$A$6:$A$330,0),MATCH(T$3,'Budget by Source'!$A$5:$I$5,0))-(ROUND(INDEX('Budget by Source'!$A$6:$I$330,MATCH('Payment by Source'!$A154,'Budget by Source'!$A$6:$A$330,0),MATCH(T$3,'Budget by Source'!$A$5:$I$5,0))/10,0)*10)</f>
        <v>-5</v>
      </c>
      <c r="U154" s="155">
        <f>INDEX('Budget by Source'!$A$6:$I$330,MATCH('Payment by Source'!$A154,'Budget by Source'!$A$6:$A$330,0),MATCH(U$3,'Budget by Source'!$A$5:$I$5,0))</f>
        <v>2629499</v>
      </c>
      <c r="V154" s="152">
        <f t="shared" si="7"/>
        <v>262950</v>
      </c>
      <c r="W154" s="152">
        <f t="shared" si="8"/>
        <v>2629500</v>
      </c>
    </row>
    <row r="155" spans="1:23" x14ac:dyDescent="0.2">
      <c r="A155" s="23" t="str">
        <f>Data!B151</f>
        <v>3195</v>
      </c>
      <c r="B155" s="21" t="str">
        <f>INDEX(Data[],MATCH($A155,Data[Dist],0),MATCH(B$5,Data[#Headers],0))</f>
        <v>Greene County</v>
      </c>
      <c r="C155" s="22">
        <f>IF(Notes!$B$2="June",ROUND('Budget by Source'!C155/10,0)+P155,ROUND('Budget by Source'!C155/10,0))</f>
        <v>29647</v>
      </c>
      <c r="D155" s="22">
        <f>IF(Notes!$B$2="June",ROUND('Budget by Source'!D155/10,0)+Q155,ROUND('Budget by Source'!D155/10,0))</f>
        <v>78735</v>
      </c>
      <c r="E155" s="22">
        <f>IF(Notes!$B$2="June",ROUND('Budget by Source'!E155/10,0)+R155,ROUND('Budget by Source'!E155/10,0))</f>
        <v>9700</v>
      </c>
      <c r="F155" s="22">
        <f>IF(Notes!$B$2="June",ROUND('Budget by Source'!F155/10,0)+S155,ROUND('Budget by Source'!F155/10,0))</f>
        <v>8953</v>
      </c>
      <c r="G155" s="22">
        <f>IF(Notes!$B$2="June",ROUND('Budget by Source'!G155/10,0)+T155,ROUND('Budget by Source'!G155/10,0))</f>
        <v>43671</v>
      </c>
      <c r="H155" s="22">
        <f t="shared" si="6"/>
        <v>591052</v>
      </c>
      <c r="I155" s="22">
        <f>INDEX(Data[],MATCH($A155,Data[Dist],0),MATCH(I$5,Data[#Headers],0))</f>
        <v>761758</v>
      </c>
      <c r="K155" s="69">
        <f>INDEX('Payment Total'!$A$7:$H$331,MATCH('Payment by Source'!$A155,'Payment Total'!$A$7:$A$331,0),3)-I155</f>
        <v>0</v>
      </c>
      <c r="P155" s="154">
        <f>INDEX('Budget by Source'!$A$6:$I$330,MATCH('Payment by Source'!$A155,'Budget by Source'!$A$6:$A$330,0),MATCH(P$3,'Budget by Source'!$A$5:$I$5,0))-(ROUND(INDEX('Budget by Source'!$A$6:$I$330,MATCH('Payment by Source'!$A155,'Budget by Source'!$A$6:$A$330,0),MATCH(P$3,'Budget by Source'!$A$5:$I$5,0))/10,0)*10)</f>
        <v>1</v>
      </c>
      <c r="Q155" s="154">
        <f>INDEX('Budget by Source'!$A$6:$I$330,MATCH('Payment by Source'!$A155,'Budget by Source'!$A$6:$A$330,0),MATCH(Q$3,'Budget by Source'!$A$5:$I$5,0))-(ROUND(INDEX('Budget by Source'!$A$6:$I$330,MATCH('Payment by Source'!$A155,'Budget by Source'!$A$6:$A$330,0),MATCH(Q$3,'Budget by Source'!$A$5:$I$5,0))/10,0)*10)</f>
        <v>0</v>
      </c>
      <c r="R155" s="154">
        <f>INDEX('Budget by Source'!$A$6:$I$330,MATCH('Payment by Source'!$A155,'Budget by Source'!$A$6:$A$330,0),MATCH(R$3,'Budget by Source'!$A$5:$I$5,0))-(ROUND(INDEX('Budget by Source'!$A$6:$I$330,MATCH('Payment by Source'!$A155,'Budget by Source'!$A$6:$A$330,0),MATCH(R$3,'Budget by Source'!$A$5:$I$5,0))/10,0)*10)</f>
        <v>4</v>
      </c>
      <c r="S155" s="154">
        <f>INDEX('Budget by Source'!$A$6:$I$330,MATCH('Payment by Source'!$A155,'Budget by Source'!$A$6:$A$330,0),MATCH(S$3,'Budget by Source'!$A$5:$I$5,0))-(ROUND(INDEX('Budget by Source'!$A$6:$I$330,MATCH('Payment by Source'!$A155,'Budget by Source'!$A$6:$A$330,0),MATCH(S$3,'Budget by Source'!$A$5:$I$5,0))/10,0)*10)</f>
        <v>-3</v>
      </c>
      <c r="T155" s="154">
        <f>INDEX('Budget by Source'!$A$6:$I$330,MATCH('Payment by Source'!$A155,'Budget by Source'!$A$6:$A$330,0),MATCH(T$3,'Budget by Source'!$A$5:$I$5,0))-(ROUND(INDEX('Budget by Source'!$A$6:$I$330,MATCH('Payment by Source'!$A155,'Budget by Source'!$A$6:$A$330,0),MATCH(T$3,'Budget by Source'!$A$5:$I$5,0))/10,0)*10)</f>
        <v>-2</v>
      </c>
      <c r="U155" s="155">
        <f>INDEX('Budget by Source'!$A$6:$I$330,MATCH('Payment by Source'!$A155,'Budget by Source'!$A$6:$A$330,0),MATCH(U$3,'Budget by Source'!$A$5:$I$5,0))</f>
        <v>5910520</v>
      </c>
      <c r="V155" s="152">
        <f t="shared" si="7"/>
        <v>591052</v>
      </c>
      <c r="W155" s="152">
        <f t="shared" si="8"/>
        <v>5910520</v>
      </c>
    </row>
    <row r="156" spans="1:23" x14ac:dyDescent="0.2">
      <c r="A156" s="23" t="str">
        <f>Data!B152</f>
        <v>3204</v>
      </c>
      <c r="B156" s="21" t="str">
        <f>INDEX(Data[],MATCH($A156,Data[Dist],0),MATCH(B$5,Data[#Headers],0))</f>
        <v>Jesup</v>
      </c>
      <c r="C156" s="22">
        <f>IF(Notes!$B$2="June",ROUND('Budget by Source'!C156/10,0)+P156,ROUND('Budget by Source'!C156/10,0))</f>
        <v>23186</v>
      </c>
      <c r="D156" s="22">
        <f>IF(Notes!$B$2="June",ROUND('Budget by Source'!D156/10,0)+Q156,ROUND('Budget by Source'!D156/10,0))</f>
        <v>53804</v>
      </c>
      <c r="E156" s="22">
        <f>IF(Notes!$B$2="June",ROUND('Budget by Source'!E156/10,0)+R156,ROUND('Budget by Source'!E156/10,0))</f>
        <v>7063</v>
      </c>
      <c r="F156" s="22">
        <f>IF(Notes!$B$2="June",ROUND('Budget by Source'!F156/10,0)+S156,ROUND('Budget by Source'!F156/10,0))</f>
        <v>5867</v>
      </c>
      <c r="G156" s="22">
        <f>IF(Notes!$B$2="June",ROUND('Budget by Source'!G156/10,0)+T156,ROUND('Budget by Source'!G156/10,0))</f>
        <v>32950</v>
      </c>
      <c r="H156" s="22">
        <f t="shared" si="6"/>
        <v>526170</v>
      </c>
      <c r="I156" s="22">
        <f>INDEX(Data[],MATCH($A156,Data[Dist],0),MATCH(I$5,Data[#Headers],0))</f>
        <v>649040</v>
      </c>
      <c r="K156" s="69">
        <f>INDEX('Payment Total'!$A$7:$H$331,MATCH('Payment by Source'!$A156,'Payment Total'!$A$7:$A$331,0),3)-I156</f>
        <v>0</v>
      </c>
      <c r="P156" s="154">
        <f>INDEX('Budget by Source'!$A$6:$I$330,MATCH('Payment by Source'!$A156,'Budget by Source'!$A$6:$A$330,0),MATCH(P$3,'Budget by Source'!$A$5:$I$5,0))-(ROUND(INDEX('Budget by Source'!$A$6:$I$330,MATCH('Payment by Source'!$A156,'Budget by Source'!$A$6:$A$330,0),MATCH(P$3,'Budget by Source'!$A$5:$I$5,0))/10,0)*10)</f>
        <v>-4</v>
      </c>
      <c r="Q156" s="154">
        <f>INDEX('Budget by Source'!$A$6:$I$330,MATCH('Payment by Source'!$A156,'Budget by Source'!$A$6:$A$330,0),MATCH(Q$3,'Budget by Source'!$A$5:$I$5,0))-(ROUND(INDEX('Budget by Source'!$A$6:$I$330,MATCH('Payment by Source'!$A156,'Budget by Source'!$A$6:$A$330,0),MATCH(Q$3,'Budget by Source'!$A$5:$I$5,0))/10,0)*10)</f>
        <v>3</v>
      </c>
      <c r="R156" s="154">
        <f>INDEX('Budget by Source'!$A$6:$I$330,MATCH('Payment by Source'!$A156,'Budget by Source'!$A$6:$A$330,0),MATCH(R$3,'Budget by Source'!$A$5:$I$5,0))-(ROUND(INDEX('Budget by Source'!$A$6:$I$330,MATCH('Payment by Source'!$A156,'Budget by Source'!$A$6:$A$330,0),MATCH(R$3,'Budget by Source'!$A$5:$I$5,0))/10,0)*10)</f>
        <v>4</v>
      </c>
      <c r="S156" s="154">
        <f>INDEX('Budget by Source'!$A$6:$I$330,MATCH('Payment by Source'!$A156,'Budget by Source'!$A$6:$A$330,0),MATCH(S$3,'Budget by Source'!$A$5:$I$5,0))-(ROUND(INDEX('Budget by Source'!$A$6:$I$330,MATCH('Payment by Source'!$A156,'Budget by Source'!$A$6:$A$330,0),MATCH(S$3,'Budget by Source'!$A$5:$I$5,0))/10,0)*10)</f>
        <v>1</v>
      </c>
      <c r="T156" s="154">
        <f>INDEX('Budget by Source'!$A$6:$I$330,MATCH('Payment by Source'!$A156,'Budget by Source'!$A$6:$A$330,0),MATCH(T$3,'Budget by Source'!$A$5:$I$5,0))-(ROUND(INDEX('Budget by Source'!$A$6:$I$330,MATCH('Payment by Source'!$A156,'Budget by Source'!$A$6:$A$330,0),MATCH(T$3,'Budget by Source'!$A$5:$I$5,0))/10,0)*10)</f>
        <v>3</v>
      </c>
      <c r="U156" s="155">
        <f>INDEX('Budget by Source'!$A$6:$I$330,MATCH('Payment by Source'!$A156,'Budget by Source'!$A$6:$A$330,0),MATCH(U$3,'Budget by Source'!$A$5:$I$5,0))</f>
        <v>5261695</v>
      </c>
      <c r="V156" s="152">
        <f t="shared" si="7"/>
        <v>526170</v>
      </c>
      <c r="W156" s="152">
        <f t="shared" si="8"/>
        <v>5261700</v>
      </c>
    </row>
    <row r="157" spans="1:23" x14ac:dyDescent="0.2">
      <c r="A157" s="23" t="str">
        <f>Data!B153</f>
        <v>3231</v>
      </c>
      <c r="B157" s="21" t="str">
        <f>INDEX(Data[],MATCH($A157,Data[Dist],0),MATCH(B$5,Data[#Headers],0))</f>
        <v>Johnston</v>
      </c>
      <c r="C157" s="22">
        <f>IF(Notes!$B$2="June",ROUND('Budget by Source'!C157/10,0)+P157,ROUND('Budget by Source'!C157/10,0))</f>
        <v>92362</v>
      </c>
      <c r="D157" s="22">
        <f>IF(Notes!$B$2="June",ROUND('Budget by Source'!D157/10,0)+Q157,ROUND('Budget by Source'!D157/10,0))</f>
        <v>429649</v>
      </c>
      <c r="E157" s="22">
        <f>IF(Notes!$B$2="June",ROUND('Budget by Source'!E157/10,0)+R157,ROUND('Budget by Source'!E157/10,0))</f>
        <v>47497</v>
      </c>
      <c r="F157" s="22">
        <f>IF(Notes!$B$2="June",ROUND('Budget by Source'!F157/10,0)+S157,ROUND('Budget by Source'!F157/10,0))</f>
        <v>47797</v>
      </c>
      <c r="G157" s="22">
        <f>IF(Notes!$B$2="June",ROUND('Budget by Source'!G157/10,0)+T157,ROUND('Budget by Source'!G157/10,0))</f>
        <v>257411</v>
      </c>
      <c r="H157" s="22">
        <f t="shared" si="6"/>
        <v>3957225</v>
      </c>
      <c r="I157" s="22">
        <f>INDEX(Data[],MATCH($A157,Data[Dist],0),MATCH(I$5,Data[#Headers],0))</f>
        <v>4831941</v>
      </c>
      <c r="K157" s="69">
        <f>INDEX('Payment Total'!$A$7:$H$331,MATCH('Payment by Source'!$A157,'Payment Total'!$A$7:$A$331,0),3)-I157</f>
        <v>0</v>
      </c>
      <c r="P157" s="154">
        <f>INDEX('Budget by Source'!$A$6:$I$330,MATCH('Payment by Source'!$A157,'Budget by Source'!$A$6:$A$330,0),MATCH(P$3,'Budget by Source'!$A$5:$I$5,0))-(ROUND(INDEX('Budget by Source'!$A$6:$I$330,MATCH('Payment by Source'!$A157,'Budget by Source'!$A$6:$A$330,0),MATCH(P$3,'Budget by Source'!$A$5:$I$5,0))/10,0)*10)</f>
        <v>3</v>
      </c>
      <c r="Q157" s="154">
        <f>INDEX('Budget by Source'!$A$6:$I$330,MATCH('Payment by Source'!$A157,'Budget by Source'!$A$6:$A$330,0),MATCH(Q$3,'Budget by Source'!$A$5:$I$5,0))-(ROUND(INDEX('Budget by Source'!$A$6:$I$330,MATCH('Payment by Source'!$A157,'Budget by Source'!$A$6:$A$330,0),MATCH(Q$3,'Budget by Source'!$A$5:$I$5,0))/10,0)*10)</f>
        <v>0</v>
      </c>
      <c r="R157" s="154">
        <f>INDEX('Budget by Source'!$A$6:$I$330,MATCH('Payment by Source'!$A157,'Budget by Source'!$A$6:$A$330,0),MATCH(R$3,'Budget by Source'!$A$5:$I$5,0))-(ROUND(INDEX('Budget by Source'!$A$6:$I$330,MATCH('Payment by Source'!$A157,'Budget by Source'!$A$6:$A$330,0),MATCH(R$3,'Budget by Source'!$A$5:$I$5,0))/10,0)*10)</f>
        <v>-4</v>
      </c>
      <c r="S157" s="154">
        <f>INDEX('Budget by Source'!$A$6:$I$330,MATCH('Payment by Source'!$A157,'Budget by Source'!$A$6:$A$330,0),MATCH(S$3,'Budget by Source'!$A$5:$I$5,0))-(ROUND(INDEX('Budget by Source'!$A$6:$I$330,MATCH('Payment by Source'!$A157,'Budget by Source'!$A$6:$A$330,0),MATCH(S$3,'Budget by Source'!$A$5:$I$5,0))/10,0)*10)</f>
        <v>0</v>
      </c>
      <c r="T157" s="154">
        <f>INDEX('Budget by Source'!$A$6:$I$330,MATCH('Payment by Source'!$A157,'Budget by Source'!$A$6:$A$330,0),MATCH(T$3,'Budget by Source'!$A$5:$I$5,0))-(ROUND(INDEX('Budget by Source'!$A$6:$I$330,MATCH('Payment by Source'!$A157,'Budget by Source'!$A$6:$A$330,0),MATCH(T$3,'Budget by Source'!$A$5:$I$5,0))/10,0)*10)</f>
        <v>-2</v>
      </c>
      <c r="U157" s="155">
        <f>INDEX('Budget by Source'!$A$6:$I$330,MATCH('Payment by Source'!$A157,'Budget by Source'!$A$6:$A$330,0),MATCH(U$3,'Budget by Source'!$A$5:$I$5,0))</f>
        <v>39572250</v>
      </c>
      <c r="V157" s="152">
        <f t="shared" si="7"/>
        <v>3957225</v>
      </c>
      <c r="W157" s="152">
        <f t="shared" si="8"/>
        <v>39572250</v>
      </c>
    </row>
    <row r="158" spans="1:23" x14ac:dyDescent="0.2">
      <c r="A158" s="23" t="str">
        <f>Data!B154</f>
        <v>3312</v>
      </c>
      <c r="B158" s="21" t="str">
        <f>INDEX(Data[],MATCH($A158,Data[Dist],0),MATCH(B$5,Data[#Headers],0))</f>
        <v>Keokuk</v>
      </c>
      <c r="C158" s="22">
        <f>IF(Notes!$B$2="June",ROUND('Budget by Source'!C158/10,0)+P158,ROUND('Budget by Source'!C158/10,0))</f>
        <v>35349</v>
      </c>
      <c r="D158" s="22">
        <f>IF(Notes!$B$2="June",ROUND('Budget by Source'!D158/10,0)+Q158,ROUND('Budget by Source'!D158/10,0))</f>
        <v>119190</v>
      </c>
      <c r="E158" s="22">
        <f>IF(Notes!$B$2="June",ROUND('Budget by Source'!E158/10,0)+R158,ROUND('Budget by Source'!E158/10,0))</f>
        <v>15224</v>
      </c>
      <c r="F158" s="22">
        <f>IF(Notes!$B$2="June",ROUND('Budget by Source'!F158/10,0)+S158,ROUND('Budget by Source'!F158/10,0))</f>
        <v>14093</v>
      </c>
      <c r="G158" s="22">
        <f>IF(Notes!$B$2="June",ROUND('Budget by Source'!G158/10,0)+T158,ROUND('Budget by Source'!G158/10,0))</f>
        <v>68178</v>
      </c>
      <c r="H158" s="22">
        <f t="shared" si="6"/>
        <v>1349467</v>
      </c>
      <c r="I158" s="22">
        <f>INDEX(Data[],MATCH($A158,Data[Dist],0),MATCH(I$5,Data[#Headers],0))</f>
        <v>1601501</v>
      </c>
      <c r="K158" s="69">
        <f>INDEX('Payment Total'!$A$7:$H$331,MATCH('Payment by Source'!$A158,'Payment Total'!$A$7:$A$331,0),3)-I158</f>
        <v>0</v>
      </c>
      <c r="P158" s="154">
        <f>INDEX('Budget by Source'!$A$6:$I$330,MATCH('Payment by Source'!$A158,'Budget by Source'!$A$6:$A$330,0),MATCH(P$3,'Budget by Source'!$A$5:$I$5,0))-(ROUND(INDEX('Budget by Source'!$A$6:$I$330,MATCH('Payment by Source'!$A158,'Budget by Source'!$A$6:$A$330,0),MATCH(P$3,'Budget by Source'!$A$5:$I$5,0))/10,0)*10)</f>
        <v>-4</v>
      </c>
      <c r="Q158" s="154">
        <f>INDEX('Budget by Source'!$A$6:$I$330,MATCH('Payment by Source'!$A158,'Budget by Source'!$A$6:$A$330,0),MATCH(Q$3,'Budget by Source'!$A$5:$I$5,0))-(ROUND(INDEX('Budget by Source'!$A$6:$I$330,MATCH('Payment by Source'!$A158,'Budget by Source'!$A$6:$A$330,0),MATCH(Q$3,'Budget by Source'!$A$5:$I$5,0))/10,0)*10)</f>
        <v>0</v>
      </c>
      <c r="R158" s="154">
        <f>INDEX('Budget by Source'!$A$6:$I$330,MATCH('Payment by Source'!$A158,'Budget by Source'!$A$6:$A$330,0),MATCH(R$3,'Budget by Source'!$A$5:$I$5,0))-(ROUND(INDEX('Budget by Source'!$A$6:$I$330,MATCH('Payment by Source'!$A158,'Budget by Source'!$A$6:$A$330,0),MATCH(R$3,'Budget by Source'!$A$5:$I$5,0))/10,0)*10)</f>
        <v>-3</v>
      </c>
      <c r="S158" s="154">
        <f>INDEX('Budget by Source'!$A$6:$I$330,MATCH('Payment by Source'!$A158,'Budget by Source'!$A$6:$A$330,0),MATCH(S$3,'Budget by Source'!$A$5:$I$5,0))-(ROUND(INDEX('Budget by Source'!$A$6:$I$330,MATCH('Payment by Source'!$A158,'Budget by Source'!$A$6:$A$330,0),MATCH(S$3,'Budget by Source'!$A$5:$I$5,0))/10,0)*10)</f>
        <v>3</v>
      </c>
      <c r="T158" s="154">
        <f>INDEX('Budget by Source'!$A$6:$I$330,MATCH('Payment by Source'!$A158,'Budget by Source'!$A$6:$A$330,0),MATCH(T$3,'Budget by Source'!$A$5:$I$5,0))-(ROUND(INDEX('Budget by Source'!$A$6:$I$330,MATCH('Payment by Source'!$A158,'Budget by Source'!$A$6:$A$330,0),MATCH(T$3,'Budget by Source'!$A$5:$I$5,0))/10,0)*10)</f>
        <v>1</v>
      </c>
      <c r="U158" s="155">
        <f>INDEX('Budget by Source'!$A$6:$I$330,MATCH('Payment by Source'!$A158,'Budget by Source'!$A$6:$A$330,0),MATCH(U$3,'Budget by Source'!$A$5:$I$5,0))</f>
        <v>13494674</v>
      </c>
      <c r="V158" s="152">
        <f t="shared" si="7"/>
        <v>1349467</v>
      </c>
      <c r="W158" s="152">
        <f t="shared" si="8"/>
        <v>13494670</v>
      </c>
    </row>
    <row r="159" spans="1:23" x14ac:dyDescent="0.2">
      <c r="A159" s="23" t="str">
        <f>Data!B155</f>
        <v>3330</v>
      </c>
      <c r="B159" s="21" t="str">
        <f>INDEX(Data[],MATCH($A159,Data[Dist],0),MATCH(B$5,Data[#Headers],0))</f>
        <v>Keota</v>
      </c>
      <c r="C159" s="22">
        <f>IF(Notes!$B$2="June",ROUND('Budget by Source'!C159/10,0)+P159,ROUND('Budget by Source'!C159/10,0))</f>
        <v>7222</v>
      </c>
      <c r="D159" s="22">
        <f>IF(Notes!$B$2="June",ROUND('Budget by Source'!D159/10,0)+Q159,ROUND('Budget by Source'!D159/10,0))</f>
        <v>25142</v>
      </c>
      <c r="E159" s="22">
        <f>IF(Notes!$B$2="June",ROUND('Budget by Source'!E159/10,0)+R159,ROUND('Budget by Source'!E159/10,0))</f>
        <v>2495</v>
      </c>
      <c r="F159" s="22">
        <f>IF(Notes!$B$2="June",ROUND('Budget by Source'!F159/10,0)+S159,ROUND('Budget by Source'!F159/10,0))</f>
        <v>2657</v>
      </c>
      <c r="G159" s="22">
        <f>IF(Notes!$B$2="June",ROUND('Budget by Source'!G159/10,0)+T159,ROUND('Budget by Source'!G159/10,0))</f>
        <v>13293</v>
      </c>
      <c r="H159" s="22">
        <f t="shared" si="6"/>
        <v>175008</v>
      </c>
      <c r="I159" s="22">
        <f>INDEX(Data[],MATCH($A159,Data[Dist],0),MATCH(I$5,Data[#Headers],0))</f>
        <v>225817</v>
      </c>
      <c r="K159" s="69">
        <f>INDEX('Payment Total'!$A$7:$H$331,MATCH('Payment by Source'!$A159,'Payment Total'!$A$7:$A$331,0),3)-I159</f>
        <v>0</v>
      </c>
      <c r="P159" s="154">
        <f>INDEX('Budget by Source'!$A$6:$I$330,MATCH('Payment by Source'!$A159,'Budget by Source'!$A$6:$A$330,0),MATCH(P$3,'Budget by Source'!$A$5:$I$5,0))-(ROUND(INDEX('Budget by Source'!$A$6:$I$330,MATCH('Payment by Source'!$A159,'Budget by Source'!$A$6:$A$330,0),MATCH(P$3,'Budget by Source'!$A$5:$I$5,0))/10,0)*10)</f>
        <v>-2</v>
      </c>
      <c r="Q159" s="154">
        <f>INDEX('Budget by Source'!$A$6:$I$330,MATCH('Payment by Source'!$A159,'Budget by Source'!$A$6:$A$330,0),MATCH(Q$3,'Budget by Source'!$A$5:$I$5,0))-(ROUND(INDEX('Budget by Source'!$A$6:$I$330,MATCH('Payment by Source'!$A159,'Budget by Source'!$A$6:$A$330,0),MATCH(Q$3,'Budget by Source'!$A$5:$I$5,0))/10,0)*10)</f>
        <v>-1</v>
      </c>
      <c r="R159" s="154">
        <f>INDEX('Budget by Source'!$A$6:$I$330,MATCH('Payment by Source'!$A159,'Budget by Source'!$A$6:$A$330,0),MATCH(R$3,'Budget by Source'!$A$5:$I$5,0))-(ROUND(INDEX('Budget by Source'!$A$6:$I$330,MATCH('Payment by Source'!$A159,'Budget by Source'!$A$6:$A$330,0),MATCH(R$3,'Budget by Source'!$A$5:$I$5,0))/10,0)*10)</f>
        <v>3</v>
      </c>
      <c r="S159" s="154">
        <f>INDEX('Budget by Source'!$A$6:$I$330,MATCH('Payment by Source'!$A159,'Budget by Source'!$A$6:$A$330,0),MATCH(S$3,'Budget by Source'!$A$5:$I$5,0))-(ROUND(INDEX('Budget by Source'!$A$6:$I$330,MATCH('Payment by Source'!$A159,'Budget by Source'!$A$6:$A$330,0),MATCH(S$3,'Budget by Source'!$A$5:$I$5,0))/10,0)*10)</f>
        <v>-4</v>
      </c>
      <c r="T159" s="154">
        <f>INDEX('Budget by Source'!$A$6:$I$330,MATCH('Payment by Source'!$A159,'Budget by Source'!$A$6:$A$330,0),MATCH(T$3,'Budget by Source'!$A$5:$I$5,0))-(ROUND(INDEX('Budget by Source'!$A$6:$I$330,MATCH('Payment by Source'!$A159,'Budget by Source'!$A$6:$A$330,0),MATCH(T$3,'Budget by Source'!$A$5:$I$5,0))/10,0)*10)</f>
        <v>-1</v>
      </c>
      <c r="U159" s="155">
        <f>INDEX('Budget by Source'!$A$6:$I$330,MATCH('Payment by Source'!$A159,'Budget by Source'!$A$6:$A$330,0),MATCH(U$3,'Budget by Source'!$A$5:$I$5,0))</f>
        <v>1750089</v>
      </c>
      <c r="V159" s="152">
        <f t="shared" si="7"/>
        <v>175009</v>
      </c>
      <c r="W159" s="152">
        <f t="shared" si="8"/>
        <v>1750090</v>
      </c>
    </row>
    <row r="160" spans="1:23" x14ac:dyDescent="0.2">
      <c r="A160" s="23" t="str">
        <f>Data!B156</f>
        <v>3348</v>
      </c>
      <c r="B160" s="21" t="str">
        <f>INDEX(Data[],MATCH($A160,Data[Dist],0),MATCH(B$5,Data[#Headers],0))</f>
        <v>Kingsley-Pierson</v>
      </c>
      <c r="C160" s="22">
        <f>IF(Notes!$B$2="June",ROUND('Budget by Source'!C160/10,0)+P160,ROUND('Budget by Source'!C160/10,0))</f>
        <v>0</v>
      </c>
      <c r="D160" s="22">
        <f>IF(Notes!$B$2="June",ROUND('Budget by Source'!D160/10,0)+Q160,ROUND('Budget by Source'!D160/10,0))</f>
        <v>32703</v>
      </c>
      <c r="E160" s="22">
        <f>IF(Notes!$B$2="June",ROUND('Budget by Source'!E160/10,0)+R160,ROUND('Budget by Source'!E160/10,0))</f>
        <v>4123</v>
      </c>
      <c r="F160" s="22">
        <f>IF(Notes!$B$2="June",ROUND('Budget by Source'!F160/10,0)+S160,ROUND('Budget by Source'!F160/10,0))</f>
        <v>3782</v>
      </c>
      <c r="G160" s="22">
        <f>IF(Notes!$B$2="June",ROUND('Budget by Source'!G160/10,0)+T160,ROUND('Budget by Source'!G160/10,0))</f>
        <v>17361</v>
      </c>
      <c r="H160" s="22">
        <f t="shared" si="6"/>
        <v>259344</v>
      </c>
      <c r="I160" s="22">
        <f>INDEX(Data[],MATCH($A160,Data[Dist],0),MATCH(I$5,Data[#Headers],0))</f>
        <v>317313</v>
      </c>
      <c r="K160" s="69">
        <f>INDEX('Payment Total'!$A$7:$H$331,MATCH('Payment by Source'!$A160,'Payment Total'!$A$7:$A$331,0),3)-I160</f>
        <v>0</v>
      </c>
      <c r="P160" s="154">
        <f>INDEX('Budget by Source'!$A$6:$I$330,MATCH('Payment by Source'!$A160,'Budget by Source'!$A$6:$A$330,0),MATCH(P$3,'Budget by Source'!$A$5:$I$5,0))-(ROUND(INDEX('Budget by Source'!$A$6:$I$330,MATCH('Payment by Source'!$A160,'Budget by Source'!$A$6:$A$330,0),MATCH(P$3,'Budget by Source'!$A$5:$I$5,0))/10,0)*10)</f>
        <v>0</v>
      </c>
      <c r="Q160" s="154">
        <f>INDEX('Budget by Source'!$A$6:$I$330,MATCH('Payment by Source'!$A160,'Budget by Source'!$A$6:$A$330,0),MATCH(Q$3,'Budget by Source'!$A$5:$I$5,0))-(ROUND(INDEX('Budget by Source'!$A$6:$I$330,MATCH('Payment by Source'!$A160,'Budget by Source'!$A$6:$A$330,0),MATCH(Q$3,'Budget by Source'!$A$5:$I$5,0))/10,0)*10)</f>
        <v>3</v>
      </c>
      <c r="R160" s="154">
        <f>INDEX('Budget by Source'!$A$6:$I$330,MATCH('Payment by Source'!$A160,'Budget by Source'!$A$6:$A$330,0),MATCH(R$3,'Budget by Source'!$A$5:$I$5,0))-(ROUND(INDEX('Budget by Source'!$A$6:$I$330,MATCH('Payment by Source'!$A160,'Budget by Source'!$A$6:$A$330,0),MATCH(R$3,'Budget by Source'!$A$5:$I$5,0))/10,0)*10)</f>
        <v>-4</v>
      </c>
      <c r="S160" s="154">
        <f>INDEX('Budget by Source'!$A$6:$I$330,MATCH('Payment by Source'!$A160,'Budget by Source'!$A$6:$A$330,0),MATCH(S$3,'Budget by Source'!$A$5:$I$5,0))-(ROUND(INDEX('Budget by Source'!$A$6:$I$330,MATCH('Payment by Source'!$A160,'Budget by Source'!$A$6:$A$330,0),MATCH(S$3,'Budget by Source'!$A$5:$I$5,0))/10,0)*10)</f>
        <v>-5</v>
      </c>
      <c r="T160" s="154">
        <f>INDEX('Budget by Source'!$A$6:$I$330,MATCH('Payment by Source'!$A160,'Budget by Source'!$A$6:$A$330,0),MATCH(T$3,'Budget by Source'!$A$5:$I$5,0))-(ROUND(INDEX('Budget by Source'!$A$6:$I$330,MATCH('Payment by Source'!$A160,'Budget by Source'!$A$6:$A$330,0),MATCH(T$3,'Budget by Source'!$A$5:$I$5,0))/10,0)*10)</f>
        <v>4</v>
      </c>
      <c r="U160" s="155">
        <f>INDEX('Budget by Source'!$A$6:$I$330,MATCH('Payment by Source'!$A160,'Budget by Source'!$A$6:$A$330,0),MATCH(U$3,'Budget by Source'!$A$5:$I$5,0))</f>
        <v>2593441</v>
      </c>
      <c r="V160" s="152">
        <f t="shared" si="7"/>
        <v>259344</v>
      </c>
      <c r="W160" s="152">
        <f t="shared" si="8"/>
        <v>2593440</v>
      </c>
    </row>
    <row r="161" spans="1:23" x14ac:dyDescent="0.2">
      <c r="A161" s="23" t="str">
        <f>Data!B157</f>
        <v>3375</v>
      </c>
      <c r="B161" s="21" t="str">
        <f>INDEX(Data[],MATCH($A161,Data[Dist],0),MATCH(B$5,Data[#Headers],0))</f>
        <v>Knoxville</v>
      </c>
      <c r="C161" s="22">
        <f>IF(Notes!$B$2="June",ROUND('Budget by Source'!C161/10,0)+P161,ROUND('Budget by Source'!C161/10,0))</f>
        <v>27376</v>
      </c>
      <c r="D161" s="22">
        <f>IF(Notes!$B$2="June",ROUND('Budget by Source'!D161/10,0)+Q161,ROUND('Budget by Source'!D161/10,0))</f>
        <v>115850</v>
      </c>
      <c r="E161" s="22">
        <f>IF(Notes!$B$2="June",ROUND('Budget by Source'!E161/10,0)+R161,ROUND('Budget by Source'!E161/10,0))</f>
        <v>13773</v>
      </c>
      <c r="F161" s="22">
        <f>IF(Notes!$B$2="June",ROUND('Budget by Source'!F161/10,0)+S161,ROUND('Budget by Source'!F161/10,0))</f>
        <v>12476</v>
      </c>
      <c r="G161" s="22">
        <f>IF(Notes!$B$2="June",ROUND('Budget by Source'!G161/10,0)+T161,ROUND('Budget by Source'!G161/10,0))</f>
        <v>64906</v>
      </c>
      <c r="H161" s="22">
        <f t="shared" si="6"/>
        <v>1131752</v>
      </c>
      <c r="I161" s="22">
        <f>INDEX(Data[],MATCH($A161,Data[Dist],0),MATCH(I$5,Data[#Headers],0))</f>
        <v>1366133</v>
      </c>
      <c r="K161" s="69">
        <f>INDEX('Payment Total'!$A$7:$H$331,MATCH('Payment by Source'!$A161,'Payment Total'!$A$7:$A$331,0),3)-I161</f>
        <v>0</v>
      </c>
      <c r="P161" s="154">
        <f>INDEX('Budget by Source'!$A$6:$I$330,MATCH('Payment by Source'!$A161,'Budget by Source'!$A$6:$A$330,0),MATCH(P$3,'Budget by Source'!$A$5:$I$5,0))-(ROUND(INDEX('Budget by Source'!$A$6:$I$330,MATCH('Payment by Source'!$A161,'Budget by Source'!$A$6:$A$330,0),MATCH(P$3,'Budget by Source'!$A$5:$I$5,0))/10,0)*10)</f>
        <v>0</v>
      </c>
      <c r="Q161" s="154">
        <f>INDEX('Budget by Source'!$A$6:$I$330,MATCH('Payment by Source'!$A161,'Budget by Source'!$A$6:$A$330,0),MATCH(Q$3,'Budget by Source'!$A$5:$I$5,0))-(ROUND(INDEX('Budget by Source'!$A$6:$I$330,MATCH('Payment by Source'!$A161,'Budget by Source'!$A$6:$A$330,0),MATCH(Q$3,'Budget by Source'!$A$5:$I$5,0))/10,0)*10)</f>
        <v>0</v>
      </c>
      <c r="R161" s="154">
        <f>INDEX('Budget by Source'!$A$6:$I$330,MATCH('Payment by Source'!$A161,'Budget by Source'!$A$6:$A$330,0),MATCH(R$3,'Budget by Source'!$A$5:$I$5,0))-(ROUND(INDEX('Budget by Source'!$A$6:$I$330,MATCH('Payment by Source'!$A161,'Budget by Source'!$A$6:$A$330,0),MATCH(R$3,'Budget by Source'!$A$5:$I$5,0))/10,0)*10)</f>
        <v>-4</v>
      </c>
      <c r="S161" s="154">
        <f>INDEX('Budget by Source'!$A$6:$I$330,MATCH('Payment by Source'!$A161,'Budget by Source'!$A$6:$A$330,0),MATCH(S$3,'Budget by Source'!$A$5:$I$5,0))-(ROUND(INDEX('Budget by Source'!$A$6:$I$330,MATCH('Payment by Source'!$A161,'Budget by Source'!$A$6:$A$330,0),MATCH(S$3,'Budget by Source'!$A$5:$I$5,0))/10,0)*10)</f>
        <v>3</v>
      </c>
      <c r="T161" s="154">
        <f>INDEX('Budget by Source'!$A$6:$I$330,MATCH('Payment by Source'!$A161,'Budget by Source'!$A$6:$A$330,0),MATCH(T$3,'Budget by Source'!$A$5:$I$5,0))-(ROUND(INDEX('Budget by Source'!$A$6:$I$330,MATCH('Payment by Source'!$A161,'Budget by Source'!$A$6:$A$330,0),MATCH(T$3,'Budget by Source'!$A$5:$I$5,0))/10,0)*10)</f>
        <v>-5</v>
      </c>
      <c r="U161" s="155">
        <f>INDEX('Budget by Source'!$A$6:$I$330,MATCH('Payment by Source'!$A161,'Budget by Source'!$A$6:$A$330,0),MATCH(U$3,'Budget by Source'!$A$5:$I$5,0))</f>
        <v>11317523</v>
      </c>
      <c r="V161" s="152">
        <f t="shared" si="7"/>
        <v>1131752</v>
      </c>
      <c r="W161" s="152">
        <f t="shared" si="8"/>
        <v>11317520</v>
      </c>
    </row>
    <row r="162" spans="1:23" x14ac:dyDescent="0.2">
      <c r="A162" s="23" t="str">
        <f>Data!B158</f>
        <v>3420</v>
      </c>
      <c r="B162" s="21" t="str">
        <f>INDEX(Data[],MATCH($A162,Data[Dist],0),MATCH(B$5,Data[#Headers],0))</f>
        <v>Lake Mills</v>
      </c>
      <c r="C162" s="22">
        <f>IF(Notes!$B$2="June",ROUND('Budget by Source'!C162/10,0)+P162,ROUND('Budget by Source'!C162/10,0))</f>
        <v>10643</v>
      </c>
      <c r="D162" s="22">
        <f>IF(Notes!$B$2="June",ROUND('Budget by Source'!D162/10,0)+Q162,ROUND('Budget by Source'!D162/10,0))</f>
        <v>39047</v>
      </c>
      <c r="E162" s="22">
        <f>IF(Notes!$B$2="June",ROUND('Budget by Source'!E162/10,0)+R162,ROUND('Budget by Source'!E162/10,0))</f>
        <v>4620</v>
      </c>
      <c r="F162" s="22">
        <f>IF(Notes!$B$2="June",ROUND('Budget by Source'!F162/10,0)+S162,ROUND('Budget by Source'!F162/10,0))</f>
        <v>4056</v>
      </c>
      <c r="G162" s="22">
        <f>IF(Notes!$B$2="June",ROUND('Budget by Source'!G162/10,0)+T162,ROUND('Budget by Source'!G162/10,0))</f>
        <v>20826</v>
      </c>
      <c r="H162" s="22">
        <f t="shared" si="6"/>
        <v>266845</v>
      </c>
      <c r="I162" s="22">
        <f>INDEX(Data[],MATCH($A162,Data[Dist],0),MATCH(I$5,Data[#Headers],0))</f>
        <v>346037</v>
      </c>
      <c r="K162" s="69">
        <f>INDEX('Payment Total'!$A$7:$H$331,MATCH('Payment by Source'!$A162,'Payment Total'!$A$7:$A$331,0),3)-I162</f>
        <v>0</v>
      </c>
      <c r="P162" s="154">
        <f>INDEX('Budget by Source'!$A$6:$I$330,MATCH('Payment by Source'!$A162,'Budget by Source'!$A$6:$A$330,0),MATCH(P$3,'Budget by Source'!$A$5:$I$5,0))-(ROUND(INDEX('Budget by Source'!$A$6:$I$330,MATCH('Payment by Source'!$A162,'Budget by Source'!$A$6:$A$330,0),MATCH(P$3,'Budget by Source'!$A$5:$I$5,0))/10,0)*10)</f>
        <v>-4</v>
      </c>
      <c r="Q162" s="154">
        <f>INDEX('Budget by Source'!$A$6:$I$330,MATCH('Payment by Source'!$A162,'Budget by Source'!$A$6:$A$330,0),MATCH(Q$3,'Budget by Source'!$A$5:$I$5,0))-(ROUND(INDEX('Budget by Source'!$A$6:$I$330,MATCH('Payment by Source'!$A162,'Budget by Source'!$A$6:$A$330,0),MATCH(Q$3,'Budget by Source'!$A$5:$I$5,0))/10,0)*10)</f>
        <v>3</v>
      </c>
      <c r="R162" s="154">
        <f>INDEX('Budget by Source'!$A$6:$I$330,MATCH('Payment by Source'!$A162,'Budget by Source'!$A$6:$A$330,0),MATCH(R$3,'Budget by Source'!$A$5:$I$5,0))-(ROUND(INDEX('Budget by Source'!$A$6:$I$330,MATCH('Payment by Source'!$A162,'Budget by Source'!$A$6:$A$330,0),MATCH(R$3,'Budget by Source'!$A$5:$I$5,0))/10,0)*10)</f>
        <v>3</v>
      </c>
      <c r="S162" s="154">
        <f>INDEX('Budget by Source'!$A$6:$I$330,MATCH('Payment by Source'!$A162,'Budget by Source'!$A$6:$A$330,0),MATCH(S$3,'Budget by Source'!$A$5:$I$5,0))-(ROUND(INDEX('Budget by Source'!$A$6:$I$330,MATCH('Payment by Source'!$A162,'Budget by Source'!$A$6:$A$330,0),MATCH(S$3,'Budget by Source'!$A$5:$I$5,0))/10,0)*10)</f>
        <v>3</v>
      </c>
      <c r="T162" s="154">
        <f>INDEX('Budget by Source'!$A$6:$I$330,MATCH('Payment by Source'!$A162,'Budget by Source'!$A$6:$A$330,0),MATCH(T$3,'Budget by Source'!$A$5:$I$5,0))-(ROUND(INDEX('Budget by Source'!$A$6:$I$330,MATCH('Payment by Source'!$A162,'Budget by Source'!$A$6:$A$330,0),MATCH(T$3,'Budget by Source'!$A$5:$I$5,0))/10,0)*10)</f>
        <v>-4</v>
      </c>
      <c r="U162" s="155">
        <f>INDEX('Budget by Source'!$A$6:$I$330,MATCH('Payment by Source'!$A162,'Budget by Source'!$A$6:$A$330,0),MATCH(U$3,'Budget by Source'!$A$5:$I$5,0))</f>
        <v>2668453</v>
      </c>
      <c r="V162" s="152">
        <f t="shared" si="7"/>
        <v>266845</v>
      </c>
      <c r="W162" s="152">
        <f t="shared" si="8"/>
        <v>2668450</v>
      </c>
    </row>
    <row r="163" spans="1:23" x14ac:dyDescent="0.2">
      <c r="A163" s="23" t="str">
        <f>Data!B159</f>
        <v>3465</v>
      </c>
      <c r="B163" s="21" t="str">
        <f>INDEX(Data[],MATCH($A163,Data[Dist],0),MATCH(B$5,Data[#Headers],0))</f>
        <v>Lamoni</v>
      </c>
      <c r="C163" s="22">
        <f>IF(Notes!$B$2="June",ROUND('Budget by Source'!C163/10,0)+P163,ROUND('Budget by Source'!C163/10,0))</f>
        <v>9122</v>
      </c>
      <c r="D163" s="22">
        <f>IF(Notes!$B$2="June",ROUND('Budget by Source'!D163/10,0)+Q163,ROUND('Budget by Source'!D163/10,0))</f>
        <v>24764</v>
      </c>
      <c r="E163" s="22">
        <f>IF(Notes!$B$2="June",ROUND('Budget by Source'!E163/10,0)+R163,ROUND('Budget by Source'!E163/10,0))</f>
        <v>2719</v>
      </c>
      <c r="F163" s="22">
        <f>IF(Notes!$B$2="June",ROUND('Budget by Source'!F163/10,0)+S163,ROUND('Budget by Source'!F163/10,0))</f>
        <v>2682</v>
      </c>
      <c r="G163" s="22">
        <f>IF(Notes!$B$2="June",ROUND('Budget by Source'!G163/10,0)+T163,ROUND('Budget by Source'!G163/10,0))</f>
        <v>12412</v>
      </c>
      <c r="H163" s="22">
        <f t="shared" si="6"/>
        <v>243751</v>
      </c>
      <c r="I163" s="22">
        <f>INDEX(Data[],MATCH($A163,Data[Dist],0),MATCH(I$5,Data[#Headers],0))</f>
        <v>295450</v>
      </c>
      <c r="K163" s="69">
        <f>INDEX('Payment Total'!$A$7:$H$331,MATCH('Payment by Source'!$A163,'Payment Total'!$A$7:$A$331,0),3)-I163</f>
        <v>0</v>
      </c>
      <c r="P163" s="154">
        <f>INDEX('Budget by Source'!$A$6:$I$330,MATCH('Payment by Source'!$A163,'Budget by Source'!$A$6:$A$330,0),MATCH(P$3,'Budget by Source'!$A$5:$I$5,0))-(ROUND(INDEX('Budget by Source'!$A$6:$I$330,MATCH('Payment by Source'!$A163,'Budget by Source'!$A$6:$A$330,0),MATCH(P$3,'Budget by Source'!$A$5:$I$5,0))/10,0)*10)</f>
        <v>2</v>
      </c>
      <c r="Q163" s="154">
        <f>INDEX('Budget by Source'!$A$6:$I$330,MATCH('Payment by Source'!$A163,'Budget by Source'!$A$6:$A$330,0),MATCH(Q$3,'Budget by Source'!$A$5:$I$5,0))-(ROUND(INDEX('Budget by Source'!$A$6:$I$330,MATCH('Payment by Source'!$A163,'Budget by Source'!$A$6:$A$330,0),MATCH(Q$3,'Budget by Source'!$A$5:$I$5,0))/10,0)*10)</f>
        <v>-1</v>
      </c>
      <c r="R163" s="154">
        <f>INDEX('Budget by Source'!$A$6:$I$330,MATCH('Payment by Source'!$A163,'Budget by Source'!$A$6:$A$330,0),MATCH(R$3,'Budget by Source'!$A$5:$I$5,0))-(ROUND(INDEX('Budget by Source'!$A$6:$I$330,MATCH('Payment by Source'!$A163,'Budget by Source'!$A$6:$A$330,0),MATCH(R$3,'Budget by Source'!$A$5:$I$5,0))/10,0)*10)</f>
        <v>0</v>
      </c>
      <c r="S163" s="154">
        <f>INDEX('Budget by Source'!$A$6:$I$330,MATCH('Payment by Source'!$A163,'Budget by Source'!$A$6:$A$330,0),MATCH(S$3,'Budget by Source'!$A$5:$I$5,0))-(ROUND(INDEX('Budget by Source'!$A$6:$I$330,MATCH('Payment by Source'!$A163,'Budget by Source'!$A$6:$A$330,0),MATCH(S$3,'Budget by Source'!$A$5:$I$5,0))/10,0)*10)</f>
        <v>3</v>
      </c>
      <c r="T163" s="154">
        <f>INDEX('Budget by Source'!$A$6:$I$330,MATCH('Payment by Source'!$A163,'Budget by Source'!$A$6:$A$330,0),MATCH(T$3,'Budget by Source'!$A$5:$I$5,0))-(ROUND(INDEX('Budget by Source'!$A$6:$I$330,MATCH('Payment by Source'!$A163,'Budget by Source'!$A$6:$A$330,0),MATCH(T$3,'Budget by Source'!$A$5:$I$5,0))/10,0)*10)</f>
        <v>1</v>
      </c>
      <c r="U163" s="155">
        <f>INDEX('Budget by Source'!$A$6:$I$330,MATCH('Payment by Source'!$A163,'Budget by Source'!$A$6:$A$330,0),MATCH(U$3,'Budget by Source'!$A$5:$I$5,0))</f>
        <v>2437509</v>
      </c>
      <c r="V163" s="152">
        <f t="shared" si="7"/>
        <v>243751</v>
      </c>
      <c r="W163" s="152">
        <f t="shared" si="8"/>
        <v>2437510</v>
      </c>
    </row>
    <row r="164" spans="1:23" x14ac:dyDescent="0.2">
      <c r="A164" s="23" t="str">
        <f>Data!B160</f>
        <v>3537</v>
      </c>
      <c r="B164" s="21" t="str">
        <f>INDEX(Data[],MATCH($A164,Data[Dist],0),MATCH(B$5,Data[#Headers],0))</f>
        <v>Laurens-Marathon</v>
      </c>
      <c r="C164" s="22">
        <f>IF(Notes!$B$2="June",ROUND('Budget by Source'!C164/10,0)+P164,ROUND('Budget by Source'!C164/10,0))</f>
        <v>7602</v>
      </c>
      <c r="D164" s="22">
        <f>IF(Notes!$B$2="June",ROUND('Budget by Source'!D164/10,0)+Q164,ROUND('Budget by Source'!D164/10,0))</f>
        <v>21610</v>
      </c>
      <c r="E164" s="22">
        <f>IF(Notes!$B$2="June",ROUND('Budget by Source'!E164/10,0)+R164,ROUND('Budget by Source'!E164/10,0))</f>
        <v>2266</v>
      </c>
      <c r="F164" s="22">
        <f>IF(Notes!$B$2="June",ROUND('Budget by Source'!F164/10,0)+S164,ROUND('Budget by Source'!F164/10,0))</f>
        <v>2367</v>
      </c>
      <c r="G164" s="22">
        <f>IF(Notes!$B$2="June",ROUND('Budget by Source'!G164/10,0)+T164,ROUND('Budget by Source'!G164/10,0))</f>
        <v>11030</v>
      </c>
      <c r="H164" s="22">
        <f t="shared" si="6"/>
        <v>151665</v>
      </c>
      <c r="I164" s="22">
        <f>INDEX(Data[],MATCH($A164,Data[Dist],0),MATCH(I$5,Data[#Headers],0))</f>
        <v>196540</v>
      </c>
      <c r="K164" s="69">
        <f>INDEX('Payment Total'!$A$7:$H$331,MATCH('Payment by Source'!$A164,'Payment Total'!$A$7:$A$331,0),3)-I164</f>
        <v>0</v>
      </c>
      <c r="P164" s="154">
        <f>INDEX('Budget by Source'!$A$6:$I$330,MATCH('Payment by Source'!$A164,'Budget by Source'!$A$6:$A$330,0),MATCH(P$3,'Budget by Source'!$A$5:$I$5,0))-(ROUND(INDEX('Budget by Source'!$A$6:$I$330,MATCH('Payment by Source'!$A164,'Budget by Source'!$A$6:$A$330,0),MATCH(P$3,'Budget by Source'!$A$5:$I$5,0))/10,0)*10)</f>
        <v>-2</v>
      </c>
      <c r="Q164" s="154">
        <f>INDEX('Budget by Source'!$A$6:$I$330,MATCH('Payment by Source'!$A164,'Budget by Source'!$A$6:$A$330,0),MATCH(Q$3,'Budget by Source'!$A$5:$I$5,0))-(ROUND(INDEX('Budget by Source'!$A$6:$I$330,MATCH('Payment by Source'!$A164,'Budget by Source'!$A$6:$A$330,0),MATCH(Q$3,'Budget by Source'!$A$5:$I$5,0))/10,0)*10)</f>
        <v>1</v>
      </c>
      <c r="R164" s="154">
        <f>INDEX('Budget by Source'!$A$6:$I$330,MATCH('Payment by Source'!$A164,'Budget by Source'!$A$6:$A$330,0),MATCH(R$3,'Budget by Source'!$A$5:$I$5,0))-(ROUND(INDEX('Budget by Source'!$A$6:$I$330,MATCH('Payment by Source'!$A164,'Budget by Source'!$A$6:$A$330,0),MATCH(R$3,'Budget by Source'!$A$5:$I$5,0))/10,0)*10)</f>
        <v>0</v>
      </c>
      <c r="S164" s="154">
        <f>INDEX('Budget by Source'!$A$6:$I$330,MATCH('Payment by Source'!$A164,'Budget by Source'!$A$6:$A$330,0),MATCH(S$3,'Budget by Source'!$A$5:$I$5,0))-(ROUND(INDEX('Budget by Source'!$A$6:$I$330,MATCH('Payment by Source'!$A164,'Budget by Source'!$A$6:$A$330,0),MATCH(S$3,'Budget by Source'!$A$5:$I$5,0))/10,0)*10)</f>
        <v>-4</v>
      </c>
      <c r="T164" s="154">
        <f>INDEX('Budget by Source'!$A$6:$I$330,MATCH('Payment by Source'!$A164,'Budget by Source'!$A$6:$A$330,0),MATCH(T$3,'Budget by Source'!$A$5:$I$5,0))-(ROUND(INDEX('Budget by Source'!$A$6:$I$330,MATCH('Payment by Source'!$A164,'Budget by Source'!$A$6:$A$330,0),MATCH(T$3,'Budget by Source'!$A$5:$I$5,0))/10,0)*10)</f>
        <v>1</v>
      </c>
      <c r="U164" s="155">
        <f>INDEX('Budget by Source'!$A$6:$I$330,MATCH('Payment by Source'!$A164,'Budget by Source'!$A$6:$A$330,0),MATCH(U$3,'Budget by Source'!$A$5:$I$5,0))</f>
        <v>1516655</v>
      </c>
      <c r="V164" s="152">
        <f t="shared" si="7"/>
        <v>151666</v>
      </c>
      <c r="W164" s="152">
        <f t="shared" si="8"/>
        <v>1516660</v>
      </c>
    </row>
    <row r="165" spans="1:23" x14ac:dyDescent="0.2">
      <c r="A165" s="23" t="str">
        <f>Data!B161</f>
        <v>3555</v>
      </c>
      <c r="B165" s="21" t="str">
        <f>INDEX(Data[],MATCH($A165,Data[Dist],0),MATCH(B$5,Data[#Headers],0))</f>
        <v>Lawton-Bronson</v>
      </c>
      <c r="C165" s="22">
        <f>IF(Notes!$B$2="June",ROUND('Budget by Source'!C165/10,0)+P165,ROUND('Budget by Source'!C165/10,0))</f>
        <v>11783</v>
      </c>
      <c r="D165" s="22">
        <f>IF(Notes!$B$2="June",ROUND('Budget by Source'!D165/10,0)+Q165,ROUND('Budget by Source'!D165/10,0))</f>
        <v>39486</v>
      </c>
      <c r="E165" s="22">
        <f>IF(Notes!$B$2="June",ROUND('Budget by Source'!E165/10,0)+R165,ROUND('Budget by Source'!E165/10,0))</f>
        <v>4130</v>
      </c>
      <c r="F165" s="22">
        <f>IF(Notes!$B$2="June",ROUND('Budget by Source'!F165/10,0)+S165,ROUND('Budget by Source'!F165/10,0))</f>
        <v>4222</v>
      </c>
      <c r="G165" s="22">
        <f>IF(Notes!$B$2="June",ROUND('Budget by Source'!G165/10,0)+T165,ROUND('Budget by Source'!G165/10,0))</f>
        <v>22536</v>
      </c>
      <c r="H165" s="22">
        <f t="shared" si="6"/>
        <v>317900</v>
      </c>
      <c r="I165" s="22">
        <f>INDEX(Data[],MATCH($A165,Data[Dist],0),MATCH(I$5,Data[#Headers],0))</f>
        <v>400057</v>
      </c>
      <c r="K165" s="69">
        <f>INDEX('Payment Total'!$A$7:$H$331,MATCH('Payment by Source'!$A165,'Payment Total'!$A$7:$A$331,0),3)-I165</f>
        <v>0</v>
      </c>
      <c r="P165" s="154">
        <f>INDEX('Budget by Source'!$A$6:$I$330,MATCH('Payment by Source'!$A165,'Budget by Source'!$A$6:$A$330,0),MATCH(P$3,'Budget by Source'!$A$5:$I$5,0))-(ROUND(INDEX('Budget by Source'!$A$6:$I$330,MATCH('Payment by Source'!$A165,'Budget by Source'!$A$6:$A$330,0),MATCH(P$3,'Budget by Source'!$A$5:$I$5,0))/10,0)*10)</f>
        <v>-1</v>
      </c>
      <c r="Q165" s="154">
        <f>INDEX('Budget by Source'!$A$6:$I$330,MATCH('Payment by Source'!$A165,'Budget by Source'!$A$6:$A$330,0),MATCH(Q$3,'Budget by Source'!$A$5:$I$5,0))-(ROUND(INDEX('Budget by Source'!$A$6:$I$330,MATCH('Payment by Source'!$A165,'Budget by Source'!$A$6:$A$330,0),MATCH(Q$3,'Budget by Source'!$A$5:$I$5,0))/10,0)*10)</f>
        <v>-2</v>
      </c>
      <c r="R165" s="154">
        <f>INDEX('Budget by Source'!$A$6:$I$330,MATCH('Payment by Source'!$A165,'Budget by Source'!$A$6:$A$330,0),MATCH(R$3,'Budget by Source'!$A$5:$I$5,0))-(ROUND(INDEX('Budget by Source'!$A$6:$I$330,MATCH('Payment by Source'!$A165,'Budget by Source'!$A$6:$A$330,0),MATCH(R$3,'Budget by Source'!$A$5:$I$5,0))/10,0)*10)</f>
        <v>-5</v>
      </c>
      <c r="S165" s="154">
        <f>INDEX('Budget by Source'!$A$6:$I$330,MATCH('Payment by Source'!$A165,'Budget by Source'!$A$6:$A$330,0),MATCH(S$3,'Budget by Source'!$A$5:$I$5,0))-(ROUND(INDEX('Budget by Source'!$A$6:$I$330,MATCH('Payment by Source'!$A165,'Budget by Source'!$A$6:$A$330,0),MATCH(S$3,'Budget by Source'!$A$5:$I$5,0))/10,0)*10)</f>
        <v>4</v>
      </c>
      <c r="T165" s="154">
        <f>INDEX('Budget by Source'!$A$6:$I$330,MATCH('Payment by Source'!$A165,'Budget by Source'!$A$6:$A$330,0),MATCH(T$3,'Budget by Source'!$A$5:$I$5,0))-(ROUND(INDEX('Budget by Source'!$A$6:$I$330,MATCH('Payment by Source'!$A165,'Budget by Source'!$A$6:$A$330,0),MATCH(T$3,'Budget by Source'!$A$5:$I$5,0))/10,0)*10)</f>
        <v>-4</v>
      </c>
      <c r="U165" s="155">
        <f>INDEX('Budget by Source'!$A$6:$I$330,MATCH('Payment by Source'!$A165,'Budget by Source'!$A$6:$A$330,0),MATCH(U$3,'Budget by Source'!$A$5:$I$5,0))</f>
        <v>3179012</v>
      </c>
      <c r="V165" s="152">
        <f t="shared" si="7"/>
        <v>317901</v>
      </c>
      <c r="W165" s="152">
        <f t="shared" si="8"/>
        <v>3179010</v>
      </c>
    </row>
    <row r="166" spans="1:23" x14ac:dyDescent="0.2">
      <c r="A166" s="23" t="str">
        <f>Data!B162</f>
        <v>3582</v>
      </c>
      <c r="B166" s="21" t="str">
        <f>INDEX(Data[],MATCH($A166,Data[Dist],0),MATCH(B$5,Data[#Headers],0))</f>
        <v>East Marshall</v>
      </c>
      <c r="C166" s="22">
        <f>IF(Notes!$B$2="June",ROUND('Budget by Source'!C166/10,0)+P166,ROUND('Budget by Source'!C166/10,0))</f>
        <v>8742</v>
      </c>
      <c r="D166" s="22">
        <f>IF(Notes!$B$2="June",ROUND('Budget by Source'!D166/10,0)+Q166,ROUND('Budget by Source'!D166/10,0))</f>
        <v>38819</v>
      </c>
      <c r="E166" s="22">
        <f>IF(Notes!$B$2="June",ROUND('Budget by Source'!E166/10,0)+R166,ROUND('Budget by Source'!E166/10,0))</f>
        <v>4471</v>
      </c>
      <c r="F166" s="22">
        <f>IF(Notes!$B$2="June",ROUND('Budget by Source'!F166/10,0)+S166,ROUND('Budget by Source'!F166/10,0))</f>
        <v>4411</v>
      </c>
      <c r="G166" s="22">
        <f>IF(Notes!$B$2="June",ROUND('Budget by Source'!G166/10,0)+T166,ROUND('Budget by Source'!G166/10,0))</f>
        <v>20294</v>
      </c>
      <c r="H166" s="22">
        <f t="shared" si="6"/>
        <v>235891</v>
      </c>
      <c r="I166" s="22">
        <f>INDEX(Data[],MATCH($A166,Data[Dist],0),MATCH(I$5,Data[#Headers],0))</f>
        <v>312628</v>
      </c>
      <c r="K166" s="69">
        <f>INDEX('Payment Total'!$A$7:$H$331,MATCH('Payment by Source'!$A166,'Payment Total'!$A$7:$A$331,0),3)-I166</f>
        <v>0</v>
      </c>
      <c r="P166" s="154">
        <f>INDEX('Budget by Source'!$A$6:$I$330,MATCH('Payment by Source'!$A166,'Budget by Source'!$A$6:$A$330,0),MATCH(P$3,'Budget by Source'!$A$5:$I$5,0))-(ROUND(INDEX('Budget by Source'!$A$6:$I$330,MATCH('Payment by Source'!$A166,'Budget by Source'!$A$6:$A$330,0),MATCH(P$3,'Budget by Source'!$A$5:$I$5,0))/10,0)*10)</f>
        <v>2</v>
      </c>
      <c r="Q166" s="154">
        <f>INDEX('Budget by Source'!$A$6:$I$330,MATCH('Payment by Source'!$A166,'Budget by Source'!$A$6:$A$330,0),MATCH(Q$3,'Budget by Source'!$A$5:$I$5,0))-(ROUND(INDEX('Budget by Source'!$A$6:$I$330,MATCH('Payment by Source'!$A166,'Budget by Source'!$A$6:$A$330,0),MATCH(Q$3,'Budget by Source'!$A$5:$I$5,0))/10,0)*10)</f>
        <v>-4</v>
      </c>
      <c r="R166" s="154">
        <f>INDEX('Budget by Source'!$A$6:$I$330,MATCH('Payment by Source'!$A166,'Budget by Source'!$A$6:$A$330,0),MATCH(R$3,'Budget by Source'!$A$5:$I$5,0))-(ROUND(INDEX('Budget by Source'!$A$6:$I$330,MATCH('Payment by Source'!$A166,'Budget by Source'!$A$6:$A$330,0),MATCH(R$3,'Budget by Source'!$A$5:$I$5,0))/10,0)*10)</f>
        <v>-3</v>
      </c>
      <c r="S166" s="154">
        <f>INDEX('Budget by Source'!$A$6:$I$330,MATCH('Payment by Source'!$A166,'Budget by Source'!$A$6:$A$330,0),MATCH(S$3,'Budget by Source'!$A$5:$I$5,0))-(ROUND(INDEX('Budget by Source'!$A$6:$I$330,MATCH('Payment by Source'!$A166,'Budget by Source'!$A$6:$A$330,0),MATCH(S$3,'Budget by Source'!$A$5:$I$5,0))/10,0)*10)</f>
        <v>1</v>
      </c>
      <c r="T166" s="154">
        <f>INDEX('Budget by Source'!$A$6:$I$330,MATCH('Payment by Source'!$A166,'Budget by Source'!$A$6:$A$330,0),MATCH(T$3,'Budget by Source'!$A$5:$I$5,0))-(ROUND(INDEX('Budget by Source'!$A$6:$I$330,MATCH('Payment by Source'!$A166,'Budget by Source'!$A$6:$A$330,0),MATCH(T$3,'Budget by Source'!$A$5:$I$5,0))/10,0)*10)</f>
        <v>4</v>
      </c>
      <c r="U166" s="155">
        <f>INDEX('Budget by Source'!$A$6:$I$330,MATCH('Payment by Source'!$A166,'Budget by Source'!$A$6:$A$330,0),MATCH(U$3,'Budget by Source'!$A$5:$I$5,0))</f>
        <v>2358911</v>
      </c>
      <c r="V166" s="152">
        <f t="shared" si="7"/>
        <v>235891</v>
      </c>
      <c r="W166" s="152">
        <f t="shared" si="8"/>
        <v>2358910</v>
      </c>
    </row>
    <row r="167" spans="1:23" x14ac:dyDescent="0.2">
      <c r="A167" s="23" t="str">
        <f>Data!B163</f>
        <v>3600</v>
      </c>
      <c r="B167" s="21" t="str">
        <f>INDEX(Data[],MATCH($A167,Data[Dist],0),MATCH(B$5,Data[#Headers],0))</f>
        <v>Le Mars</v>
      </c>
      <c r="C167" s="22">
        <f>IF(Notes!$B$2="June",ROUND('Budget by Source'!C167/10,0)+P167,ROUND('Budget by Source'!C167/10,0))</f>
        <v>39910</v>
      </c>
      <c r="D167" s="22">
        <f>IF(Notes!$B$2="June",ROUND('Budget by Source'!D167/10,0)+Q167,ROUND('Budget by Source'!D167/10,0))</f>
        <v>141461</v>
      </c>
      <c r="E167" s="22">
        <f>IF(Notes!$B$2="June",ROUND('Budget by Source'!E167/10,0)+R167,ROUND('Budget by Source'!E167/10,0))</f>
        <v>15732</v>
      </c>
      <c r="F167" s="22">
        <f>IF(Notes!$B$2="June",ROUND('Budget by Source'!F167/10,0)+S167,ROUND('Budget by Source'!F167/10,0))</f>
        <v>16389</v>
      </c>
      <c r="G167" s="22">
        <f>IF(Notes!$B$2="June",ROUND('Budget by Source'!G167/10,0)+T167,ROUND('Budget by Source'!G167/10,0))</f>
        <v>82378</v>
      </c>
      <c r="H167" s="22">
        <f t="shared" si="6"/>
        <v>1261328</v>
      </c>
      <c r="I167" s="22">
        <f>INDEX(Data[],MATCH($A167,Data[Dist],0),MATCH(I$5,Data[#Headers],0))</f>
        <v>1557198</v>
      </c>
      <c r="K167" s="69">
        <f>INDEX('Payment Total'!$A$7:$H$331,MATCH('Payment by Source'!$A167,'Payment Total'!$A$7:$A$331,0),3)-I167</f>
        <v>0</v>
      </c>
      <c r="P167" s="154">
        <f>INDEX('Budget by Source'!$A$6:$I$330,MATCH('Payment by Source'!$A167,'Budget by Source'!$A$6:$A$330,0),MATCH(P$3,'Budget by Source'!$A$5:$I$5,0))-(ROUND(INDEX('Budget by Source'!$A$6:$I$330,MATCH('Payment by Source'!$A167,'Budget by Source'!$A$6:$A$330,0),MATCH(P$3,'Budget by Source'!$A$5:$I$5,0))/10,0)*10)</f>
        <v>-3</v>
      </c>
      <c r="Q167" s="154">
        <f>INDEX('Budget by Source'!$A$6:$I$330,MATCH('Payment by Source'!$A167,'Budget by Source'!$A$6:$A$330,0),MATCH(Q$3,'Budget by Source'!$A$5:$I$5,0))-(ROUND(INDEX('Budget by Source'!$A$6:$I$330,MATCH('Payment by Source'!$A167,'Budget by Source'!$A$6:$A$330,0),MATCH(Q$3,'Budget by Source'!$A$5:$I$5,0))/10,0)*10)</f>
        <v>0</v>
      </c>
      <c r="R167" s="154">
        <f>INDEX('Budget by Source'!$A$6:$I$330,MATCH('Payment by Source'!$A167,'Budget by Source'!$A$6:$A$330,0),MATCH(R$3,'Budget by Source'!$A$5:$I$5,0))-(ROUND(INDEX('Budget by Source'!$A$6:$I$330,MATCH('Payment by Source'!$A167,'Budget by Source'!$A$6:$A$330,0),MATCH(R$3,'Budget by Source'!$A$5:$I$5,0))/10,0)*10)</f>
        <v>0</v>
      </c>
      <c r="S167" s="154">
        <f>INDEX('Budget by Source'!$A$6:$I$330,MATCH('Payment by Source'!$A167,'Budget by Source'!$A$6:$A$330,0),MATCH(S$3,'Budget by Source'!$A$5:$I$5,0))-(ROUND(INDEX('Budget by Source'!$A$6:$I$330,MATCH('Payment by Source'!$A167,'Budget by Source'!$A$6:$A$330,0),MATCH(S$3,'Budget by Source'!$A$5:$I$5,0))/10,0)*10)</f>
        <v>2</v>
      </c>
      <c r="T167" s="154">
        <f>INDEX('Budget by Source'!$A$6:$I$330,MATCH('Payment by Source'!$A167,'Budget by Source'!$A$6:$A$330,0),MATCH(T$3,'Budget by Source'!$A$5:$I$5,0))-(ROUND(INDEX('Budget by Source'!$A$6:$I$330,MATCH('Payment by Source'!$A167,'Budget by Source'!$A$6:$A$330,0),MATCH(T$3,'Budget by Source'!$A$5:$I$5,0))/10,0)*10)</f>
        <v>-5</v>
      </c>
      <c r="U167" s="155">
        <f>INDEX('Budget by Source'!$A$6:$I$330,MATCH('Payment by Source'!$A167,'Budget by Source'!$A$6:$A$330,0),MATCH(U$3,'Budget by Source'!$A$5:$I$5,0))</f>
        <v>12613287</v>
      </c>
      <c r="V167" s="152">
        <f t="shared" si="7"/>
        <v>1261329</v>
      </c>
      <c r="W167" s="152">
        <f t="shared" si="8"/>
        <v>12613290</v>
      </c>
    </row>
    <row r="168" spans="1:23" x14ac:dyDescent="0.2">
      <c r="A168" s="23" t="str">
        <f>Data!B164</f>
        <v>3609</v>
      </c>
      <c r="B168" s="21" t="str">
        <f>INDEX(Data[],MATCH($A168,Data[Dist],0),MATCH(B$5,Data[#Headers],0))</f>
        <v>Lenox</v>
      </c>
      <c r="C168" s="22">
        <f>IF(Notes!$B$2="June",ROUND('Budget by Source'!C168/10,0)+P168,ROUND('Budget by Source'!C168/10,0))</f>
        <v>12923</v>
      </c>
      <c r="D168" s="22">
        <f>IF(Notes!$B$2="June",ROUND('Budget by Source'!D168/10,0)+Q168,ROUND('Budget by Source'!D168/10,0))</f>
        <v>32244</v>
      </c>
      <c r="E168" s="22">
        <f>IF(Notes!$B$2="June",ROUND('Budget by Source'!E168/10,0)+R168,ROUND('Budget by Source'!E168/10,0))</f>
        <v>4236</v>
      </c>
      <c r="F168" s="22">
        <f>IF(Notes!$B$2="June",ROUND('Budget by Source'!F168/10,0)+S168,ROUND('Budget by Source'!F168/10,0))</f>
        <v>3714</v>
      </c>
      <c r="G168" s="22">
        <f>IF(Notes!$B$2="June",ROUND('Budget by Source'!G168/10,0)+T168,ROUND('Budget by Source'!G168/10,0))</f>
        <v>16599</v>
      </c>
      <c r="H168" s="22">
        <f t="shared" si="6"/>
        <v>260171</v>
      </c>
      <c r="I168" s="22">
        <f>INDEX(Data[],MATCH($A168,Data[Dist],0),MATCH(I$5,Data[#Headers],0))</f>
        <v>329887</v>
      </c>
      <c r="K168" s="69">
        <f>INDEX('Payment Total'!$A$7:$H$331,MATCH('Payment by Source'!$A168,'Payment Total'!$A$7:$A$331,0),3)-I168</f>
        <v>0</v>
      </c>
      <c r="P168" s="154">
        <f>INDEX('Budget by Source'!$A$6:$I$330,MATCH('Payment by Source'!$A168,'Budget by Source'!$A$6:$A$330,0),MATCH(P$3,'Budget by Source'!$A$5:$I$5,0))-(ROUND(INDEX('Budget by Source'!$A$6:$I$330,MATCH('Payment by Source'!$A168,'Budget by Source'!$A$6:$A$330,0),MATCH(P$3,'Budget by Source'!$A$5:$I$5,0))/10,0)*10)</f>
        <v>1</v>
      </c>
      <c r="Q168" s="154">
        <f>INDEX('Budget by Source'!$A$6:$I$330,MATCH('Payment by Source'!$A168,'Budget by Source'!$A$6:$A$330,0),MATCH(Q$3,'Budget by Source'!$A$5:$I$5,0))-(ROUND(INDEX('Budget by Source'!$A$6:$I$330,MATCH('Payment by Source'!$A168,'Budget by Source'!$A$6:$A$330,0),MATCH(Q$3,'Budget by Source'!$A$5:$I$5,0))/10,0)*10)</f>
        <v>-3</v>
      </c>
      <c r="R168" s="154">
        <f>INDEX('Budget by Source'!$A$6:$I$330,MATCH('Payment by Source'!$A168,'Budget by Source'!$A$6:$A$330,0),MATCH(R$3,'Budget by Source'!$A$5:$I$5,0))-(ROUND(INDEX('Budget by Source'!$A$6:$I$330,MATCH('Payment by Source'!$A168,'Budget by Source'!$A$6:$A$330,0),MATCH(R$3,'Budget by Source'!$A$5:$I$5,0))/10,0)*10)</f>
        <v>0</v>
      </c>
      <c r="S168" s="154">
        <f>INDEX('Budget by Source'!$A$6:$I$330,MATCH('Payment by Source'!$A168,'Budget by Source'!$A$6:$A$330,0),MATCH(S$3,'Budget by Source'!$A$5:$I$5,0))-(ROUND(INDEX('Budget by Source'!$A$6:$I$330,MATCH('Payment by Source'!$A168,'Budget by Source'!$A$6:$A$330,0),MATCH(S$3,'Budget by Source'!$A$5:$I$5,0))/10,0)*10)</f>
        <v>0</v>
      </c>
      <c r="T168" s="154">
        <f>INDEX('Budget by Source'!$A$6:$I$330,MATCH('Payment by Source'!$A168,'Budget by Source'!$A$6:$A$330,0),MATCH(T$3,'Budget by Source'!$A$5:$I$5,0))-(ROUND(INDEX('Budget by Source'!$A$6:$I$330,MATCH('Payment by Source'!$A168,'Budget by Source'!$A$6:$A$330,0),MATCH(T$3,'Budget by Source'!$A$5:$I$5,0))/10,0)*10)</f>
        <v>-4</v>
      </c>
      <c r="U168" s="155">
        <f>INDEX('Budget by Source'!$A$6:$I$330,MATCH('Payment by Source'!$A168,'Budget by Source'!$A$6:$A$330,0),MATCH(U$3,'Budget by Source'!$A$5:$I$5,0))</f>
        <v>2601716</v>
      </c>
      <c r="V168" s="152">
        <f t="shared" si="7"/>
        <v>260172</v>
      </c>
      <c r="W168" s="152">
        <f t="shared" si="8"/>
        <v>2601720</v>
      </c>
    </row>
    <row r="169" spans="1:23" x14ac:dyDescent="0.2">
      <c r="A169" s="23" t="str">
        <f>Data!B165</f>
        <v>3645</v>
      </c>
      <c r="B169" s="21" t="str">
        <f>INDEX(Data[],MATCH($A169,Data[Dist],0),MATCH(B$5,Data[#Headers],0))</f>
        <v>Lewis Central</v>
      </c>
      <c r="C169" s="22">
        <f>IF(Notes!$B$2="June",ROUND('Budget by Source'!C169/10,0)+P169,ROUND('Budget by Source'!C169/10,0))</f>
        <v>24317</v>
      </c>
      <c r="D169" s="22">
        <f>IF(Notes!$B$2="June",ROUND('Budget by Source'!D169/10,0)+Q169,ROUND('Budget by Source'!D169/10,0))</f>
        <v>169228</v>
      </c>
      <c r="E169" s="22">
        <f>IF(Notes!$B$2="June",ROUND('Budget by Source'!E169/10,0)+R169,ROUND('Budget by Source'!E169/10,0))</f>
        <v>24748</v>
      </c>
      <c r="F169" s="22">
        <f>IF(Notes!$B$2="June",ROUND('Budget by Source'!F169/10,0)+S169,ROUND('Budget by Source'!F169/10,0))</f>
        <v>19747</v>
      </c>
      <c r="G169" s="22">
        <f>IF(Notes!$B$2="June",ROUND('Budget by Source'!G169/10,0)+T169,ROUND('Budget by Source'!G169/10,0))</f>
        <v>97867</v>
      </c>
      <c r="H169" s="22">
        <f t="shared" si="6"/>
        <v>1234788</v>
      </c>
      <c r="I169" s="22">
        <f>INDEX(Data[],MATCH($A169,Data[Dist],0),MATCH(I$5,Data[#Headers],0))</f>
        <v>1570695</v>
      </c>
      <c r="K169" s="69">
        <f>INDEX('Payment Total'!$A$7:$H$331,MATCH('Payment by Source'!$A169,'Payment Total'!$A$7:$A$331,0),3)-I169</f>
        <v>0</v>
      </c>
      <c r="P169" s="154">
        <f>INDEX('Budget by Source'!$A$6:$I$330,MATCH('Payment by Source'!$A169,'Budget by Source'!$A$6:$A$330,0),MATCH(P$3,'Budget by Source'!$A$5:$I$5,0))-(ROUND(INDEX('Budget by Source'!$A$6:$I$330,MATCH('Payment by Source'!$A169,'Budget by Source'!$A$6:$A$330,0),MATCH(P$3,'Budget by Source'!$A$5:$I$5,0))/10,0)*10)</f>
        <v>-5</v>
      </c>
      <c r="Q169" s="154">
        <f>INDEX('Budget by Source'!$A$6:$I$330,MATCH('Payment by Source'!$A169,'Budget by Source'!$A$6:$A$330,0),MATCH(Q$3,'Budget by Source'!$A$5:$I$5,0))-(ROUND(INDEX('Budget by Source'!$A$6:$I$330,MATCH('Payment by Source'!$A169,'Budget by Source'!$A$6:$A$330,0),MATCH(Q$3,'Budget by Source'!$A$5:$I$5,0))/10,0)*10)</f>
        <v>1</v>
      </c>
      <c r="R169" s="154">
        <f>INDEX('Budget by Source'!$A$6:$I$330,MATCH('Payment by Source'!$A169,'Budget by Source'!$A$6:$A$330,0),MATCH(R$3,'Budget by Source'!$A$5:$I$5,0))-(ROUND(INDEX('Budget by Source'!$A$6:$I$330,MATCH('Payment by Source'!$A169,'Budget by Source'!$A$6:$A$330,0),MATCH(R$3,'Budget by Source'!$A$5:$I$5,0))/10,0)*10)</f>
        <v>-5</v>
      </c>
      <c r="S169" s="154">
        <f>INDEX('Budget by Source'!$A$6:$I$330,MATCH('Payment by Source'!$A169,'Budget by Source'!$A$6:$A$330,0),MATCH(S$3,'Budget by Source'!$A$5:$I$5,0))-(ROUND(INDEX('Budget by Source'!$A$6:$I$330,MATCH('Payment by Source'!$A169,'Budget by Source'!$A$6:$A$330,0),MATCH(S$3,'Budget by Source'!$A$5:$I$5,0))/10,0)*10)</f>
        <v>0</v>
      </c>
      <c r="T169" s="154">
        <f>INDEX('Budget by Source'!$A$6:$I$330,MATCH('Payment by Source'!$A169,'Budget by Source'!$A$6:$A$330,0),MATCH(T$3,'Budget by Source'!$A$5:$I$5,0))-(ROUND(INDEX('Budget by Source'!$A$6:$I$330,MATCH('Payment by Source'!$A169,'Budget by Source'!$A$6:$A$330,0),MATCH(T$3,'Budget by Source'!$A$5:$I$5,0))/10,0)*10)</f>
        <v>-2</v>
      </c>
      <c r="U169" s="155">
        <f>INDEX('Budget by Source'!$A$6:$I$330,MATCH('Payment by Source'!$A169,'Budget by Source'!$A$6:$A$330,0),MATCH(U$3,'Budget by Source'!$A$5:$I$5,0))</f>
        <v>12347889</v>
      </c>
      <c r="V169" s="152">
        <f t="shared" si="7"/>
        <v>1234789</v>
      </c>
      <c r="W169" s="152">
        <f t="shared" si="8"/>
        <v>12347890</v>
      </c>
    </row>
    <row r="170" spans="1:23" x14ac:dyDescent="0.2">
      <c r="A170" s="23" t="str">
        <f>Data!B166</f>
        <v>3691</v>
      </c>
      <c r="B170" s="21" t="str">
        <f>INDEX(Data[],MATCH($A170,Data[Dist],0),MATCH(B$5,Data[#Headers],0))</f>
        <v>North Cedar</v>
      </c>
      <c r="C170" s="22">
        <f>IF(Notes!$B$2="June",ROUND('Budget by Source'!C170/10,0)+P170,ROUND('Budget by Source'!C170/10,0))</f>
        <v>14063</v>
      </c>
      <c r="D170" s="22">
        <f>IF(Notes!$B$2="June",ROUND('Budget by Source'!D170/10,0)+Q170,ROUND('Budget by Source'!D170/10,0))</f>
        <v>47388</v>
      </c>
      <c r="E170" s="22">
        <f>IF(Notes!$B$2="June",ROUND('Budget by Source'!E170/10,0)+R170,ROUND('Budget by Source'!E170/10,0))</f>
        <v>5054</v>
      </c>
      <c r="F170" s="22">
        <f>IF(Notes!$B$2="June",ROUND('Budget by Source'!F170/10,0)+S170,ROUND('Budget by Source'!F170/10,0))</f>
        <v>5109</v>
      </c>
      <c r="G170" s="22">
        <f>IF(Notes!$B$2="June",ROUND('Budget by Source'!G170/10,0)+T170,ROUND('Budget by Source'!G170/10,0))</f>
        <v>26748</v>
      </c>
      <c r="H170" s="22">
        <f t="shared" si="6"/>
        <v>379561</v>
      </c>
      <c r="I170" s="22">
        <f>INDEX(Data[],MATCH($A170,Data[Dist],0),MATCH(I$5,Data[#Headers],0))</f>
        <v>477923</v>
      </c>
      <c r="K170" s="69">
        <f>INDEX('Payment Total'!$A$7:$H$331,MATCH('Payment by Source'!$A170,'Payment Total'!$A$7:$A$331,0),3)-I170</f>
        <v>0</v>
      </c>
      <c r="P170" s="154">
        <f>INDEX('Budget by Source'!$A$6:$I$330,MATCH('Payment by Source'!$A170,'Budget by Source'!$A$6:$A$330,0),MATCH(P$3,'Budget by Source'!$A$5:$I$5,0))-(ROUND(INDEX('Budget by Source'!$A$6:$I$330,MATCH('Payment by Source'!$A170,'Budget by Source'!$A$6:$A$330,0),MATCH(P$3,'Budget by Source'!$A$5:$I$5,0))/10,0)*10)</f>
        <v>4</v>
      </c>
      <c r="Q170" s="154">
        <f>INDEX('Budget by Source'!$A$6:$I$330,MATCH('Payment by Source'!$A170,'Budget by Source'!$A$6:$A$330,0),MATCH(Q$3,'Budget by Source'!$A$5:$I$5,0))-(ROUND(INDEX('Budget by Source'!$A$6:$I$330,MATCH('Payment by Source'!$A170,'Budget by Source'!$A$6:$A$330,0),MATCH(Q$3,'Budget by Source'!$A$5:$I$5,0))/10,0)*10)</f>
        <v>-5</v>
      </c>
      <c r="R170" s="154">
        <f>INDEX('Budget by Source'!$A$6:$I$330,MATCH('Payment by Source'!$A170,'Budget by Source'!$A$6:$A$330,0),MATCH(R$3,'Budget by Source'!$A$5:$I$5,0))-(ROUND(INDEX('Budget by Source'!$A$6:$I$330,MATCH('Payment by Source'!$A170,'Budget by Source'!$A$6:$A$330,0),MATCH(R$3,'Budget by Source'!$A$5:$I$5,0))/10,0)*10)</f>
        <v>-3</v>
      </c>
      <c r="S170" s="154">
        <f>INDEX('Budget by Source'!$A$6:$I$330,MATCH('Payment by Source'!$A170,'Budget by Source'!$A$6:$A$330,0),MATCH(S$3,'Budget by Source'!$A$5:$I$5,0))-(ROUND(INDEX('Budget by Source'!$A$6:$I$330,MATCH('Payment by Source'!$A170,'Budget by Source'!$A$6:$A$330,0),MATCH(S$3,'Budget by Source'!$A$5:$I$5,0))/10,0)*10)</f>
        <v>-1</v>
      </c>
      <c r="T170" s="154">
        <f>INDEX('Budget by Source'!$A$6:$I$330,MATCH('Payment by Source'!$A170,'Budget by Source'!$A$6:$A$330,0),MATCH(T$3,'Budget by Source'!$A$5:$I$5,0))-(ROUND(INDEX('Budget by Source'!$A$6:$I$330,MATCH('Payment by Source'!$A170,'Budget by Source'!$A$6:$A$330,0),MATCH(T$3,'Budget by Source'!$A$5:$I$5,0))/10,0)*10)</f>
        <v>-1</v>
      </c>
      <c r="U170" s="155">
        <f>INDEX('Budget by Source'!$A$6:$I$330,MATCH('Payment by Source'!$A170,'Budget by Source'!$A$6:$A$330,0),MATCH(U$3,'Budget by Source'!$A$5:$I$5,0))</f>
        <v>3795620</v>
      </c>
      <c r="V170" s="152">
        <f t="shared" si="7"/>
        <v>379562</v>
      </c>
      <c r="W170" s="152">
        <f t="shared" si="8"/>
        <v>3795620</v>
      </c>
    </row>
    <row r="171" spans="1:23" x14ac:dyDescent="0.2">
      <c r="A171" s="23" t="str">
        <f>Data!B167</f>
        <v>3715</v>
      </c>
      <c r="B171" s="21" t="str">
        <f>INDEX(Data[],MATCH($A171,Data[Dist],0),MATCH(B$5,Data[#Headers],0))</f>
        <v>Linn-Mar</v>
      </c>
      <c r="C171" s="22">
        <f>IF(Notes!$B$2="June",ROUND('Budget by Source'!C171/10,0)+P171,ROUND('Budget by Source'!C171/10,0))</f>
        <v>97618</v>
      </c>
      <c r="D171" s="22">
        <f>IF(Notes!$B$2="June",ROUND('Budget by Source'!D171/10,0)+Q171,ROUND('Budget by Source'!D171/10,0))</f>
        <v>474534</v>
      </c>
      <c r="E171" s="22">
        <f>IF(Notes!$B$2="June",ROUND('Budget by Source'!E171/10,0)+R171,ROUND('Budget by Source'!E171/10,0))</f>
        <v>53030</v>
      </c>
      <c r="F171" s="22">
        <f>IF(Notes!$B$2="June",ROUND('Budget by Source'!F171/10,0)+S171,ROUND('Budget by Source'!F171/10,0))</f>
        <v>53115</v>
      </c>
      <c r="G171" s="22">
        <f>IF(Notes!$B$2="June",ROUND('Budget by Source'!G171/10,0)+T171,ROUND('Budget by Source'!G171/10,0))</f>
        <v>283234</v>
      </c>
      <c r="H171" s="22">
        <f t="shared" si="6"/>
        <v>4540082</v>
      </c>
      <c r="I171" s="22">
        <f>INDEX(Data[],MATCH($A171,Data[Dist],0),MATCH(I$5,Data[#Headers],0))</f>
        <v>5501613</v>
      </c>
      <c r="K171" s="69">
        <f>INDEX('Payment Total'!$A$7:$H$331,MATCH('Payment by Source'!$A171,'Payment Total'!$A$7:$A$331,0),3)-I171</f>
        <v>0</v>
      </c>
      <c r="P171" s="154">
        <f>INDEX('Budget by Source'!$A$6:$I$330,MATCH('Payment by Source'!$A171,'Budget by Source'!$A$6:$A$330,0),MATCH(P$3,'Budget by Source'!$A$5:$I$5,0))-(ROUND(INDEX('Budget by Source'!$A$6:$I$330,MATCH('Payment by Source'!$A171,'Budget by Source'!$A$6:$A$330,0),MATCH(P$3,'Budget by Source'!$A$5:$I$5,0))/10,0)*10)</f>
        <v>-5</v>
      </c>
      <c r="Q171" s="154">
        <f>INDEX('Budget by Source'!$A$6:$I$330,MATCH('Payment by Source'!$A171,'Budget by Source'!$A$6:$A$330,0),MATCH(Q$3,'Budget by Source'!$A$5:$I$5,0))-(ROUND(INDEX('Budget by Source'!$A$6:$I$330,MATCH('Payment by Source'!$A171,'Budget by Source'!$A$6:$A$330,0),MATCH(Q$3,'Budget by Source'!$A$5:$I$5,0))/10,0)*10)</f>
        <v>-5</v>
      </c>
      <c r="R171" s="154">
        <f>INDEX('Budget by Source'!$A$6:$I$330,MATCH('Payment by Source'!$A171,'Budget by Source'!$A$6:$A$330,0),MATCH(R$3,'Budget by Source'!$A$5:$I$5,0))-(ROUND(INDEX('Budget by Source'!$A$6:$I$330,MATCH('Payment by Source'!$A171,'Budget by Source'!$A$6:$A$330,0),MATCH(R$3,'Budget by Source'!$A$5:$I$5,0))/10,0)*10)</f>
        <v>0</v>
      </c>
      <c r="S171" s="154">
        <f>INDEX('Budget by Source'!$A$6:$I$330,MATCH('Payment by Source'!$A171,'Budget by Source'!$A$6:$A$330,0),MATCH(S$3,'Budget by Source'!$A$5:$I$5,0))-(ROUND(INDEX('Budget by Source'!$A$6:$I$330,MATCH('Payment by Source'!$A171,'Budget by Source'!$A$6:$A$330,0),MATCH(S$3,'Budget by Source'!$A$5:$I$5,0))/10,0)*10)</f>
        <v>-5</v>
      </c>
      <c r="T171" s="154">
        <f>INDEX('Budget by Source'!$A$6:$I$330,MATCH('Payment by Source'!$A171,'Budget by Source'!$A$6:$A$330,0),MATCH(T$3,'Budget by Source'!$A$5:$I$5,0))-(ROUND(INDEX('Budget by Source'!$A$6:$I$330,MATCH('Payment by Source'!$A171,'Budget by Source'!$A$6:$A$330,0),MATCH(T$3,'Budget by Source'!$A$5:$I$5,0))/10,0)*10)</f>
        <v>-3</v>
      </c>
      <c r="U171" s="155">
        <f>INDEX('Budget by Source'!$A$6:$I$330,MATCH('Payment by Source'!$A171,'Budget by Source'!$A$6:$A$330,0),MATCH(U$3,'Budget by Source'!$A$5:$I$5,0))</f>
        <v>45400837</v>
      </c>
      <c r="V171" s="152">
        <f t="shared" si="7"/>
        <v>4540084</v>
      </c>
      <c r="W171" s="152">
        <f t="shared" si="8"/>
        <v>45400840</v>
      </c>
    </row>
    <row r="172" spans="1:23" x14ac:dyDescent="0.2">
      <c r="A172" s="23" t="str">
        <f>Data!B168</f>
        <v>3744</v>
      </c>
      <c r="B172" s="21" t="str">
        <f>INDEX(Data[],MATCH($A172,Data[Dist],0),MATCH(B$5,Data[#Headers],0))</f>
        <v>Lisbon</v>
      </c>
      <c r="C172" s="22">
        <f>IF(Notes!$B$2="June",ROUND('Budget by Source'!C172/10,0)+P172,ROUND('Budget by Source'!C172/10,0))</f>
        <v>18244</v>
      </c>
      <c r="D172" s="22">
        <f>IF(Notes!$B$2="June",ROUND('Budget by Source'!D172/10,0)+Q172,ROUND('Budget by Source'!D172/10,0))</f>
        <v>41785</v>
      </c>
      <c r="E172" s="22">
        <f>IF(Notes!$B$2="June",ROUND('Budget by Source'!E172/10,0)+R172,ROUND('Budget by Source'!E172/10,0))</f>
        <v>4204</v>
      </c>
      <c r="F172" s="22">
        <f>IF(Notes!$B$2="June",ROUND('Budget by Source'!F172/10,0)+S172,ROUND('Budget by Source'!F172/10,0))</f>
        <v>4216</v>
      </c>
      <c r="G172" s="22">
        <f>IF(Notes!$B$2="June",ROUND('Budget by Source'!G172/10,0)+T172,ROUND('Budget by Source'!G172/10,0))</f>
        <v>24732</v>
      </c>
      <c r="H172" s="22">
        <f t="shared" si="6"/>
        <v>415366</v>
      </c>
      <c r="I172" s="22">
        <f>INDEX(Data[],MATCH($A172,Data[Dist],0),MATCH(I$5,Data[#Headers],0))</f>
        <v>508547</v>
      </c>
      <c r="K172" s="69">
        <f>INDEX('Payment Total'!$A$7:$H$331,MATCH('Payment by Source'!$A172,'Payment Total'!$A$7:$A$331,0),3)-I172</f>
        <v>0</v>
      </c>
      <c r="P172" s="154">
        <f>INDEX('Budget by Source'!$A$6:$I$330,MATCH('Payment by Source'!$A172,'Budget by Source'!$A$6:$A$330,0),MATCH(P$3,'Budget by Source'!$A$5:$I$5,0))-(ROUND(INDEX('Budget by Source'!$A$6:$I$330,MATCH('Payment by Source'!$A172,'Budget by Source'!$A$6:$A$330,0),MATCH(P$3,'Budget by Source'!$A$5:$I$5,0))/10,0)*10)</f>
        <v>4</v>
      </c>
      <c r="Q172" s="154">
        <f>INDEX('Budget by Source'!$A$6:$I$330,MATCH('Payment by Source'!$A172,'Budget by Source'!$A$6:$A$330,0),MATCH(Q$3,'Budget by Source'!$A$5:$I$5,0))-(ROUND(INDEX('Budget by Source'!$A$6:$I$330,MATCH('Payment by Source'!$A172,'Budget by Source'!$A$6:$A$330,0),MATCH(Q$3,'Budget by Source'!$A$5:$I$5,0))/10,0)*10)</f>
        <v>-3</v>
      </c>
      <c r="R172" s="154">
        <f>INDEX('Budget by Source'!$A$6:$I$330,MATCH('Payment by Source'!$A172,'Budget by Source'!$A$6:$A$330,0),MATCH(R$3,'Budget by Source'!$A$5:$I$5,0))-(ROUND(INDEX('Budget by Source'!$A$6:$I$330,MATCH('Payment by Source'!$A172,'Budget by Source'!$A$6:$A$330,0),MATCH(R$3,'Budget by Source'!$A$5:$I$5,0))/10,0)*10)</f>
        <v>4</v>
      </c>
      <c r="S172" s="154">
        <f>INDEX('Budget by Source'!$A$6:$I$330,MATCH('Payment by Source'!$A172,'Budget by Source'!$A$6:$A$330,0),MATCH(S$3,'Budget by Source'!$A$5:$I$5,0))-(ROUND(INDEX('Budget by Source'!$A$6:$I$330,MATCH('Payment by Source'!$A172,'Budget by Source'!$A$6:$A$330,0),MATCH(S$3,'Budget by Source'!$A$5:$I$5,0))/10,0)*10)</f>
        <v>-1</v>
      </c>
      <c r="T172" s="154">
        <f>INDEX('Budget by Source'!$A$6:$I$330,MATCH('Payment by Source'!$A172,'Budget by Source'!$A$6:$A$330,0),MATCH(T$3,'Budget by Source'!$A$5:$I$5,0))-(ROUND(INDEX('Budget by Source'!$A$6:$I$330,MATCH('Payment by Source'!$A172,'Budget by Source'!$A$6:$A$330,0),MATCH(T$3,'Budget by Source'!$A$5:$I$5,0))/10,0)*10)</f>
        <v>0</v>
      </c>
      <c r="U172" s="155">
        <f>INDEX('Budget by Source'!$A$6:$I$330,MATCH('Payment by Source'!$A172,'Budget by Source'!$A$6:$A$330,0),MATCH(U$3,'Budget by Source'!$A$5:$I$5,0))</f>
        <v>4153657</v>
      </c>
      <c r="V172" s="152">
        <f t="shared" si="7"/>
        <v>415366</v>
      </c>
      <c r="W172" s="152">
        <f t="shared" si="8"/>
        <v>4153660</v>
      </c>
    </row>
    <row r="173" spans="1:23" x14ac:dyDescent="0.2">
      <c r="A173" s="23" t="str">
        <f>Data!B169</f>
        <v>3798</v>
      </c>
      <c r="B173" s="21" t="str">
        <f>INDEX(Data[],MATCH($A173,Data[Dist],0),MATCH(B$5,Data[#Headers],0))</f>
        <v>Logan-Magnolia</v>
      </c>
      <c r="C173" s="22">
        <f>IF(Notes!$B$2="June",ROUND('Budget by Source'!C173/10,0)+P173,ROUND('Budget by Source'!C173/10,0))</f>
        <v>9882</v>
      </c>
      <c r="D173" s="22">
        <f>IF(Notes!$B$2="June",ROUND('Budget by Source'!D173/10,0)+Q173,ROUND('Budget by Source'!D173/10,0))</f>
        <v>39718</v>
      </c>
      <c r="E173" s="22">
        <f>IF(Notes!$B$2="June",ROUND('Budget by Source'!E173/10,0)+R173,ROUND('Budget by Source'!E173/10,0))</f>
        <v>4548</v>
      </c>
      <c r="F173" s="22">
        <f>IF(Notes!$B$2="June",ROUND('Budget by Source'!F173/10,0)+S173,ROUND('Budget by Source'!F173/10,0))</f>
        <v>4437</v>
      </c>
      <c r="G173" s="22">
        <f>IF(Notes!$B$2="June",ROUND('Budget by Source'!G173/10,0)+T173,ROUND('Budget by Source'!G173/10,0))</f>
        <v>22219</v>
      </c>
      <c r="H173" s="22">
        <f t="shared" si="6"/>
        <v>339269</v>
      </c>
      <c r="I173" s="22">
        <f>INDEX(Data[],MATCH($A173,Data[Dist],0),MATCH(I$5,Data[#Headers],0))</f>
        <v>420073</v>
      </c>
      <c r="K173" s="69">
        <f>INDEX('Payment Total'!$A$7:$H$331,MATCH('Payment by Source'!$A173,'Payment Total'!$A$7:$A$331,0),3)-I173</f>
        <v>0</v>
      </c>
      <c r="P173" s="154">
        <f>INDEX('Budget by Source'!$A$6:$I$330,MATCH('Payment by Source'!$A173,'Budget by Source'!$A$6:$A$330,0),MATCH(P$3,'Budget by Source'!$A$5:$I$5,0))-(ROUND(INDEX('Budget by Source'!$A$6:$I$330,MATCH('Payment by Source'!$A173,'Budget by Source'!$A$6:$A$330,0),MATCH(P$3,'Budget by Source'!$A$5:$I$5,0))/10,0)*10)</f>
        <v>4</v>
      </c>
      <c r="Q173" s="154">
        <f>INDEX('Budget by Source'!$A$6:$I$330,MATCH('Payment by Source'!$A173,'Budget by Source'!$A$6:$A$330,0),MATCH(Q$3,'Budget by Source'!$A$5:$I$5,0))-(ROUND(INDEX('Budget by Source'!$A$6:$I$330,MATCH('Payment by Source'!$A173,'Budget by Source'!$A$6:$A$330,0),MATCH(Q$3,'Budget by Source'!$A$5:$I$5,0))/10,0)*10)</f>
        <v>4</v>
      </c>
      <c r="R173" s="154">
        <f>INDEX('Budget by Source'!$A$6:$I$330,MATCH('Payment by Source'!$A173,'Budget by Source'!$A$6:$A$330,0),MATCH(R$3,'Budget by Source'!$A$5:$I$5,0))-(ROUND(INDEX('Budget by Source'!$A$6:$I$330,MATCH('Payment by Source'!$A173,'Budget by Source'!$A$6:$A$330,0),MATCH(R$3,'Budget by Source'!$A$5:$I$5,0))/10,0)*10)</f>
        <v>-3</v>
      </c>
      <c r="S173" s="154">
        <f>INDEX('Budget by Source'!$A$6:$I$330,MATCH('Payment by Source'!$A173,'Budget by Source'!$A$6:$A$330,0),MATCH(S$3,'Budget by Source'!$A$5:$I$5,0))-(ROUND(INDEX('Budget by Source'!$A$6:$I$330,MATCH('Payment by Source'!$A173,'Budget by Source'!$A$6:$A$330,0),MATCH(S$3,'Budget by Source'!$A$5:$I$5,0))/10,0)*10)</f>
        <v>-3</v>
      </c>
      <c r="T173" s="154">
        <f>INDEX('Budget by Source'!$A$6:$I$330,MATCH('Payment by Source'!$A173,'Budget by Source'!$A$6:$A$330,0),MATCH(T$3,'Budget by Source'!$A$5:$I$5,0))-(ROUND(INDEX('Budget by Source'!$A$6:$I$330,MATCH('Payment by Source'!$A173,'Budget by Source'!$A$6:$A$330,0),MATCH(T$3,'Budget by Source'!$A$5:$I$5,0))/10,0)*10)</f>
        <v>-3</v>
      </c>
      <c r="U173" s="155">
        <f>INDEX('Budget by Source'!$A$6:$I$330,MATCH('Payment by Source'!$A173,'Budget by Source'!$A$6:$A$330,0),MATCH(U$3,'Budget by Source'!$A$5:$I$5,0))</f>
        <v>3392693</v>
      </c>
      <c r="V173" s="152">
        <f t="shared" si="7"/>
        <v>339269</v>
      </c>
      <c r="W173" s="152">
        <f t="shared" si="8"/>
        <v>3392690</v>
      </c>
    </row>
    <row r="174" spans="1:23" x14ac:dyDescent="0.2">
      <c r="A174" s="23" t="str">
        <f>Data!B170</f>
        <v>3816</v>
      </c>
      <c r="B174" s="21" t="str">
        <f>INDEX(Data[],MATCH($A174,Data[Dist],0),MATCH(B$5,Data[#Headers],0))</f>
        <v>Lone Tree</v>
      </c>
      <c r="C174" s="22">
        <f>IF(Notes!$B$2="June",ROUND('Budget by Source'!C174/10,0)+P174,ROUND('Budget by Source'!C174/10,0))</f>
        <v>6462</v>
      </c>
      <c r="D174" s="22">
        <f>IF(Notes!$B$2="June",ROUND('Budget by Source'!D174/10,0)+Q174,ROUND('Budget by Source'!D174/10,0))</f>
        <v>23795</v>
      </c>
      <c r="E174" s="22">
        <f>IF(Notes!$B$2="June",ROUND('Budget by Source'!E174/10,0)+R174,ROUND('Budget by Source'!E174/10,0))</f>
        <v>2709</v>
      </c>
      <c r="F174" s="22">
        <f>IF(Notes!$B$2="June",ROUND('Budget by Source'!F174/10,0)+S174,ROUND('Budget by Source'!F174/10,0))</f>
        <v>2470</v>
      </c>
      <c r="G174" s="22">
        <f>IF(Notes!$B$2="June",ROUND('Budget by Source'!G174/10,0)+T174,ROUND('Budget by Source'!G174/10,0))</f>
        <v>12001</v>
      </c>
      <c r="H174" s="22">
        <f t="shared" si="6"/>
        <v>138983</v>
      </c>
      <c r="I174" s="22">
        <f>INDEX(Data[],MATCH($A174,Data[Dist],0),MATCH(I$5,Data[#Headers],0))</f>
        <v>186420</v>
      </c>
      <c r="K174" s="69">
        <f>INDEX('Payment Total'!$A$7:$H$331,MATCH('Payment by Source'!$A174,'Payment Total'!$A$7:$A$331,0),3)-I174</f>
        <v>0</v>
      </c>
      <c r="P174" s="154">
        <f>INDEX('Budget by Source'!$A$6:$I$330,MATCH('Payment by Source'!$A174,'Budget by Source'!$A$6:$A$330,0),MATCH(P$3,'Budget by Source'!$A$5:$I$5,0))-(ROUND(INDEX('Budget by Source'!$A$6:$I$330,MATCH('Payment by Source'!$A174,'Budget by Source'!$A$6:$A$330,0),MATCH(P$3,'Budget by Source'!$A$5:$I$5,0))/10,0)*10)</f>
        <v>-4</v>
      </c>
      <c r="Q174" s="154">
        <f>INDEX('Budget by Source'!$A$6:$I$330,MATCH('Payment by Source'!$A174,'Budget by Source'!$A$6:$A$330,0),MATCH(Q$3,'Budget by Source'!$A$5:$I$5,0))-(ROUND(INDEX('Budget by Source'!$A$6:$I$330,MATCH('Payment by Source'!$A174,'Budget by Source'!$A$6:$A$330,0),MATCH(Q$3,'Budget by Source'!$A$5:$I$5,0))/10,0)*10)</f>
        <v>0</v>
      </c>
      <c r="R174" s="154">
        <f>INDEX('Budget by Source'!$A$6:$I$330,MATCH('Payment by Source'!$A174,'Budget by Source'!$A$6:$A$330,0),MATCH(R$3,'Budget by Source'!$A$5:$I$5,0))-(ROUND(INDEX('Budget by Source'!$A$6:$I$330,MATCH('Payment by Source'!$A174,'Budget by Source'!$A$6:$A$330,0),MATCH(R$3,'Budget by Source'!$A$5:$I$5,0))/10,0)*10)</f>
        <v>-3</v>
      </c>
      <c r="S174" s="154">
        <f>INDEX('Budget by Source'!$A$6:$I$330,MATCH('Payment by Source'!$A174,'Budget by Source'!$A$6:$A$330,0),MATCH(S$3,'Budget by Source'!$A$5:$I$5,0))-(ROUND(INDEX('Budget by Source'!$A$6:$I$330,MATCH('Payment by Source'!$A174,'Budget by Source'!$A$6:$A$330,0),MATCH(S$3,'Budget by Source'!$A$5:$I$5,0))/10,0)*10)</f>
        <v>-1</v>
      </c>
      <c r="T174" s="154">
        <f>INDEX('Budget by Source'!$A$6:$I$330,MATCH('Payment by Source'!$A174,'Budget by Source'!$A$6:$A$330,0),MATCH(T$3,'Budget by Source'!$A$5:$I$5,0))-(ROUND(INDEX('Budget by Source'!$A$6:$I$330,MATCH('Payment by Source'!$A174,'Budget by Source'!$A$6:$A$330,0),MATCH(T$3,'Budget by Source'!$A$5:$I$5,0))/10,0)*10)</f>
        <v>-4</v>
      </c>
      <c r="U174" s="155">
        <f>INDEX('Budget by Source'!$A$6:$I$330,MATCH('Payment by Source'!$A174,'Budget by Source'!$A$6:$A$330,0),MATCH(U$3,'Budget by Source'!$A$5:$I$5,0))</f>
        <v>1389843</v>
      </c>
      <c r="V174" s="152">
        <f t="shared" si="7"/>
        <v>138984</v>
      </c>
      <c r="W174" s="152">
        <f t="shared" si="8"/>
        <v>1389840</v>
      </c>
    </row>
    <row r="175" spans="1:23" x14ac:dyDescent="0.2">
      <c r="A175" s="23" t="str">
        <f>Data!B171</f>
        <v>3841</v>
      </c>
      <c r="B175" s="21" t="str">
        <f>INDEX(Data[],MATCH($A175,Data[Dist],0),MATCH(B$5,Data[#Headers],0))</f>
        <v>Louisa-Muscatine</v>
      </c>
      <c r="C175" s="22">
        <f>IF(Notes!$B$2="June",ROUND('Budget by Source'!C175/10,0)+P175,ROUND('Budget by Source'!C175/10,0))</f>
        <v>15964</v>
      </c>
      <c r="D175" s="22">
        <f>IF(Notes!$B$2="June",ROUND('Budget by Source'!D175/10,0)+Q175,ROUND('Budget by Source'!D175/10,0))</f>
        <v>48372</v>
      </c>
      <c r="E175" s="22">
        <f>IF(Notes!$B$2="June",ROUND('Budget by Source'!E175/10,0)+R175,ROUND('Budget by Source'!E175/10,0))</f>
        <v>5209</v>
      </c>
      <c r="F175" s="22">
        <f>IF(Notes!$B$2="June",ROUND('Budget by Source'!F175/10,0)+S175,ROUND('Budget by Source'!F175/10,0))</f>
        <v>5588</v>
      </c>
      <c r="G175" s="22">
        <f>IF(Notes!$B$2="June",ROUND('Budget by Source'!G175/10,0)+T175,ROUND('Budget by Source'!G175/10,0))</f>
        <v>25325</v>
      </c>
      <c r="H175" s="22">
        <f t="shared" si="6"/>
        <v>357581</v>
      </c>
      <c r="I175" s="22">
        <f>INDEX(Data[],MATCH($A175,Data[Dist],0),MATCH(I$5,Data[#Headers],0))</f>
        <v>458039</v>
      </c>
      <c r="K175" s="69">
        <f>INDEX('Payment Total'!$A$7:$H$331,MATCH('Payment by Source'!$A175,'Payment Total'!$A$7:$A$331,0),3)-I175</f>
        <v>0</v>
      </c>
      <c r="P175" s="154">
        <f>INDEX('Budget by Source'!$A$6:$I$330,MATCH('Payment by Source'!$A175,'Budget by Source'!$A$6:$A$330,0),MATCH(P$3,'Budget by Source'!$A$5:$I$5,0))-(ROUND(INDEX('Budget by Source'!$A$6:$I$330,MATCH('Payment by Source'!$A175,'Budget by Source'!$A$6:$A$330,0),MATCH(P$3,'Budget by Source'!$A$5:$I$5,0))/10,0)*10)</f>
        <v>-2</v>
      </c>
      <c r="Q175" s="154">
        <f>INDEX('Budget by Source'!$A$6:$I$330,MATCH('Payment by Source'!$A175,'Budget by Source'!$A$6:$A$330,0),MATCH(Q$3,'Budget by Source'!$A$5:$I$5,0))-(ROUND(INDEX('Budget by Source'!$A$6:$I$330,MATCH('Payment by Source'!$A175,'Budget by Source'!$A$6:$A$330,0),MATCH(Q$3,'Budget by Source'!$A$5:$I$5,0))/10,0)*10)</f>
        <v>0</v>
      </c>
      <c r="R175" s="154">
        <f>INDEX('Budget by Source'!$A$6:$I$330,MATCH('Payment by Source'!$A175,'Budget by Source'!$A$6:$A$330,0),MATCH(R$3,'Budget by Source'!$A$5:$I$5,0))-(ROUND(INDEX('Budget by Source'!$A$6:$I$330,MATCH('Payment by Source'!$A175,'Budget by Source'!$A$6:$A$330,0),MATCH(R$3,'Budget by Source'!$A$5:$I$5,0))/10,0)*10)</f>
        <v>0</v>
      </c>
      <c r="S175" s="154">
        <f>INDEX('Budget by Source'!$A$6:$I$330,MATCH('Payment by Source'!$A175,'Budget by Source'!$A$6:$A$330,0),MATCH(S$3,'Budget by Source'!$A$5:$I$5,0))-(ROUND(INDEX('Budget by Source'!$A$6:$I$330,MATCH('Payment by Source'!$A175,'Budget by Source'!$A$6:$A$330,0),MATCH(S$3,'Budget by Source'!$A$5:$I$5,0))/10,0)*10)</f>
        <v>3</v>
      </c>
      <c r="T175" s="154">
        <f>INDEX('Budget by Source'!$A$6:$I$330,MATCH('Payment by Source'!$A175,'Budget by Source'!$A$6:$A$330,0),MATCH(T$3,'Budget by Source'!$A$5:$I$5,0))-(ROUND(INDEX('Budget by Source'!$A$6:$I$330,MATCH('Payment by Source'!$A175,'Budget by Source'!$A$6:$A$330,0),MATCH(T$3,'Budget by Source'!$A$5:$I$5,0))/10,0)*10)</f>
        <v>4</v>
      </c>
      <c r="U175" s="155">
        <f>INDEX('Budget by Source'!$A$6:$I$330,MATCH('Payment by Source'!$A175,'Budget by Source'!$A$6:$A$330,0),MATCH(U$3,'Budget by Source'!$A$5:$I$5,0))</f>
        <v>3575809</v>
      </c>
      <c r="V175" s="152">
        <f t="shared" si="7"/>
        <v>357581</v>
      </c>
      <c r="W175" s="152">
        <f t="shared" si="8"/>
        <v>3575810</v>
      </c>
    </row>
    <row r="176" spans="1:23" x14ac:dyDescent="0.2">
      <c r="A176" s="23" t="str">
        <f>Data!B172</f>
        <v>3906</v>
      </c>
      <c r="B176" s="21" t="str">
        <f>INDEX(Data[],MATCH($A176,Data[Dist],0),MATCH(B$5,Data[#Headers],0))</f>
        <v>Lynnville-Sully</v>
      </c>
      <c r="C176" s="22">
        <f>IF(Notes!$B$2="June",ROUND('Budget by Source'!C176/10,0)+P176,ROUND('Budget by Source'!C176/10,0))</f>
        <v>9882</v>
      </c>
      <c r="D176" s="22">
        <f>IF(Notes!$B$2="June",ROUND('Budget by Source'!D176/10,0)+Q176,ROUND('Budget by Source'!D176/10,0))</f>
        <v>30006</v>
      </c>
      <c r="E176" s="22">
        <f>IF(Notes!$B$2="June",ROUND('Budget by Source'!E176/10,0)+R176,ROUND('Budget by Source'!E176/10,0))</f>
        <v>3109</v>
      </c>
      <c r="F176" s="22">
        <f>IF(Notes!$B$2="June",ROUND('Budget by Source'!F176/10,0)+S176,ROUND('Budget by Source'!F176/10,0))</f>
        <v>3053</v>
      </c>
      <c r="G176" s="22">
        <f>IF(Notes!$B$2="June",ROUND('Budget by Source'!G176/10,0)+T176,ROUND('Budget by Source'!G176/10,0))</f>
        <v>16584</v>
      </c>
      <c r="H176" s="22">
        <f t="shared" si="6"/>
        <v>217190</v>
      </c>
      <c r="I176" s="22">
        <f>INDEX(Data[],MATCH($A176,Data[Dist],0),MATCH(I$5,Data[#Headers],0))</f>
        <v>279824</v>
      </c>
      <c r="K176" s="69">
        <f>INDEX('Payment Total'!$A$7:$H$331,MATCH('Payment by Source'!$A176,'Payment Total'!$A$7:$A$331,0),3)-I176</f>
        <v>0</v>
      </c>
      <c r="P176" s="154">
        <f>INDEX('Budget by Source'!$A$6:$I$330,MATCH('Payment by Source'!$A176,'Budget by Source'!$A$6:$A$330,0),MATCH(P$3,'Budget by Source'!$A$5:$I$5,0))-(ROUND(INDEX('Budget by Source'!$A$6:$I$330,MATCH('Payment by Source'!$A176,'Budget by Source'!$A$6:$A$330,0),MATCH(P$3,'Budget by Source'!$A$5:$I$5,0))/10,0)*10)</f>
        <v>4</v>
      </c>
      <c r="Q176" s="154">
        <f>INDEX('Budget by Source'!$A$6:$I$330,MATCH('Payment by Source'!$A176,'Budget by Source'!$A$6:$A$330,0),MATCH(Q$3,'Budget by Source'!$A$5:$I$5,0))-(ROUND(INDEX('Budget by Source'!$A$6:$I$330,MATCH('Payment by Source'!$A176,'Budget by Source'!$A$6:$A$330,0),MATCH(Q$3,'Budget by Source'!$A$5:$I$5,0))/10,0)*10)</f>
        <v>0</v>
      </c>
      <c r="R176" s="154">
        <f>INDEX('Budget by Source'!$A$6:$I$330,MATCH('Payment by Source'!$A176,'Budget by Source'!$A$6:$A$330,0),MATCH(R$3,'Budget by Source'!$A$5:$I$5,0))-(ROUND(INDEX('Budget by Source'!$A$6:$I$330,MATCH('Payment by Source'!$A176,'Budget by Source'!$A$6:$A$330,0),MATCH(R$3,'Budget by Source'!$A$5:$I$5,0))/10,0)*10)</f>
        <v>-4</v>
      </c>
      <c r="S176" s="154">
        <f>INDEX('Budget by Source'!$A$6:$I$330,MATCH('Payment by Source'!$A176,'Budget by Source'!$A$6:$A$330,0),MATCH(S$3,'Budget by Source'!$A$5:$I$5,0))-(ROUND(INDEX('Budget by Source'!$A$6:$I$330,MATCH('Payment by Source'!$A176,'Budget by Source'!$A$6:$A$330,0),MATCH(S$3,'Budget by Source'!$A$5:$I$5,0))/10,0)*10)</f>
        <v>-2</v>
      </c>
      <c r="T176" s="154">
        <f>INDEX('Budget by Source'!$A$6:$I$330,MATCH('Payment by Source'!$A176,'Budget by Source'!$A$6:$A$330,0),MATCH(T$3,'Budget by Source'!$A$5:$I$5,0))-(ROUND(INDEX('Budget by Source'!$A$6:$I$330,MATCH('Payment by Source'!$A176,'Budget by Source'!$A$6:$A$330,0),MATCH(T$3,'Budget by Source'!$A$5:$I$5,0))/10,0)*10)</f>
        <v>-1</v>
      </c>
      <c r="U176" s="155">
        <f>INDEX('Budget by Source'!$A$6:$I$330,MATCH('Payment by Source'!$A176,'Budget by Source'!$A$6:$A$330,0),MATCH(U$3,'Budget by Source'!$A$5:$I$5,0))</f>
        <v>2171902</v>
      </c>
      <c r="V176" s="152">
        <f t="shared" si="7"/>
        <v>217190</v>
      </c>
      <c r="W176" s="152">
        <f t="shared" si="8"/>
        <v>2171900</v>
      </c>
    </row>
    <row r="177" spans="1:23" x14ac:dyDescent="0.2">
      <c r="A177" s="23" t="str">
        <f>Data!B173</f>
        <v>3942</v>
      </c>
      <c r="B177" s="21" t="str">
        <f>INDEX(Data[],MATCH($A177,Data[Dist],0),MATCH(B$5,Data[#Headers],0))</f>
        <v>Madrid</v>
      </c>
      <c r="C177" s="22">
        <f>IF(Notes!$B$2="June",ROUND('Budget by Source'!C177/10,0)+P177,ROUND('Budget by Source'!C177/10,0))</f>
        <v>11023</v>
      </c>
      <c r="D177" s="22">
        <f>IF(Notes!$B$2="June",ROUND('Budget by Source'!D177/10,0)+Q177,ROUND('Budget by Source'!D177/10,0))</f>
        <v>43281</v>
      </c>
      <c r="E177" s="22">
        <f>IF(Notes!$B$2="June",ROUND('Budget by Source'!E177/10,0)+R177,ROUND('Budget by Source'!E177/10,0))</f>
        <v>5223</v>
      </c>
      <c r="F177" s="22">
        <f>IF(Notes!$B$2="June",ROUND('Budget by Source'!F177/10,0)+S177,ROUND('Budget by Source'!F177/10,0))</f>
        <v>4783</v>
      </c>
      <c r="G177" s="22">
        <f>IF(Notes!$B$2="June",ROUND('Budget by Source'!G177/10,0)+T177,ROUND('Budget by Source'!G177/10,0))</f>
        <v>24692</v>
      </c>
      <c r="H177" s="22">
        <f t="shared" si="6"/>
        <v>438390</v>
      </c>
      <c r="I177" s="22">
        <f>INDEX(Data[],MATCH($A177,Data[Dist],0),MATCH(I$5,Data[#Headers],0))</f>
        <v>527392</v>
      </c>
      <c r="K177" s="69">
        <f>INDEX('Payment Total'!$A$7:$H$331,MATCH('Payment by Source'!$A177,'Payment Total'!$A$7:$A$331,0),3)-I177</f>
        <v>0</v>
      </c>
      <c r="P177" s="154">
        <f>INDEX('Budget by Source'!$A$6:$I$330,MATCH('Payment by Source'!$A177,'Budget by Source'!$A$6:$A$330,0),MATCH(P$3,'Budget by Source'!$A$5:$I$5,0))-(ROUND(INDEX('Budget by Source'!$A$6:$I$330,MATCH('Payment by Source'!$A177,'Budget by Source'!$A$6:$A$330,0),MATCH(P$3,'Budget by Source'!$A$5:$I$5,0))/10,0)*10)</f>
        <v>-3</v>
      </c>
      <c r="Q177" s="154">
        <f>INDEX('Budget by Source'!$A$6:$I$330,MATCH('Payment by Source'!$A177,'Budget by Source'!$A$6:$A$330,0),MATCH(Q$3,'Budget by Source'!$A$5:$I$5,0))-(ROUND(INDEX('Budget by Source'!$A$6:$I$330,MATCH('Payment by Source'!$A177,'Budget by Source'!$A$6:$A$330,0),MATCH(Q$3,'Budget by Source'!$A$5:$I$5,0))/10,0)*10)</f>
        <v>-3</v>
      </c>
      <c r="R177" s="154">
        <f>INDEX('Budget by Source'!$A$6:$I$330,MATCH('Payment by Source'!$A177,'Budget by Source'!$A$6:$A$330,0),MATCH(R$3,'Budget by Source'!$A$5:$I$5,0))-(ROUND(INDEX('Budget by Source'!$A$6:$I$330,MATCH('Payment by Source'!$A177,'Budget by Source'!$A$6:$A$330,0),MATCH(R$3,'Budget by Source'!$A$5:$I$5,0))/10,0)*10)</f>
        <v>-3</v>
      </c>
      <c r="S177" s="154">
        <f>INDEX('Budget by Source'!$A$6:$I$330,MATCH('Payment by Source'!$A177,'Budget by Source'!$A$6:$A$330,0),MATCH(S$3,'Budget by Source'!$A$5:$I$5,0))-(ROUND(INDEX('Budget by Source'!$A$6:$I$330,MATCH('Payment by Source'!$A177,'Budget by Source'!$A$6:$A$330,0),MATCH(S$3,'Budget by Source'!$A$5:$I$5,0))/10,0)*10)</f>
        <v>1</v>
      </c>
      <c r="T177" s="154">
        <f>INDEX('Budget by Source'!$A$6:$I$330,MATCH('Payment by Source'!$A177,'Budget by Source'!$A$6:$A$330,0),MATCH(T$3,'Budget by Source'!$A$5:$I$5,0))-(ROUND(INDEX('Budget by Source'!$A$6:$I$330,MATCH('Payment by Source'!$A177,'Budget by Source'!$A$6:$A$330,0),MATCH(T$3,'Budget by Source'!$A$5:$I$5,0))/10,0)*10)</f>
        <v>-5</v>
      </c>
      <c r="U177" s="155">
        <f>INDEX('Budget by Source'!$A$6:$I$330,MATCH('Payment by Source'!$A177,'Budget by Source'!$A$6:$A$330,0),MATCH(U$3,'Budget by Source'!$A$5:$I$5,0))</f>
        <v>4383914</v>
      </c>
      <c r="V177" s="152">
        <f t="shared" si="7"/>
        <v>438391</v>
      </c>
      <c r="W177" s="152">
        <f t="shared" si="8"/>
        <v>4383910</v>
      </c>
    </row>
    <row r="178" spans="1:23" x14ac:dyDescent="0.2">
      <c r="A178" s="23" t="str">
        <f>Data!B174</f>
        <v>3978</v>
      </c>
      <c r="B178" s="21" t="str">
        <f>INDEX(Data[],MATCH($A178,Data[Dist],0),MATCH(B$5,Data[#Headers],0))</f>
        <v>East Mills</v>
      </c>
      <c r="C178" s="22">
        <f>IF(Notes!$B$2="June",ROUND('Budget by Source'!C178/10,0)+P178,ROUND('Budget by Source'!C178/10,0))</f>
        <v>9882</v>
      </c>
      <c r="D178" s="22">
        <f>IF(Notes!$B$2="June",ROUND('Budget by Source'!D178/10,0)+Q178,ROUND('Budget by Source'!D178/10,0))</f>
        <v>37549</v>
      </c>
      <c r="E178" s="22">
        <f>IF(Notes!$B$2="June",ROUND('Budget by Source'!E178/10,0)+R178,ROUND('Budget by Source'!E178/10,0))</f>
        <v>3855</v>
      </c>
      <c r="F178" s="22">
        <f>IF(Notes!$B$2="June",ROUND('Budget by Source'!F178/10,0)+S178,ROUND('Budget by Source'!F178/10,0))</f>
        <v>4187</v>
      </c>
      <c r="G178" s="22">
        <f>IF(Notes!$B$2="June",ROUND('Budget by Source'!G178/10,0)+T178,ROUND('Budget by Source'!G178/10,0))</f>
        <v>19477</v>
      </c>
      <c r="H178" s="22">
        <f t="shared" si="6"/>
        <v>250940</v>
      </c>
      <c r="I178" s="22">
        <f>INDEX(Data[],MATCH($A178,Data[Dist],0),MATCH(I$5,Data[#Headers],0))</f>
        <v>325890</v>
      </c>
      <c r="K178" s="69">
        <f>INDEX('Payment Total'!$A$7:$H$331,MATCH('Payment by Source'!$A178,'Payment Total'!$A$7:$A$331,0),3)-I178</f>
        <v>0</v>
      </c>
      <c r="P178" s="154">
        <f>INDEX('Budget by Source'!$A$6:$I$330,MATCH('Payment by Source'!$A178,'Budget by Source'!$A$6:$A$330,0),MATCH(P$3,'Budget by Source'!$A$5:$I$5,0))-(ROUND(INDEX('Budget by Source'!$A$6:$I$330,MATCH('Payment by Source'!$A178,'Budget by Source'!$A$6:$A$330,0),MATCH(P$3,'Budget by Source'!$A$5:$I$5,0))/10,0)*10)</f>
        <v>4</v>
      </c>
      <c r="Q178" s="154">
        <f>INDEX('Budget by Source'!$A$6:$I$330,MATCH('Payment by Source'!$A178,'Budget by Source'!$A$6:$A$330,0),MATCH(Q$3,'Budget by Source'!$A$5:$I$5,0))-(ROUND(INDEX('Budget by Source'!$A$6:$I$330,MATCH('Payment by Source'!$A178,'Budget by Source'!$A$6:$A$330,0),MATCH(Q$3,'Budget by Source'!$A$5:$I$5,0))/10,0)*10)</f>
        <v>-1</v>
      </c>
      <c r="R178" s="154">
        <f>INDEX('Budget by Source'!$A$6:$I$330,MATCH('Payment by Source'!$A178,'Budget by Source'!$A$6:$A$330,0),MATCH(R$3,'Budget by Source'!$A$5:$I$5,0))-(ROUND(INDEX('Budget by Source'!$A$6:$I$330,MATCH('Payment by Source'!$A178,'Budget by Source'!$A$6:$A$330,0),MATCH(R$3,'Budget by Source'!$A$5:$I$5,0))/10,0)*10)</f>
        <v>-1</v>
      </c>
      <c r="S178" s="154">
        <f>INDEX('Budget by Source'!$A$6:$I$330,MATCH('Payment by Source'!$A178,'Budget by Source'!$A$6:$A$330,0),MATCH(S$3,'Budget by Source'!$A$5:$I$5,0))-(ROUND(INDEX('Budget by Source'!$A$6:$I$330,MATCH('Payment by Source'!$A178,'Budget by Source'!$A$6:$A$330,0),MATCH(S$3,'Budget by Source'!$A$5:$I$5,0))/10,0)*10)</f>
        <v>3</v>
      </c>
      <c r="T178" s="154">
        <f>INDEX('Budget by Source'!$A$6:$I$330,MATCH('Payment by Source'!$A178,'Budget by Source'!$A$6:$A$330,0),MATCH(T$3,'Budget by Source'!$A$5:$I$5,0))-(ROUND(INDEX('Budget by Source'!$A$6:$I$330,MATCH('Payment by Source'!$A178,'Budget by Source'!$A$6:$A$330,0),MATCH(T$3,'Budget by Source'!$A$5:$I$5,0))/10,0)*10)</f>
        <v>-2</v>
      </c>
      <c r="U178" s="155">
        <f>INDEX('Budget by Source'!$A$6:$I$330,MATCH('Payment by Source'!$A178,'Budget by Source'!$A$6:$A$330,0),MATCH(U$3,'Budget by Source'!$A$5:$I$5,0))</f>
        <v>2509399</v>
      </c>
      <c r="V178" s="152">
        <f t="shared" si="7"/>
        <v>250940</v>
      </c>
      <c r="W178" s="152">
        <f t="shared" si="8"/>
        <v>2509400</v>
      </c>
    </row>
    <row r="179" spans="1:23" x14ac:dyDescent="0.2">
      <c r="A179" s="23" t="str">
        <f>Data!B175</f>
        <v>4023</v>
      </c>
      <c r="B179" s="21" t="str">
        <f>INDEX(Data[],MATCH($A179,Data[Dist],0),MATCH(B$5,Data[#Headers],0))</f>
        <v>Manson-Northwest Webster</v>
      </c>
      <c r="C179" s="22">
        <f>IF(Notes!$B$2="June",ROUND('Budget by Source'!C179/10,0)+P179,ROUND('Budget by Source'!C179/10,0))</f>
        <v>12923</v>
      </c>
      <c r="D179" s="22">
        <f>IF(Notes!$B$2="June",ROUND('Budget by Source'!D179/10,0)+Q179,ROUND('Budget by Source'!D179/10,0))</f>
        <v>45044</v>
      </c>
      <c r="E179" s="22">
        <f>IF(Notes!$B$2="June",ROUND('Budget by Source'!E179/10,0)+R179,ROUND('Budget by Source'!E179/10,0))</f>
        <v>4110</v>
      </c>
      <c r="F179" s="22">
        <f>IF(Notes!$B$2="June",ROUND('Budget by Source'!F179/10,0)+S179,ROUND('Budget by Source'!F179/10,0))</f>
        <v>4910</v>
      </c>
      <c r="G179" s="22">
        <f>IF(Notes!$B$2="June",ROUND('Budget by Source'!G179/10,0)+T179,ROUND('Budget by Source'!G179/10,0))</f>
        <v>24161</v>
      </c>
      <c r="H179" s="22">
        <f t="shared" si="6"/>
        <v>256515</v>
      </c>
      <c r="I179" s="22">
        <f>INDEX(Data[],MATCH($A179,Data[Dist],0),MATCH(I$5,Data[#Headers],0))</f>
        <v>347663</v>
      </c>
      <c r="K179" s="69">
        <f>INDEX('Payment Total'!$A$7:$H$331,MATCH('Payment by Source'!$A179,'Payment Total'!$A$7:$A$331,0),3)-I179</f>
        <v>0</v>
      </c>
      <c r="P179" s="154">
        <f>INDEX('Budget by Source'!$A$6:$I$330,MATCH('Payment by Source'!$A179,'Budget by Source'!$A$6:$A$330,0),MATCH(P$3,'Budget by Source'!$A$5:$I$5,0))-(ROUND(INDEX('Budget by Source'!$A$6:$I$330,MATCH('Payment by Source'!$A179,'Budget by Source'!$A$6:$A$330,0),MATCH(P$3,'Budget by Source'!$A$5:$I$5,0))/10,0)*10)</f>
        <v>1</v>
      </c>
      <c r="Q179" s="154">
        <f>INDEX('Budget by Source'!$A$6:$I$330,MATCH('Payment by Source'!$A179,'Budget by Source'!$A$6:$A$330,0),MATCH(Q$3,'Budget by Source'!$A$5:$I$5,0))-(ROUND(INDEX('Budget by Source'!$A$6:$I$330,MATCH('Payment by Source'!$A179,'Budget by Source'!$A$6:$A$330,0),MATCH(Q$3,'Budget by Source'!$A$5:$I$5,0))/10,0)*10)</f>
        <v>-3</v>
      </c>
      <c r="R179" s="154">
        <f>INDEX('Budget by Source'!$A$6:$I$330,MATCH('Payment by Source'!$A179,'Budget by Source'!$A$6:$A$330,0),MATCH(R$3,'Budget by Source'!$A$5:$I$5,0))-(ROUND(INDEX('Budget by Source'!$A$6:$I$330,MATCH('Payment by Source'!$A179,'Budget by Source'!$A$6:$A$330,0),MATCH(R$3,'Budget by Source'!$A$5:$I$5,0))/10,0)*10)</f>
        <v>0</v>
      </c>
      <c r="S179" s="154">
        <f>INDEX('Budget by Source'!$A$6:$I$330,MATCH('Payment by Source'!$A179,'Budget by Source'!$A$6:$A$330,0),MATCH(S$3,'Budget by Source'!$A$5:$I$5,0))-(ROUND(INDEX('Budget by Source'!$A$6:$I$330,MATCH('Payment by Source'!$A179,'Budget by Source'!$A$6:$A$330,0),MATCH(S$3,'Budget by Source'!$A$5:$I$5,0))/10,0)*10)</f>
        <v>4</v>
      </c>
      <c r="T179" s="154">
        <f>INDEX('Budget by Source'!$A$6:$I$330,MATCH('Payment by Source'!$A179,'Budget by Source'!$A$6:$A$330,0),MATCH(T$3,'Budget by Source'!$A$5:$I$5,0))-(ROUND(INDEX('Budget by Source'!$A$6:$I$330,MATCH('Payment by Source'!$A179,'Budget by Source'!$A$6:$A$330,0),MATCH(T$3,'Budget by Source'!$A$5:$I$5,0))/10,0)*10)</f>
        <v>-2</v>
      </c>
      <c r="U179" s="155">
        <f>INDEX('Budget by Source'!$A$6:$I$330,MATCH('Payment by Source'!$A179,'Budget by Source'!$A$6:$A$330,0),MATCH(U$3,'Budget by Source'!$A$5:$I$5,0))</f>
        <v>2565150</v>
      </c>
      <c r="V179" s="152">
        <f t="shared" si="7"/>
        <v>256515</v>
      </c>
      <c r="W179" s="152">
        <f t="shared" si="8"/>
        <v>2565150</v>
      </c>
    </row>
    <row r="180" spans="1:23" x14ac:dyDescent="0.2">
      <c r="A180" s="23" t="str">
        <f>Data!B176</f>
        <v>4033</v>
      </c>
      <c r="B180" s="21" t="str">
        <f>INDEX(Data[],MATCH($A180,Data[Dist],0),MATCH(B$5,Data[#Headers],0))</f>
        <v>Maple Valley-Anthon Oto</v>
      </c>
      <c r="C180" s="22">
        <f>IF(Notes!$B$2="June",ROUND('Budget by Source'!C180/10,0)+P180,ROUND('Budget by Source'!C180/10,0))</f>
        <v>13303</v>
      </c>
      <c r="D180" s="22">
        <f>IF(Notes!$B$2="June",ROUND('Budget by Source'!D180/10,0)+Q180,ROUND('Budget by Source'!D180/10,0))</f>
        <v>39569</v>
      </c>
      <c r="E180" s="22">
        <f>IF(Notes!$B$2="June",ROUND('Budget by Source'!E180/10,0)+R180,ROUND('Budget by Source'!E180/10,0))</f>
        <v>4046</v>
      </c>
      <c r="F180" s="22">
        <f>IF(Notes!$B$2="June",ROUND('Budget by Source'!F180/10,0)+S180,ROUND('Budget by Source'!F180/10,0))</f>
        <v>4181</v>
      </c>
      <c r="G180" s="22">
        <f>IF(Notes!$B$2="June",ROUND('Budget by Source'!G180/10,0)+T180,ROUND('Budget by Source'!G180/10,0))</f>
        <v>21887</v>
      </c>
      <c r="H180" s="22">
        <f t="shared" si="6"/>
        <v>236976</v>
      </c>
      <c r="I180" s="22">
        <f>INDEX(Data[],MATCH($A180,Data[Dist],0),MATCH(I$5,Data[#Headers],0))</f>
        <v>319962</v>
      </c>
      <c r="K180" s="69">
        <f>INDEX('Payment Total'!$A$7:$H$331,MATCH('Payment by Source'!$A180,'Payment Total'!$A$7:$A$331,0),3)-I180</f>
        <v>0</v>
      </c>
      <c r="P180" s="154">
        <f>INDEX('Budget by Source'!$A$6:$I$330,MATCH('Payment by Source'!$A180,'Budget by Source'!$A$6:$A$330,0),MATCH(P$3,'Budget by Source'!$A$5:$I$5,0))-(ROUND(INDEX('Budget by Source'!$A$6:$I$330,MATCH('Payment by Source'!$A180,'Budget by Source'!$A$6:$A$330,0),MATCH(P$3,'Budget by Source'!$A$5:$I$5,0))/10,0)*10)</f>
        <v>3</v>
      </c>
      <c r="Q180" s="154">
        <f>INDEX('Budget by Source'!$A$6:$I$330,MATCH('Payment by Source'!$A180,'Budget by Source'!$A$6:$A$330,0),MATCH(Q$3,'Budget by Source'!$A$5:$I$5,0))-(ROUND(INDEX('Budget by Source'!$A$6:$I$330,MATCH('Payment by Source'!$A180,'Budget by Source'!$A$6:$A$330,0),MATCH(Q$3,'Budget by Source'!$A$5:$I$5,0))/10,0)*10)</f>
        <v>0</v>
      </c>
      <c r="R180" s="154">
        <f>INDEX('Budget by Source'!$A$6:$I$330,MATCH('Payment by Source'!$A180,'Budget by Source'!$A$6:$A$330,0),MATCH(R$3,'Budget by Source'!$A$5:$I$5,0))-(ROUND(INDEX('Budget by Source'!$A$6:$I$330,MATCH('Payment by Source'!$A180,'Budget by Source'!$A$6:$A$330,0),MATCH(R$3,'Budget by Source'!$A$5:$I$5,0))/10,0)*10)</f>
        <v>-4</v>
      </c>
      <c r="S180" s="154">
        <f>INDEX('Budget by Source'!$A$6:$I$330,MATCH('Payment by Source'!$A180,'Budget by Source'!$A$6:$A$330,0),MATCH(S$3,'Budget by Source'!$A$5:$I$5,0))-(ROUND(INDEX('Budget by Source'!$A$6:$I$330,MATCH('Payment by Source'!$A180,'Budget by Source'!$A$6:$A$330,0),MATCH(S$3,'Budget by Source'!$A$5:$I$5,0))/10,0)*10)</f>
        <v>-1</v>
      </c>
      <c r="T180" s="154">
        <f>INDEX('Budget by Source'!$A$6:$I$330,MATCH('Payment by Source'!$A180,'Budget by Source'!$A$6:$A$330,0),MATCH(T$3,'Budget by Source'!$A$5:$I$5,0))-(ROUND(INDEX('Budget by Source'!$A$6:$I$330,MATCH('Payment by Source'!$A180,'Budget by Source'!$A$6:$A$330,0),MATCH(T$3,'Budget by Source'!$A$5:$I$5,0))/10,0)*10)</f>
        <v>-4</v>
      </c>
      <c r="U180" s="155">
        <f>INDEX('Budget by Source'!$A$6:$I$330,MATCH('Payment by Source'!$A180,'Budget by Source'!$A$6:$A$330,0),MATCH(U$3,'Budget by Source'!$A$5:$I$5,0))</f>
        <v>2369761</v>
      </c>
      <c r="V180" s="152">
        <f t="shared" si="7"/>
        <v>236976</v>
      </c>
      <c r="W180" s="152">
        <f t="shared" si="8"/>
        <v>2369760</v>
      </c>
    </row>
    <row r="181" spans="1:23" x14ac:dyDescent="0.2">
      <c r="A181" s="23" t="str">
        <f>Data!B177</f>
        <v>4041</v>
      </c>
      <c r="B181" s="21" t="str">
        <f>INDEX(Data[],MATCH($A181,Data[Dist],0),MATCH(B$5,Data[#Headers],0))</f>
        <v>Maquoketa</v>
      </c>
      <c r="C181" s="22">
        <f>IF(Notes!$B$2="June",ROUND('Budget by Source'!C181/10,0)+P181,ROUND('Budget by Source'!C181/10,0))</f>
        <v>26226</v>
      </c>
      <c r="D181" s="22">
        <f>IF(Notes!$B$2="June",ROUND('Budget by Source'!D181/10,0)+Q181,ROUND('Budget by Source'!D181/10,0))</f>
        <v>83056</v>
      </c>
      <c r="E181" s="22">
        <f>IF(Notes!$B$2="June",ROUND('Budget by Source'!E181/10,0)+R181,ROUND('Budget by Source'!E181/10,0))</f>
        <v>9989</v>
      </c>
      <c r="F181" s="22">
        <f>IF(Notes!$B$2="June",ROUND('Budget by Source'!F181/10,0)+S181,ROUND('Budget by Source'!F181/10,0))</f>
        <v>9681</v>
      </c>
      <c r="G181" s="22">
        <f>IF(Notes!$B$2="June",ROUND('Budget by Source'!G181/10,0)+T181,ROUND('Budget by Source'!G181/10,0))</f>
        <v>44553</v>
      </c>
      <c r="H181" s="22">
        <f t="shared" si="6"/>
        <v>805795</v>
      </c>
      <c r="I181" s="22">
        <f>INDEX(Data[],MATCH($A181,Data[Dist],0),MATCH(I$5,Data[#Headers],0))</f>
        <v>979300</v>
      </c>
      <c r="K181" s="69">
        <f>INDEX('Payment Total'!$A$7:$H$331,MATCH('Payment by Source'!$A181,'Payment Total'!$A$7:$A$331,0),3)-I181</f>
        <v>0</v>
      </c>
      <c r="P181" s="154">
        <f>INDEX('Budget by Source'!$A$6:$I$330,MATCH('Payment by Source'!$A181,'Budget by Source'!$A$6:$A$330,0),MATCH(P$3,'Budget by Source'!$A$5:$I$5,0))-(ROUND(INDEX('Budget by Source'!$A$6:$I$330,MATCH('Payment by Source'!$A181,'Budget by Source'!$A$6:$A$330,0),MATCH(P$3,'Budget by Source'!$A$5:$I$5,0))/10,0)*10)</f>
        <v>4</v>
      </c>
      <c r="Q181" s="154">
        <f>INDEX('Budget by Source'!$A$6:$I$330,MATCH('Payment by Source'!$A181,'Budget by Source'!$A$6:$A$330,0),MATCH(Q$3,'Budget by Source'!$A$5:$I$5,0))-(ROUND(INDEX('Budget by Source'!$A$6:$I$330,MATCH('Payment by Source'!$A181,'Budget by Source'!$A$6:$A$330,0),MATCH(Q$3,'Budget by Source'!$A$5:$I$5,0))/10,0)*10)</f>
        <v>1</v>
      </c>
      <c r="R181" s="154">
        <f>INDEX('Budget by Source'!$A$6:$I$330,MATCH('Payment by Source'!$A181,'Budget by Source'!$A$6:$A$330,0),MATCH(R$3,'Budget by Source'!$A$5:$I$5,0))-(ROUND(INDEX('Budget by Source'!$A$6:$I$330,MATCH('Payment by Source'!$A181,'Budget by Source'!$A$6:$A$330,0),MATCH(R$3,'Budget by Source'!$A$5:$I$5,0))/10,0)*10)</f>
        <v>0</v>
      </c>
      <c r="S181" s="154">
        <f>INDEX('Budget by Source'!$A$6:$I$330,MATCH('Payment by Source'!$A181,'Budget by Source'!$A$6:$A$330,0),MATCH(S$3,'Budget by Source'!$A$5:$I$5,0))-(ROUND(INDEX('Budget by Source'!$A$6:$I$330,MATCH('Payment by Source'!$A181,'Budget by Source'!$A$6:$A$330,0),MATCH(S$3,'Budget by Source'!$A$5:$I$5,0))/10,0)*10)</f>
        <v>4</v>
      </c>
      <c r="T181" s="154">
        <f>INDEX('Budget by Source'!$A$6:$I$330,MATCH('Payment by Source'!$A181,'Budget by Source'!$A$6:$A$330,0),MATCH(T$3,'Budget by Source'!$A$5:$I$5,0))-(ROUND(INDEX('Budget by Source'!$A$6:$I$330,MATCH('Payment by Source'!$A181,'Budget by Source'!$A$6:$A$330,0),MATCH(T$3,'Budget by Source'!$A$5:$I$5,0))/10,0)*10)</f>
        <v>3</v>
      </c>
      <c r="U181" s="155">
        <f>INDEX('Budget by Source'!$A$6:$I$330,MATCH('Payment by Source'!$A181,'Budget by Source'!$A$6:$A$330,0),MATCH(U$3,'Budget by Source'!$A$5:$I$5,0))</f>
        <v>8057935</v>
      </c>
      <c r="V181" s="152">
        <f t="shared" si="7"/>
        <v>805794</v>
      </c>
      <c r="W181" s="152">
        <f t="shared" si="8"/>
        <v>8057940</v>
      </c>
    </row>
    <row r="182" spans="1:23" x14ac:dyDescent="0.2">
      <c r="A182" s="23" t="str">
        <f>Data!B178</f>
        <v>4043</v>
      </c>
      <c r="B182" s="21" t="str">
        <f>INDEX(Data[],MATCH($A182,Data[Dist],0),MATCH(B$5,Data[#Headers],0))</f>
        <v>Maquoketa Valley</v>
      </c>
      <c r="C182" s="22">
        <f>IF(Notes!$B$2="June",ROUND('Budget by Source'!C182/10,0)+P182,ROUND('Budget by Source'!C182/10,0))</f>
        <v>14063</v>
      </c>
      <c r="D182" s="22">
        <f>IF(Notes!$B$2="June",ROUND('Budget by Source'!D182/10,0)+Q182,ROUND('Budget by Source'!D182/10,0))</f>
        <v>44261</v>
      </c>
      <c r="E182" s="22">
        <f>IF(Notes!$B$2="June",ROUND('Budget by Source'!E182/10,0)+R182,ROUND('Budget by Source'!E182/10,0))</f>
        <v>4833</v>
      </c>
      <c r="F182" s="22">
        <f>IF(Notes!$B$2="June",ROUND('Budget by Source'!F182/10,0)+S182,ROUND('Budget by Source'!F182/10,0))</f>
        <v>4896</v>
      </c>
      <c r="G182" s="22">
        <f>IF(Notes!$B$2="June",ROUND('Budget by Source'!G182/10,0)+T182,ROUND('Budget by Source'!G182/10,0))</f>
        <v>24437</v>
      </c>
      <c r="H182" s="22">
        <f t="shared" si="6"/>
        <v>289307</v>
      </c>
      <c r="I182" s="22">
        <f>INDEX(Data[],MATCH($A182,Data[Dist],0),MATCH(I$5,Data[#Headers],0))</f>
        <v>381797</v>
      </c>
      <c r="K182" s="69">
        <f>INDEX('Payment Total'!$A$7:$H$331,MATCH('Payment by Source'!$A182,'Payment Total'!$A$7:$A$331,0),3)-I182</f>
        <v>0</v>
      </c>
      <c r="P182" s="154">
        <f>INDEX('Budget by Source'!$A$6:$I$330,MATCH('Payment by Source'!$A182,'Budget by Source'!$A$6:$A$330,0),MATCH(P$3,'Budget by Source'!$A$5:$I$5,0))-(ROUND(INDEX('Budget by Source'!$A$6:$I$330,MATCH('Payment by Source'!$A182,'Budget by Source'!$A$6:$A$330,0),MATCH(P$3,'Budget by Source'!$A$5:$I$5,0))/10,0)*10)</f>
        <v>4</v>
      </c>
      <c r="Q182" s="154">
        <f>INDEX('Budget by Source'!$A$6:$I$330,MATCH('Payment by Source'!$A182,'Budget by Source'!$A$6:$A$330,0),MATCH(Q$3,'Budget by Source'!$A$5:$I$5,0))-(ROUND(INDEX('Budget by Source'!$A$6:$I$330,MATCH('Payment by Source'!$A182,'Budget by Source'!$A$6:$A$330,0),MATCH(Q$3,'Budget by Source'!$A$5:$I$5,0))/10,0)*10)</f>
        <v>3</v>
      </c>
      <c r="R182" s="154">
        <f>INDEX('Budget by Source'!$A$6:$I$330,MATCH('Payment by Source'!$A182,'Budget by Source'!$A$6:$A$330,0),MATCH(R$3,'Budget by Source'!$A$5:$I$5,0))-(ROUND(INDEX('Budget by Source'!$A$6:$I$330,MATCH('Payment by Source'!$A182,'Budget by Source'!$A$6:$A$330,0),MATCH(R$3,'Budget by Source'!$A$5:$I$5,0))/10,0)*10)</f>
        <v>3</v>
      </c>
      <c r="S182" s="154">
        <f>INDEX('Budget by Source'!$A$6:$I$330,MATCH('Payment by Source'!$A182,'Budget by Source'!$A$6:$A$330,0),MATCH(S$3,'Budget by Source'!$A$5:$I$5,0))-(ROUND(INDEX('Budget by Source'!$A$6:$I$330,MATCH('Payment by Source'!$A182,'Budget by Source'!$A$6:$A$330,0),MATCH(S$3,'Budget by Source'!$A$5:$I$5,0))/10,0)*10)</f>
        <v>-3</v>
      </c>
      <c r="T182" s="154">
        <f>INDEX('Budget by Source'!$A$6:$I$330,MATCH('Payment by Source'!$A182,'Budget by Source'!$A$6:$A$330,0),MATCH(T$3,'Budget by Source'!$A$5:$I$5,0))-(ROUND(INDEX('Budget by Source'!$A$6:$I$330,MATCH('Payment by Source'!$A182,'Budget by Source'!$A$6:$A$330,0),MATCH(T$3,'Budget by Source'!$A$5:$I$5,0))/10,0)*10)</f>
        <v>2</v>
      </c>
      <c r="U182" s="155">
        <f>INDEX('Budget by Source'!$A$6:$I$330,MATCH('Payment by Source'!$A182,'Budget by Source'!$A$6:$A$330,0),MATCH(U$3,'Budget by Source'!$A$5:$I$5,0))</f>
        <v>2893063</v>
      </c>
      <c r="V182" s="152">
        <f t="shared" si="7"/>
        <v>289306</v>
      </c>
      <c r="W182" s="152">
        <f t="shared" si="8"/>
        <v>2893060</v>
      </c>
    </row>
    <row r="183" spans="1:23" x14ac:dyDescent="0.2">
      <c r="A183" s="23" t="str">
        <f>Data!B179</f>
        <v>4068</v>
      </c>
      <c r="B183" s="21" t="str">
        <f>INDEX(Data[],MATCH($A183,Data[Dist],0),MATCH(B$5,Data[#Headers],0))</f>
        <v>Marcus-Meriden Cleghorn</v>
      </c>
      <c r="C183" s="22">
        <f>IF(Notes!$B$2="June",ROUND('Budget by Source'!C183/10,0)+P183,ROUND('Budget by Source'!C183/10,0))</f>
        <v>8742</v>
      </c>
      <c r="D183" s="22">
        <f>IF(Notes!$B$2="June",ROUND('Budget by Source'!D183/10,0)+Q183,ROUND('Budget by Source'!D183/10,0))</f>
        <v>32241</v>
      </c>
      <c r="E183" s="22">
        <f>IF(Notes!$B$2="June",ROUND('Budget by Source'!E183/10,0)+R183,ROUND('Budget by Source'!E183/10,0))</f>
        <v>2777</v>
      </c>
      <c r="F183" s="22">
        <f>IF(Notes!$B$2="June",ROUND('Budget by Source'!F183/10,0)+S183,ROUND('Budget by Source'!F183/10,0))</f>
        <v>3436</v>
      </c>
      <c r="G183" s="22">
        <f>IF(Notes!$B$2="June",ROUND('Budget by Source'!G183/10,0)+T183,ROUND('Budget by Source'!G183/10,0))</f>
        <v>17144</v>
      </c>
      <c r="H183" s="22">
        <f t="shared" si="6"/>
        <v>149096</v>
      </c>
      <c r="I183" s="22">
        <f>INDEX(Data[],MATCH($A183,Data[Dist],0),MATCH(I$5,Data[#Headers],0))</f>
        <v>213436</v>
      </c>
      <c r="K183" s="69">
        <f>INDEX('Payment Total'!$A$7:$H$331,MATCH('Payment by Source'!$A183,'Payment Total'!$A$7:$A$331,0),3)-I183</f>
        <v>0</v>
      </c>
      <c r="P183" s="154">
        <f>INDEX('Budget by Source'!$A$6:$I$330,MATCH('Payment by Source'!$A183,'Budget by Source'!$A$6:$A$330,0),MATCH(P$3,'Budget by Source'!$A$5:$I$5,0))-(ROUND(INDEX('Budget by Source'!$A$6:$I$330,MATCH('Payment by Source'!$A183,'Budget by Source'!$A$6:$A$330,0),MATCH(P$3,'Budget by Source'!$A$5:$I$5,0))/10,0)*10)</f>
        <v>2</v>
      </c>
      <c r="Q183" s="154">
        <f>INDEX('Budget by Source'!$A$6:$I$330,MATCH('Payment by Source'!$A183,'Budget by Source'!$A$6:$A$330,0),MATCH(Q$3,'Budget by Source'!$A$5:$I$5,0))-(ROUND(INDEX('Budget by Source'!$A$6:$I$330,MATCH('Payment by Source'!$A183,'Budget by Source'!$A$6:$A$330,0),MATCH(Q$3,'Budget by Source'!$A$5:$I$5,0))/10,0)*10)</f>
        <v>2</v>
      </c>
      <c r="R183" s="154">
        <f>INDEX('Budget by Source'!$A$6:$I$330,MATCH('Payment by Source'!$A183,'Budget by Source'!$A$6:$A$330,0),MATCH(R$3,'Budget by Source'!$A$5:$I$5,0))-(ROUND(INDEX('Budget by Source'!$A$6:$I$330,MATCH('Payment by Source'!$A183,'Budget by Source'!$A$6:$A$330,0),MATCH(R$3,'Budget by Source'!$A$5:$I$5,0))/10,0)*10)</f>
        <v>2</v>
      </c>
      <c r="S183" s="154">
        <f>INDEX('Budget by Source'!$A$6:$I$330,MATCH('Payment by Source'!$A183,'Budget by Source'!$A$6:$A$330,0),MATCH(S$3,'Budget by Source'!$A$5:$I$5,0))-(ROUND(INDEX('Budget by Source'!$A$6:$I$330,MATCH('Payment by Source'!$A183,'Budget by Source'!$A$6:$A$330,0),MATCH(S$3,'Budget by Source'!$A$5:$I$5,0))/10,0)*10)</f>
        <v>0</v>
      </c>
      <c r="T183" s="154">
        <f>INDEX('Budget by Source'!$A$6:$I$330,MATCH('Payment by Source'!$A183,'Budget by Source'!$A$6:$A$330,0),MATCH(T$3,'Budget by Source'!$A$5:$I$5,0))-(ROUND(INDEX('Budget by Source'!$A$6:$I$330,MATCH('Payment by Source'!$A183,'Budget by Source'!$A$6:$A$330,0),MATCH(T$3,'Budget by Source'!$A$5:$I$5,0))/10,0)*10)</f>
        <v>0</v>
      </c>
      <c r="U183" s="155">
        <f>INDEX('Budget by Source'!$A$6:$I$330,MATCH('Payment by Source'!$A183,'Budget by Source'!$A$6:$A$330,0),MATCH(U$3,'Budget by Source'!$A$5:$I$5,0))</f>
        <v>1490957</v>
      </c>
      <c r="V183" s="152">
        <f t="shared" si="7"/>
        <v>149096</v>
      </c>
      <c r="W183" s="152">
        <f t="shared" si="8"/>
        <v>1490960</v>
      </c>
    </row>
    <row r="184" spans="1:23" x14ac:dyDescent="0.2">
      <c r="A184" s="23" t="str">
        <f>Data!B180</f>
        <v>4086</v>
      </c>
      <c r="B184" s="21" t="str">
        <f>INDEX(Data[],MATCH($A184,Data[Dist],0),MATCH(B$5,Data[#Headers],0))</f>
        <v>Marion</v>
      </c>
      <c r="C184" s="22">
        <f>IF(Notes!$B$2="June",ROUND('Budget by Source'!C184/10,0)+P184,ROUND('Budget by Source'!C184/10,0))</f>
        <v>38769</v>
      </c>
      <c r="D184" s="22">
        <f>IF(Notes!$B$2="June",ROUND('Budget by Source'!D184/10,0)+Q184,ROUND('Budget by Source'!D184/10,0))</f>
        <v>122326</v>
      </c>
      <c r="E184" s="22">
        <f>IF(Notes!$B$2="June",ROUND('Budget by Source'!E184/10,0)+R184,ROUND('Budget by Source'!E184/10,0))</f>
        <v>14995</v>
      </c>
      <c r="F184" s="22">
        <f>IF(Notes!$B$2="June",ROUND('Budget by Source'!F184/10,0)+S184,ROUND('Budget by Source'!F184/10,0))</f>
        <v>14640</v>
      </c>
      <c r="G184" s="22">
        <f>IF(Notes!$B$2="June",ROUND('Budget by Source'!G184/10,0)+T184,ROUND('Budget by Source'!G184/10,0))</f>
        <v>66816</v>
      </c>
      <c r="H184" s="22">
        <f t="shared" si="6"/>
        <v>1210171</v>
      </c>
      <c r="I184" s="22">
        <f>INDEX(Data[],MATCH($A184,Data[Dist],0),MATCH(I$5,Data[#Headers],0))</f>
        <v>1467717</v>
      </c>
      <c r="K184" s="69">
        <f>INDEX('Payment Total'!$A$7:$H$331,MATCH('Payment by Source'!$A184,'Payment Total'!$A$7:$A$331,0),3)-I184</f>
        <v>0</v>
      </c>
      <c r="P184" s="154">
        <f>INDEX('Budget by Source'!$A$6:$I$330,MATCH('Payment by Source'!$A184,'Budget by Source'!$A$6:$A$330,0),MATCH(P$3,'Budget by Source'!$A$5:$I$5,0))-(ROUND(INDEX('Budget by Source'!$A$6:$I$330,MATCH('Payment by Source'!$A184,'Budget by Source'!$A$6:$A$330,0),MATCH(P$3,'Budget by Source'!$A$5:$I$5,0))/10,0)*10)</f>
        <v>3</v>
      </c>
      <c r="Q184" s="154">
        <f>INDEX('Budget by Source'!$A$6:$I$330,MATCH('Payment by Source'!$A184,'Budget by Source'!$A$6:$A$330,0),MATCH(Q$3,'Budget by Source'!$A$5:$I$5,0))-(ROUND(INDEX('Budget by Source'!$A$6:$I$330,MATCH('Payment by Source'!$A184,'Budget by Source'!$A$6:$A$330,0),MATCH(Q$3,'Budget by Source'!$A$5:$I$5,0))/10,0)*10)</f>
        <v>-1</v>
      </c>
      <c r="R184" s="154">
        <f>INDEX('Budget by Source'!$A$6:$I$330,MATCH('Payment by Source'!$A184,'Budget by Source'!$A$6:$A$330,0),MATCH(R$3,'Budget by Source'!$A$5:$I$5,0))-(ROUND(INDEX('Budget by Source'!$A$6:$I$330,MATCH('Payment by Source'!$A184,'Budget by Source'!$A$6:$A$330,0),MATCH(R$3,'Budget by Source'!$A$5:$I$5,0))/10,0)*10)</f>
        <v>2</v>
      </c>
      <c r="S184" s="154">
        <f>INDEX('Budget by Source'!$A$6:$I$330,MATCH('Payment by Source'!$A184,'Budget by Source'!$A$6:$A$330,0),MATCH(S$3,'Budget by Source'!$A$5:$I$5,0))-(ROUND(INDEX('Budget by Source'!$A$6:$I$330,MATCH('Payment by Source'!$A184,'Budget by Source'!$A$6:$A$330,0),MATCH(S$3,'Budget by Source'!$A$5:$I$5,0))/10,0)*10)</f>
        <v>4</v>
      </c>
      <c r="T184" s="154">
        <f>INDEX('Budget by Source'!$A$6:$I$330,MATCH('Payment by Source'!$A184,'Budget by Source'!$A$6:$A$330,0),MATCH(T$3,'Budget by Source'!$A$5:$I$5,0))-(ROUND(INDEX('Budget by Source'!$A$6:$I$330,MATCH('Payment by Source'!$A184,'Budget by Source'!$A$6:$A$330,0),MATCH(T$3,'Budget by Source'!$A$5:$I$5,0))/10,0)*10)</f>
        <v>-4</v>
      </c>
      <c r="U184" s="155">
        <f>INDEX('Budget by Source'!$A$6:$I$330,MATCH('Payment by Source'!$A184,'Budget by Source'!$A$6:$A$330,0),MATCH(U$3,'Budget by Source'!$A$5:$I$5,0))</f>
        <v>12101705</v>
      </c>
      <c r="V184" s="152">
        <f t="shared" si="7"/>
        <v>1210171</v>
      </c>
      <c r="W184" s="152">
        <f t="shared" si="8"/>
        <v>12101710</v>
      </c>
    </row>
    <row r="185" spans="1:23" x14ac:dyDescent="0.2">
      <c r="A185" s="23" t="str">
        <f>Data!B181</f>
        <v>4104</v>
      </c>
      <c r="B185" s="21" t="str">
        <f>INDEX(Data[],MATCH($A185,Data[Dist],0),MATCH(B$5,Data[#Headers],0))</f>
        <v>Marshalltown</v>
      </c>
      <c r="C185" s="22">
        <f>IF(Notes!$B$2="June",ROUND('Budget by Source'!C185/10,0)+P185,ROUND('Budget by Source'!C185/10,0))</f>
        <v>107946</v>
      </c>
      <c r="D185" s="22">
        <f>IF(Notes!$B$2="June",ROUND('Budget by Source'!D185/10,0)+Q185,ROUND('Budget by Source'!D185/10,0))</f>
        <v>341994</v>
      </c>
      <c r="E185" s="22">
        <f>IF(Notes!$B$2="June",ROUND('Budget by Source'!E185/10,0)+R185,ROUND('Budget by Source'!E185/10,0))</f>
        <v>51798</v>
      </c>
      <c r="F185" s="22">
        <f>IF(Notes!$B$2="June",ROUND('Budget by Source'!F185/10,0)+S185,ROUND('Budget by Source'!F185/10,0))</f>
        <v>38350</v>
      </c>
      <c r="G185" s="22">
        <f>IF(Notes!$B$2="June",ROUND('Budget by Source'!G185/10,0)+T185,ROUND('Budget by Source'!G185/10,0))</f>
        <v>198081</v>
      </c>
      <c r="H185" s="22">
        <f t="shared" si="6"/>
        <v>3929367</v>
      </c>
      <c r="I185" s="22">
        <f>INDEX(Data[],MATCH($A185,Data[Dist],0),MATCH(I$5,Data[#Headers],0))</f>
        <v>4667536</v>
      </c>
      <c r="K185" s="69">
        <f>INDEX('Payment Total'!$A$7:$H$331,MATCH('Payment by Source'!$A185,'Payment Total'!$A$7:$A$331,0),3)-I185</f>
        <v>0</v>
      </c>
      <c r="P185" s="154">
        <f>INDEX('Budget by Source'!$A$6:$I$330,MATCH('Payment by Source'!$A185,'Budget by Source'!$A$6:$A$330,0),MATCH(P$3,'Budget by Source'!$A$5:$I$5,0))-(ROUND(INDEX('Budget by Source'!$A$6:$I$330,MATCH('Payment by Source'!$A185,'Budget by Source'!$A$6:$A$330,0),MATCH(P$3,'Budget by Source'!$A$5:$I$5,0))/10,0)*10)</f>
        <v>0</v>
      </c>
      <c r="Q185" s="154">
        <f>INDEX('Budget by Source'!$A$6:$I$330,MATCH('Payment by Source'!$A185,'Budget by Source'!$A$6:$A$330,0),MATCH(Q$3,'Budget by Source'!$A$5:$I$5,0))-(ROUND(INDEX('Budget by Source'!$A$6:$I$330,MATCH('Payment by Source'!$A185,'Budget by Source'!$A$6:$A$330,0),MATCH(Q$3,'Budget by Source'!$A$5:$I$5,0))/10,0)*10)</f>
        <v>1</v>
      </c>
      <c r="R185" s="154">
        <f>INDEX('Budget by Source'!$A$6:$I$330,MATCH('Payment by Source'!$A185,'Budget by Source'!$A$6:$A$330,0),MATCH(R$3,'Budget by Source'!$A$5:$I$5,0))-(ROUND(INDEX('Budget by Source'!$A$6:$I$330,MATCH('Payment by Source'!$A185,'Budget by Source'!$A$6:$A$330,0),MATCH(R$3,'Budget by Source'!$A$5:$I$5,0))/10,0)*10)</f>
        <v>-1</v>
      </c>
      <c r="S185" s="154">
        <f>INDEX('Budget by Source'!$A$6:$I$330,MATCH('Payment by Source'!$A185,'Budget by Source'!$A$6:$A$330,0),MATCH(S$3,'Budget by Source'!$A$5:$I$5,0))-(ROUND(INDEX('Budget by Source'!$A$6:$I$330,MATCH('Payment by Source'!$A185,'Budget by Source'!$A$6:$A$330,0),MATCH(S$3,'Budget by Source'!$A$5:$I$5,0))/10,0)*10)</f>
        <v>-1</v>
      </c>
      <c r="T185" s="154">
        <f>INDEX('Budget by Source'!$A$6:$I$330,MATCH('Payment by Source'!$A185,'Budget by Source'!$A$6:$A$330,0),MATCH(T$3,'Budget by Source'!$A$5:$I$5,0))-(ROUND(INDEX('Budget by Source'!$A$6:$I$330,MATCH('Payment by Source'!$A185,'Budget by Source'!$A$6:$A$330,0),MATCH(T$3,'Budget by Source'!$A$5:$I$5,0))/10,0)*10)</f>
        <v>2</v>
      </c>
      <c r="U185" s="155">
        <f>INDEX('Budget by Source'!$A$6:$I$330,MATCH('Payment by Source'!$A185,'Budget by Source'!$A$6:$A$330,0),MATCH(U$3,'Budget by Source'!$A$5:$I$5,0))</f>
        <v>39293665</v>
      </c>
      <c r="V185" s="152">
        <f t="shared" si="7"/>
        <v>3929367</v>
      </c>
      <c r="W185" s="152">
        <f t="shared" si="8"/>
        <v>39293670</v>
      </c>
    </row>
    <row r="186" spans="1:23" x14ac:dyDescent="0.2">
      <c r="A186" s="23" t="str">
        <f>Data!B182</f>
        <v>4122</v>
      </c>
      <c r="B186" s="21" t="str">
        <f>INDEX(Data[],MATCH($A186,Data[Dist],0),MATCH(B$5,Data[#Headers],0))</f>
        <v>Martensdale-St Marys</v>
      </c>
      <c r="C186" s="22">
        <f>IF(Notes!$B$2="June",ROUND('Budget by Source'!C186/10,0)+P186,ROUND('Budget by Source'!C186/10,0))</f>
        <v>7222</v>
      </c>
      <c r="D186" s="22">
        <f>IF(Notes!$B$2="June",ROUND('Budget by Source'!D186/10,0)+Q186,ROUND('Budget by Source'!D186/10,0))</f>
        <v>33370</v>
      </c>
      <c r="E186" s="22">
        <f>IF(Notes!$B$2="June",ROUND('Budget by Source'!E186/10,0)+R186,ROUND('Budget by Source'!E186/10,0))</f>
        <v>3688</v>
      </c>
      <c r="F186" s="22">
        <f>IF(Notes!$B$2="June",ROUND('Budget by Source'!F186/10,0)+S186,ROUND('Budget by Source'!F186/10,0))</f>
        <v>3268</v>
      </c>
      <c r="G186" s="22">
        <f>IF(Notes!$B$2="June",ROUND('Budget by Source'!G186/10,0)+T186,ROUND('Budget by Source'!G186/10,0))</f>
        <v>18847</v>
      </c>
      <c r="H186" s="22">
        <f t="shared" si="6"/>
        <v>268061</v>
      </c>
      <c r="I186" s="22">
        <f>INDEX(Data[],MATCH($A186,Data[Dist],0),MATCH(I$5,Data[#Headers],0))</f>
        <v>334456</v>
      </c>
      <c r="K186" s="69">
        <f>INDEX('Payment Total'!$A$7:$H$331,MATCH('Payment by Source'!$A186,'Payment Total'!$A$7:$A$331,0),3)-I186</f>
        <v>0</v>
      </c>
      <c r="P186" s="154">
        <f>INDEX('Budget by Source'!$A$6:$I$330,MATCH('Payment by Source'!$A186,'Budget by Source'!$A$6:$A$330,0),MATCH(P$3,'Budget by Source'!$A$5:$I$5,0))-(ROUND(INDEX('Budget by Source'!$A$6:$I$330,MATCH('Payment by Source'!$A186,'Budget by Source'!$A$6:$A$330,0),MATCH(P$3,'Budget by Source'!$A$5:$I$5,0))/10,0)*10)</f>
        <v>-2</v>
      </c>
      <c r="Q186" s="154">
        <f>INDEX('Budget by Source'!$A$6:$I$330,MATCH('Payment by Source'!$A186,'Budget by Source'!$A$6:$A$330,0),MATCH(Q$3,'Budget by Source'!$A$5:$I$5,0))-(ROUND(INDEX('Budget by Source'!$A$6:$I$330,MATCH('Payment by Source'!$A186,'Budget by Source'!$A$6:$A$330,0),MATCH(Q$3,'Budget by Source'!$A$5:$I$5,0))/10,0)*10)</f>
        <v>-1</v>
      </c>
      <c r="R186" s="154">
        <f>INDEX('Budget by Source'!$A$6:$I$330,MATCH('Payment by Source'!$A186,'Budget by Source'!$A$6:$A$330,0),MATCH(R$3,'Budget by Source'!$A$5:$I$5,0))-(ROUND(INDEX('Budget by Source'!$A$6:$I$330,MATCH('Payment by Source'!$A186,'Budget by Source'!$A$6:$A$330,0),MATCH(R$3,'Budget by Source'!$A$5:$I$5,0))/10,0)*10)</f>
        <v>2</v>
      </c>
      <c r="S186" s="154">
        <f>INDEX('Budget by Source'!$A$6:$I$330,MATCH('Payment by Source'!$A186,'Budget by Source'!$A$6:$A$330,0),MATCH(S$3,'Budget by Source'!$A$5:$I$5,0))-(ROUND(INDEX('Budget by Source'!$A$6:$I$330,MATCH('Payment by Source'!$A186,'Budget by Source'!$A$6:$A$330,0),MATCH(S$3,'Budget by Source'!$A$5:$I$5,0))/10,0)*10)</f>
        <v>-2</v>
      </c>
      <c r="T186" s="154">
        <f>INDEX('Budget by Source'!$A$6:$I$330,MATCH('Payment by Source'!$A186,'Budget by Source'!$A$6:$A$330,0),MATCH(T$3,'Budget by Source'!$A$5:$I$5,0))-(ROUND(INDEX('Budget by Source'!$A$6:$I$330,MATCH('Payment by Source'!$A186,'Budget by Source'!$A$6:$A$330,0),MATCH(T$3,'Budget by Source'!$A$5:$I$5,0))/10,0)*10)</f>
        <v>-4</v>
      </c>
      <c r="U186" s="155">
        <f>INDEX('Budget by Source'!$A$6:$I$330,MATCH('Payment by Source'!$A186,'Budget by Source'!$A$6:$A$330,0),MATCH(U$3,'Budget by Source'!$A$5:$I$5,0))</f>
        <v>2680613</v>
      </c>
      <c r="V186" s="152">
        <f t="shared" si="7"/>
        <v>268061</v>
      </c>
      <c r="W186" s="152">
        <f t="shared" si="8"/>
        <v>2680610</v>
      </c>
    </row>
    <row r="187" spans="1:23" x14ac:dyDescent="0.2">
      <c r="A187" s="23" t="str">
        <f>Data!B183</f>
        <v>4131</v>
      </c>
      <c r="B187" s="21" t="str">
        <f>INDEX(Data[],MATCH($A187,Data[Dist],0),MATCH(B$5,Data[#Headers],0))</f>
        <v>Mason City</v>
      </c>
      <c r="C187" s="22">
        <f>IF(Notes!$B$2="June",ROUND('Budget by Source'!C187/10,0)+P187,ROUND('Budget by Source'!C187/10,0))</f>
        <v>68417</v>
      </c>
      <c r="D187" s="22">
        <f>IF(Notes!$B$2="June",ROUND('Budget by Source'!D187/10,0)+Q187,ROUND('Budget by Source'!D187/10,0))</f>
        <v>218514</v>
      </c>
      <c r="E187" s="22">
        <f>IF(Notes!$B$2="June",ROUND('Budget by Source'!E187/10,0)+R187,ROUND('Budget by Source'!E187/10,0))</f>
        <v>29082</v>
      </c>
      <c r="F187" s="22">
        <f>IF(Notes!$B$2="June",ROUND('Budget by Source'!F187/10,0)+S187,ROUND('Budget by Source'!F187/10,0))</f>
        <v>25807</v>
      </c>
      <c r="G187" s="22">
        <f>IF(Notes!$B$2="June",ROUND('Budget by Source'!G187/10,0)+T187,ROUND('Budget by Source'!G187/10,0))</f>
        <v>125470</v>
      </c>
      <c r="H187" s="22">
        <f t="shared" si="6"/>
        <v>1985153</v>
      </c>
      <c r="I187" s="22">
        <f>INDEX(Data[],MATCH($A187,Data[Dist],0),MATCH(I$5,Data[#Headers],0))</f>
        <v>2452443</v>
      </c>
      <c r="K187" s="69">
        <f>INDEX('Payment Total'!$A$7:$H$331,MATCH('Payment by Source'!$A187,'Payment Total'!$A$7:$A$331,0),3)-I187</f>
        <v>0</v>
      </c>
      <c r="P187" s="154">
        <f>INDEX('Budget by Source'!$A$6:$I$330,MATCH('Payment by Source'!$A187,'Budget by Source'!$A$6:$A$330,0),MATCH(P$3,'Budget by Source'!$A$5:$I$5,0))-(ROUND(INDEX('Budget by Source'!$A$6:$I$330,MATCH('Payment by Source'!$A187,'Budget by Source'!$A$6:$A$330,0),MATCH(P$3,'Budget by Source'!$A$5:$I$5,0))/10,0)*10)</f>
        <v>-5</v>
      </c>
      <c r="Q187" s="154">
        <f>INDEX('Budget by Source'!$A$6:$I$330,MATCH('Payment by Source'!$A187,'Budget by Source'!$A$6:$A$330,0),MATCH(Q$3,'Budget by Source'!$A$5:$I$5,0))-(ROUND(INDEX('Budget by Source'!$A$6:$I$330,MATCH('Payment by Source'!$A187,'Budget by Source'!$A$6:$A$330,0),MATCH(Q$3,'Budget by Source'!$A$5:$I$5,0))/10,0)*10)</f>
        <v>0</v>
      </c>
      <c r="R187" s="154">
        <f>INDEX('Budget by Source'!$A$6:$I$330,MATCH('Payment by Source'!$A187,'Budget by Source'!$A$6:$A$330,0),MATCH(R$3,'Budget by Source'!$A$5:$I$5,0))-(ROUND(INDEX('Budget by Source'!$A$6:$I$330,MATCH('Payment by Source'!$A187,'Budget by Source'!$A$6:$A$330,0),MATCH(R$3,'Budget by Source'!$A$5:$I$5,0))/10,0)*10)</f>
        <v>1</v>
      </c>
      <c r="S187" s="154">
        <f>INDEX('Budget by Source'!$A$6:$I$330,MATCH('Payment by Source'!$A187,'Budget by Source'!$A$6:$A$330,0),MATCH(S$3,'Budget by Source'!$A$5:$I$5,0))-(ROUND(INDEX('Budget by Source'!$A$6:$I$330,MATCH('Payment by Source'!$A187,'Budget by Source'!$A$6:$A$330,0),MATCH(S$3,'Budget by Source'!$A$5:$I$5,0))/10,0)*10)</f>
        <v>-1</v>
      </c>
      <c r="T187" s="154">
        <f>INDEX('Budget by Source'!$A$6:$I$330,MATCH('Payment by Source'!$A187,'Budget by Source'!$A$6:$A$330,0),MATCH(T$3,'Budget by Source'!$A$5:$I$5,0))-(ROUND(INDEX('Budget by Source'!$A$6:$I$330,MATCH('Payment by Source'!$A187,'Budget by Source'!$A$6:$A$330,0),MATCH(T$3,'Budget by Source'!$A$5:$I$5,0))/10,0)*10)</f>
        <v>-3</v>
      </c>
      <c r="U187" s="155">
        <f>INDEX('Budget by Source'!$A$6:$I$330,MATCH('Payment by Source'!$A187,'Budget by Source'!$A$6:$A$330,0),MATCH(U$3,'Budget by Source'!$A$5:$I$5,0))</f>
        <v>19851535</v>
      </c>
      <c r="V187" s="152">
        <f t="shared" si="7"/>
        <v>1985154</v>
      </c>
      <c r="W187" s="152">
        <f t="shared" si="8"/>
        <v>19851540</v>
      </c>
    </row>
    <row r="188" spans="1:23" x14ac:dyDescent="0.2">
      <c r="A188" s="23" t="str">
        <f>Data!B184</f>
        <v>4149</v>
      </c>
      <c r="B188" s="21" t="str">
        <f>INDEX(Data[],MATCH($A188,Data[Dist],0),MATCH(B$5,Data[#Headers],0))</f>
        <v>Moc-Floyd Valley</v>
      </c>
      <c r="C188" s="22">
        <f>IF(Notes!$B$2="June",ROUND('Budget by Source'!C188/10,0)+P188,ROUND('Budget by Source'!C188/10,0))</f>
        <v>23186</v>
      </c>
      <c r="D188" s="22">
        <f>IF(Notes!$B$2="June",ROUND('Budget by Source'!D188/10,0)+Q188,ROUND('Budget by Source'!D188/10,0))</f>
        <v>97876</v>
      </c>
      <c r="E188" s="22">
        <f>IF(Notes!$B$2="June",ROUND('Budget by Source'!E188/10,0)+R188,ROUND('Budget by Source'!E188/10,0))</f>
        <v>11372</v>
      </c>
      <c r="F188" s="22">
        <f>IF(Notes!$B$2="June",ROUND('Budget by Source'!F188/10,0)+S188,ROUND('Budget by Source'!F188/10,0))</f>
        <v>11633</v>
      </c>
      <c r="G188" s="22">
        <f>IF(Notes!$B$2="June",ROUND('Budget by Source'!G188/10,0)+T188,ROUND('Budget by Source'!G188/10,0))</f>
        <v>55873</v>
      </c>
      <c r="H188" s="22">
        <f t="shared" si="6"/>
        <v>782225</v>
      </c>
      <c r="I188" s="22">
        <f>INDEX(Data[],MATCH($A188,Data[Dist],0),MATCH(I$5,Data[#Headers],0))</f>
        <v>982165</v>
      </c>
      <c r="K188" s="69">
        <f>INDEX('Payment Total'!$A$7:$H$331,MATCH('Payment by Source'!$A188,'Payment Total'!$A$7:$A$331,0),3)-I188</f>
        <v>0</v>
      </c>
      <c r="P188" s="154">
        <f>INDEX('Budget by Source'!$A$6:$I$330,MATCH('Payment by Source'!$A188,'Budget by Source'!$A$6:$A$330,0),MATCH(P$3,'Budget by Source'!$A$5:$I$5,0))-(ROUND(INDEX('Budget by Source'!$A$6:$I$330,MATCH('Payment by Source'!$A188,'Budget by Source'!$A$6:$A$330,0),MATCH(P$3,'Budget by Source'!$A$5:$I$5,0))/10,0)*10)</f>
        <v>-4</v>
      </c>
      <c r="Q188" s="154">
        <f>INDEX('Budget by Source'!$A$6:$I$330,MATCH('Payment by Source'!$A188,'Budget by Source'!$A$6:$A$330,0),MATCH(Q$3,'Budget by Source'!$A$5:$I$5,0))-(ROUND(INDEX('Budget by Source'!$A$6:$I$330,MATCH('Payment by Source'!$A188,'Budget by Source'!$A$6:$A$330,0),MATCH(Q$3,'Budget by Source'!$A$5:$I$5,0))/10,0)*10)</f>
        <v>4</v>
      </c>
      <c r="R188" s="154">
        <f>INDEX('Budget by Source'!$A$6:$I$330,MATCH('Payment by Source'!$A188,'Budget by Source'!$A$6:$A$330,0),MATCH(R$3,'Budget by Source'!$A$5:$I$5,0))-(ROUND(INDEX('Budget by Source'!$A$6:$I$330,MATCH('Payment by Source'!$A188,'Budget by Source'!$A$6:$A$330,0),MATCH(R$3,'Budget by Source'!$A$5:$I$5,0))/10,0)*10)</f>
        <v>3</v>
      </c>
      <c r="S188" s="154">
        <f>INDEX('Budget by Source'!$A$6:$I$330,MATCH('Payment by Source'!$A188,'Budget by Source'!$A$6:$A$330,0),MATCH(S$3,'Budget by Source'!$A$5:$I$5,0))-(ROUND(INDEX('Budget by Source'!$A$6:$I$330,MATCH('Payment by Source'!$A188,'Budget by Source'!$A$6:$A$330,0),MATCH(S$3,'Budget by Source'!$A$5:$I$5,0))/10,0)*10)</f>
        <v>0</v>
      </c>
      <c r="T188" s="154">
        <f>INDEX('Budget by Source'!$A$6:$I$330,MATCH('Payment by Source'!$A188,'Budget by Source'!$A$6:$A$330,0),MATCH(T$3,'Budget by Source'!$A$5:$I$5,0))-(ROUND(INDEX('Budget by Source'!$A$6:$I$330,MATCH('Payment by Source'!$A188,'Budget by Source'!$A$6:$A$330,0),MATCH(T$3,'Budget by Source'!$A$5:$I$5,0))/10,0)*10)</f>
        <v>-2</v>
      </c>
      <c r="U188" s="155">
        <f>INDEX('Budget by Source'!$A$6:$I$330,MATCH('Payment by Source'!$A188,'Budget by Source'!$A$6:$A$330,0),MATCH(U$3,'Budget by Source'!$A$5:$I$5,0))</f>
        <v>7822253</v>
      </c>
      <c r="V188" s="152">
        <f t="shared" si="7"/>
        <v>782225</v>
      </c>
      <c r="W188" s="152">
        <f t="shared" si="8"/>
        <v>7822250</v>
      </c>
    </row>
    <row r="189" spans="1:23" x14ac:dyDescent="0.2">
      <c r="A189" s="23" t="str">
        <f>Data!B185</f>
        <v>4203</v>
      </c>
      <c r="B189" s="21" t="str">
        <f>INDEX(Data[],MATCH($A189,Data[Dist],0),MATCH(B$5,Data[#Headers],0))</f>
        <v>Mediapolis</v>
      </c>
      <c r="C189" s="22">
        <f>IF(Notes!$B$2="June",ROUND('Budget by Source'!C189/10,0)+P189,ROUND('Budget by Source'!C189/10,0))</f>
        <v>0</v>
      </c>
      <c r="D189" s="22">
        <f>IF(Notes!$B$2="June",ROUND('Budget by Source'!D189/10,0)+Q189,ROUND('Budget by Source'!D189/10,0))</f>
        <v>58009</v>
      </c>
      <c r="E189" s="22">
        <f>IF(Notes!$B$2="June",ROUND('Budget by Source'!E189/10,0)+R189,ROUND('Budget by Source'!E189/10,0))</f>
        <v>6157</v>
      </c>
      <c r="F189" s="22">
        <f>IF(Notes!$B$2="June",ROUND('Budget by Source'!F189/10,0)+S189,ROUND('Budget by Source'!F189/10,0))</f>
        <v>5808</v>
      </c>
      <c r="G189" s="22">
        <f>IF(Notes!$B$2="June",ROUND('Budget by Source'!G189/10,0)+T189,ROUND('Budget by Source'!G189/10,0))</f>
        <v>32257</v>
      </c>
      <c r="H189" s="22">
        <f t="shared" si="6"/>
        <v>456798</v>
      </c>
      <c r="I189" s="22">
        <f>INDEX(Data[],MATCH($A189,Data[Dist],0),MATCH(I$5,Data[#Headers],0))</f>
        <v>559029</v>
      </c>
      <c r="K189" s="69">
        <f>INDEX('Payment Total'!$A$7:$H$331,MATCH('Payment by Source'!$A189,'Payment Total'!$A$7:$A$331,0),3)-I189</f>
        <v>0</v>
      </c>
      <c r="P189" s="154">
        <f>INDEX('Budget by Source'!$A$6:$I$330,MATCH('Payment by Source'!$A189,'Budget by Source'!$A$6:$A$330,0),MATCH(P$3,'Budget by Source'!$A$5:$I$5,0))-(ROUND(INDEX('Budget by Source'!$A$6:$I$330,MATCH('Payment by Source'!$A189,'Budget by Source'!$A$6:$A$330,0),MATCH(P$3,'Budget by Source'!$A$5:$I$5,0))/10,0)*10)</f>
        <v>0</v>
      </c>
      <c r="Q189" s="154">
        <f>INDEX('Budget by Source'!$A$6:$I$330,MATCH('Payment by Source'!$A189,'Budget by Source'!$A$6:$A$330,0),MATCH(Q$3,'Budget by Source'!$A$5:$I$5,0))-(ROUND(INDEX('Budget by Source'!$A$6:$I$330,MATCH('Payment by Source'!$A189,'Budget by Source'!$A$6:$A$330,0),MATCH(Q$3,'Budget by Source'!$A$5:$I$5,0))/10,0)*10)</f>
        <v>-2</v>
      </c>
      <c r="R189" s="154">
        <f>INDEX('Budget by Source'!$A$6:$I$330,MATCH('Payment by Source'!$A189,'Budget by Source'!$A$6:$A$330,0),MATCH(R$3,'Budget by Source'!$A$5:$I$5,0))-(ROUND(INDEX('Budget by Source'!$A$6:$I$330,MATCH('Payment by Source'!$A189,'Budget by Source'!$A$6:$A$330,0),MATCH(R$3,'Budget by Source'!$A$5:$I$5,0))/10,0)*10)</f>
        <v>-1</v>
      </c>
      <c r="S189" s="154">
        <f>INDEX('Budget by Source'!$A$6:$I$330,MATCH('Payment by Source'!$A189,'Budget by Source'!$A$6:$A$330,0),MATCH(S$3,'Budget by Source'!$A$5:$I$5,0))-(ROUND(INDEX('Budget by Source'!$A$6:$I$330,MATCH('Payment by Source'!$A189,'Budget by Source'!$A$6:$A$330,0),MATCH(S$3,'Budget by Source'!$A$5:$I$5,0))/10,0)*10)</f>
        <v>-4</v>
      </c>
      <c r="T189" s="154">
        <f>INDEX('Budget by Source'!$A$6:$I$330,MATCH('Payment by Source'!$A189,'Budget by Source'!$A$6:$A$330,0),MATCH(T$3,'Budget by Source'!$A$5:$I$5,0))-(ROUND(INDEX('Budget by Source'!$A$6:$I$330,MATCH('Payment by Source'!$A189,'Budget by Source'!$A$6:$A$330,0),MATCH(T$3,'Budget by Source'!$A$5:$I$5,0))/10,0)*10)</f>
        <v>4</v>
      </c>
      <c r="U189" s="155">
        <f>INDEX('Budget by Source'!$A$6:$I$330,MATCH('Payment by Source'!$A189,'Budget by Source'!$A$6:$A$330,0),MATCH(U$3,'Budget by Source'!$A$5:$I$5,0))</f>
        <v>4567987</v>
      </c>
      <c r="V189" s="152">
        <f t="shared" si="7"/>
        <v>456799</v>
      </c>
      <c r="W189" s="152">
        <f t="shared" si="8"/>
        <v>4567990</v>
      </c>
    </row>
    <row r="190" spans="1:23" x14ac:dyDescent="0.2">
      <c r="A190" s="23" t="str">
        <f>Data!B186</f>
        <v>4212</v>
      </c>
      <c r="B190" s="21" t="str">
        <f>INDEX(Data[],MATCH($A190,Data[Dist],0),MATCH(B$5,Data[#Headers],0))</f>
        <v>Melcher-Dallas</v>
      </c>
      <c r="C190" s="22">
        <f>IF(Notes!$B$2="June",ROUND('Budget by Source'!C190/10,0)+P190,ROUND('Budget by Source'!C190/10,0))</f>
        <v>7982</v>
      </c>
      <c r="D190" s="22">
        <f>IF(Notes!$B$2="June",ROUND('Budget by Source'!D190/10,0)+Q190,ROUND('Budget by Source'!D190/10,0))</f>
        <v>23223</v>
      </c>
      <c r="E190" s="22">
        <f>IF(Notes!$B$2="June",ROUND('Budget by Source'!E190/10,0)+R190,ROUND('Budget by Source'!E190/10,0))</f>
        <v>2865</v>
      </c>
      <c r="F190" s="22">
        <f>IF(Notes!$B$2="June",ROUND('Budget by Source'!F190/10,0)+S190,ROUND('Budget by Source'!F190/10,0))</f>
        <v>2424</v>
      </c>
      <c r="G190" s="22">
        <f>IF(Notes!$B$2="June",ROUND('Budget by Source'!G190/10,0)+T190,ROUND('Budget by Source'!G190/10,0))</f>
        <v>11450</v>
      </c>
      <c r="H190" s="22">
        <f t="shared" si="6"/>
        <v>202027</v>
      </c>
      <c r="I190" s="22">
        <f>INDEX(Data[],MATCH($A190,Data[Dist],0),MATCH(I$5,Data[#Headers],0))</f>
        <v>249971</v>
      </c>
      <c r="K190" s="69">
        <f>INDEX('Payment Total'!$A$7:$H$331,MATCH('Payment by Source'!$A190,'Payment Total'!$A$7:$A$331,0),3)-I190</f>
        <v>0</v>
      </c>
      <c r="P190" s="154">
        <f>INDEX('Budget by Source'!$A$6:$I$330,MATCH('Payment by Source'!$A190,'Budget by Source'!$A$6:$A$330,0),MATCH(P$3,'Budget by Source'!$A$5:$I$5,0))-(ROUND(INDEX('Budget by Source'!$A$6:$I$330,MATCH('Payment by Source'!$A190,'Budget by Source'!$A$6:$A$330,0),MATCH(P$3,'Budget by Source'!$A$5:$I$5,0))/10,0)*10)</f>
        <v>0</v>
      </c>
      <c r="Q190" s="154">
        <f>INDEX('Budget by Source'!$A$6:$I$330,MATCH('Payment by Source'!$A190,'Budget by Source'!$A$6:$A$330,0),MATCH(Q$3,'Budget by Source'!$A$5:$I$5,0))-(ROUND(INDEX('Budget by Source'!$A$6:$I$330,MATCH('Payment by Source'!$A190,'Budget by Source'!$A$6:$A$330,0),MATCH(Q$3,'Budget by Source'!$A$5:$I$5,0))/10,0)*10)</f>
        <v>4</v>
      </c>
      <c r="R190" s="154">
        <f>INDEX('Budget by Source'!$A$6:$I$330,MATCH('Payment by Source'!$A190,'Budget by Source'!$A$6:$A$330,0),MATCH(R$3,'Budget by Source'!$A$5:$I$5,0))-(ROUND(INDEX('Budget by Source'!$A$6:$I$330,MATCH('Payment by Source'!$A190,'Budget by Source'!$A$6:$A$330,0),MATCH(R$3,'Budget by Source'!$A$5:$I$5,0))/10,0)*10)</f>
        <v>3</v>
      </c>
      <c r="S190" s="154">
        <f>INDEX('Budget by Source'!$A$6:$I$330,MATCH('Payment by Source'!$A190,'Budget by Source'!$A$6:$A$330,0),MATCH(S$3,'Budget by Source'!$A$5:$I$5,0))-(ROUND(INDEX('Budget by Source'!$A$6:$I$330,MATCH('Payment by Source'!$A190,'Budget by Source'!$A$6:$A$330,0),MATCH(S$3,'Budget by Source'!$A$5:$I$5,0))/10,0)*10)</f>
        <v>0</v>
      </c>
      <c r="T190" s="154">
        <f>INDEX('Budget by Source'!$A$6:$I$330,MATCH('Payment by Source'!$A190,'Budget by Source'!$A$6:$A$330,0),MATCH(T$3,'Budget by Source'!$A$5:$I$5,0))-(ROUND(INDEX('Budget by Source'!$A$6:$I$330,MATCH('Payment by Source'!$A190,'Budget by Source'!$A$6:$A$330,0),MATCH(T$3,'Budget by Source'!$A$5:$I$5,0))/10,0)*10)</f>
        <v>-4</v>
      </c>
      <c r="U190" s="155">
        <f>INDEX('Budget by Source'!$A$6:$I$330,MATCH('Payment by Source'!$A190,'Budget by Source'!$A$6:$A$330,0),MATCH(U$3,'Budget by Source'!$A$5:$I$5,0))</f>
        <v>2020263</v>
      </c>
      <c r="V190" s="152">
        <f t="shared" si="7"/>
        <v>202026</v>
      </c>
      <c r="W190" s="152">
        <f t="shared" si="8"/>
        <v>2020260</v>
      </c>
    </row>
    <row r="191" spans="1:23" x14ac:dyDescent="0.2">
      <c r="A191" s="23" t="str">
        <f>Data!B187</f>
        <v>4269</v>
      </c>
      <c r="B191" s="21" t="str">
        <f>INDEX(Data[],MATCH($A191,Data[Dist],0),MATCH(B$5,Data[#Headers],0))</f>
        <v>Midland</v>
      </c>
      <c r="C191" s="22">
        <f>IF(Notes!$B$2="June",ROUND('Budget by Source'!C191/10,0)+P191,ROUND('Budget by Source'!C191/10,0))</f>
        <v>7991</v>
      </c>
      <c r="D191" s="22">
        <f>IF(Notes!$B$2="June",ROUND('Budget by Source'!D191/10,0)+Q191,ROUND('Budget by Source'!D191/10,0))</f>
        <v>35176</v>
      </c>
      <c r="E191" s="22">
        <f>IF(Notes!$B$2="June",ROUND('Budget by Source'!E191/10,0)+R191,ROUND('Budget by Source'!E191/10,0))</f>
        <v>3777</v>
      </c>
      <c r="F191" s="22">
        <f>IF(Notes!$B$2="June",ROUND('Budget by Source'!F191/10,0)+S191,ROUND('Budget by Source'!F191/10,0))</f>
        <v>3550</v>
      </c>
      <c r="G191" s="22">
        <f>IF(Notes!$B$2="June",ROUND('Budget by Source'!G191/10,0)+T191,ROUND('Budget by Source'!G191/10,0))</f>
        <v>18493</v>
      </c>
      <c r="H191" s="22">
        <f t="shared" si="6"/>
        <v>247102</v>
      </c>
      <c r="I191" s="22">
        <f>INDEX(Data[],MATCH($A191,Data[Dist],0),MATCH(I$5,Data[#Headers],0))</f>
        <v>316089</v>
      </c>
      <c r="K191" s="69">
        <f>INDEX('Payment Total'!$A$7:$H$331,MATCH('Payment by Source'!$A191,'Payment Total'!$A$7:$A$331,0),3)-I191</f>
        <v>0</v>
      </c>
      <c r="P191" s="154">
        <f>INDEX('Budget by Source'!$A$6:$I$330,MATCH('Payment by Source'!$A191,'Budget by Source'!$A$6:$A$330,0),MATCH(P$3,'Budget by Source'!$A$5:$I$5,0))-(ROUND(INDEX('Budget by Source'!$A$6:$I$330,MATCH('Payment by Source'!$A191,'Budget by Source'!$A$6:$A$330,0),MATCH(P$3,'Budget by Source'!$A$5:$I$5,0))/10,0)*10)</f>
        <v>3</v>
      </c>
      <c r="Q191" s="154">
        <f>INDEX('Budget by Source'!$A$6:$I$330,MATCH('Payment by Source'!$A191,'Budget by Source'!$A$6:$A$330,0),MATCH(Q$3,'Budget by Source'!$A$5:$I$5,0))-(ROUND(INDEX('Budget by Source'!$A$6:$I$330,MATCH('Payment by Source'!$A191,'Budget by Source'!$A$6:$A$330,0),MATCH(Q$3,'Budget by Source'!$A$5:$I$5,0))/10,0)*10)</f>
        <v>-3</v>
      </c>
      <c r="R191" s="154">
        <f>INDEX('Budget by Source'!$A$6:$I$330,MATCH('Payment by Source'!$A191,'Budget by Source'!$A$6:$A$330,0),MATCH(R$3,'Budget by Source'!$A$5:$I$5,0))-(ROUND(INDEX('Budget by Source'!$A$6:$I$330,MATCH('Payment by Source'!$A191,'Budget by Source'!$A$6:$A$330,0),MATCH(R$3,'Budget by Source'!$A$5:$I$5,0))/10,0)*10)</f>
        <v>-5</v>
      </c>
      <c r="S191" s="154">
        <f>INDEX('Budget by Source'!$A$6:$I$330,MATCH('Payment by Source'!$A191,'Budget by Source'!$A$6:$A$330,0),MATCH(S$3,'Budget by Source'!$A$5:$I$5,0))-(ROUND(INDEX('Budget by Source'!$A$6:$I$330,MATCH('Payment by Source'!$A191,'Budget by Source'!$A$6:$A$330,0),MATCH(S$3,'Budget by Source'!$A$5:$I$5,0))/10,0)*10)</f>
        <v>2</v>
      </c>
      <c r="T191" s="154">
        <f>INDEX('Budget by Source'!$A$6:$I$330,MATCH('Payment by Source'!$A191,'Budget by Source'!$A$6:$A$330,0),MATCH(T$3,'Budget by Source'!$A$5:$I$5,0))-(ROUND(INDEX('Budget by Source'!$A$6:$I$330,MATCH('Payment by Source'!$A191,'Budget by Source'!$A$6:$A$330,0),MATCH(T$3,'Budget by Source'!$A$5:$I$5,0))/10,0)*10)</f>
        <v>-2</v>
      </c>
      <c r="U191" s="155">
        <f>INDEX('Budget by Source'!$A$6:$I$330,MATCH('Payment by Source'!$A191,'Budget by Source'!$A$6:$A$330,0),MATCH(U$3,'Budget by Source'!$A$5:$I$5,0))</f>
        <v>2471027</v>
      </c>
      <c r="V191" s="152">
        <f t="shared" si="7"/>
        <v>247103</v>
      </c>
      <c r="W191" s="152">
        <f t="shared" si="8"/>
        <v>2471030</v>
      </c>
    </row>
    <row r="192" spans="1:23" x14ac:dyDescent="0.2">
      <c r="A192" s="23" t="str">
        <f>Data!B188</f>
        <v>4271</v>
      </c>
      <c r="B192" s="21" t="str">
        <f>INDEX(Data[],MATCH($A192,Data[Dist],0),MATCH(B$5,Data[#Headers],0))</f>
        <v>Mid-Prairie</v>
      </c>
      <c r="C192" s="22">
        <f>IF(Notes!$B$2="June",ROUND('Budget by Source'!C192/10,0)+P192,ROUND('Budget by Source'!C192/10,0))</f>
        <v>27747</v>
      </c>
      <c r="D192" s="22">
        <f>IF(Notes!$B$2="June",ROUND('Budget by Source'!D192/10,0)+Q192,ROUND('Budget by Source'!D192/10,0))</f>
        <v>82476</v>
      </c>
      <c r="E192" s="22">
        <f>IF(Notes!$B$2="June",ROUND('Budget by Source'!E192/10,0)+R192,ROUND('Budget by Source'!E192/10,0))</f>
        <v>9342</v>
      </c>
      <c r="F192" s="22">
        <f>IF(Notes!$B$2="June",ROUND('Budget by Source'!F192/10,0)+S192,ROUND('Budget by Source'!F192/10,0))</f>
        <v>9020</v>
      </c>
      <c r="G192" s="22">
        <f>IF(Notes!$B$2="June",ROUND('Budget by Source'!G192/10,0)+T192,ROUND('Budget by Source'!G192/10,0))</f>
        <v>45252</v>
      </c>
      <c r="H192" s="22">
        <f t="shared" si="6"/>
        <v>654292</v>
      </c>
      <c r="I192" s="22">
        <f>INDEX(Data[],MATCH($A192,Data[Dist],0),MATCH(I$5,Data[#Headers],0))</f>
        <v>828129</v>
      </c>
      <c r="K192" s="69">
        <f>INDEX('Payment Total'!$A$7:$H$331,MATCH('Payment by Source'!$A192,'Payment Total'!$A$7:$A$331,0),3)-I192</f>
        <v>0</v>
      </c>
      <c r="P192" s="154">
        <f>INDEX('Budget by Source'!$A$6:$I$330,MATCH('Payment by Source'!$A192,'Budget by Source'!$A$6:$A$330,0),MATCH(P$3,'Budget by Source'!$A$5:$I$5,0))-(ROUND(INDEX('Budget by Source'!$A$6:$I$330,MATCH('Payment by Source'!$A192,'Budget by Source'!$A$6:$A$330,0),MATCH(P$3,'Budget by Source'!$A$5:$I$5,0))/10,0)*10)</f>
        <v>-3</v>
      </c>
      <c r="Q192" s="154">
        <f>INDEX('Budget by Source'!$A$6:$I$330,MATCH('Payment by Source'!$A192,'Budget by Source'!$A$6:$A$330,0),MATCH(Q$3,'Budget by Source'!$A$5:$I$5,0))-(ROUND(INDEX('Budget by Source'!$A$6:$I$330,MATCH('Payment by Source'!$A192,'Budget by Source'!$A$6:$A$330,0),MATCH(Q$3,'Budget by Source'!$A$5:$I$5,0))/10,0)*10)</f>
        <v>-4</v>
      </c>
      <c r="R192" s="154">
        <f>INDEX('Budget by Source'!$A$6:$I$330,MATCH('Payment by Source'!$A192,'Budget by Source'!$A$6:$A$330,0),MATCH(R$3,'Budget by Source'!$A$5:$I$5,0))-(ROUND(INDEX('Budget by Source'!$A$6:$I$330,MATCH('Payment by Source'!$A192,'Budget by Source'!$A$6:$A$330,0),MATCH(R$3,'Budget by Source'!$A$5:$I$5,0))/10,0)*10)</f>
        <v>-1</v>
      </c>
      <c r="S192" s="154">
        <f>INDEX('Budget by Source'!$A$6:$I$330,MATCH('Payment by Source'!$A192,'Budget by Source'!$A$6:$A$330,0),MATCH(S$3,'Budget by Source'!$A$5:$I$5,0))-(ROUND(INDEX('Budget by Source'!$A$6:$I$330,MATCH('Payment by Source'!$A192,'Budget by Source'!$A$6:$A$330,0),MATCH(S$3,'Budget by Source'!$A$5:$I$5,0))/10,0)*10)</f>
        <v>2</v>
      </c>
      <c r="T192" s="154">
        <f>INDEX('Budget by Source'!$A$6:$I$330,MATCH('Payment by Source'!$A192,'Budget by Source'!$A$6:$A$330,0),MATCH(T$3,'Budget by Source'!$A$5:$I$5,0))-(ROUND(INDEX('Budget by Source'!$A$6:$I$330,MATCH('Payment by Source'!$A192,'Budget by Source'!$A$6:$A$330,0),MATCH(T$3,'Budget by Source'!$A$5:$I$5,0))/10,0)*10)</f>
        <v>-2</v>
      </c>
      <c r="U192" s="155">
        <f>INDEX('Budget by Source'!$A$6:$I$330,MATCH('Payment by Source'!$A192,'Budget by Source'!$A$6:$A$330,0),MATCH(U$3,'Budget by Source'!$A$5:$I$5,0))</f>
        <v>6542926</v>
      </c>
      <c r="V192" s="152">
        <f t="shared" si="7"/>
        <v>654293</v>
      </c>
      <c r="W192" s="152">
        <f t="shared" si="8"/>
        <v>6542930</v>
      </c>
    </row>
    <row r="193" spans="1:23" x14ac:dyDescent="0.2">
      <c r="A193" s="23" t="str">
        <f>Data!B189</f>
        <v>4356</v>
      </c>
      <c r="B193" s="21" t="str">
        <f>INDEX(Data[],MATCH($A193,Data[Dist],0),MATCH(B$5,Data[#Headers],0))</f>
        <v>Missouri Valley</v>
      </c>
      <c r="C193" s="22">
        <f>IF(Notes!$B$2="June",ROUND('Budget by Source'!C193/10,0)+P193,ROUND('Budget by Source'!C193/10,0))</f>
        <v>11403</v>
      </c>
      <c r="D193" s="22">
        <f>IF(Notes!$B$2="June",ROUND('Budget by Source'!D193/10,0)+Q193,ROUND('Budget by Source'!D193/10,0))</f>
        <v>48105</v>
      </c>
      <c r="E193" s="22">
        <f>IF(Notes!$B$2="June",ROUND('Budget by Source'!E193/10,0)+R193,ROUND('Budget by Source'!E193/10,0))</f>
        <v>5690</v>
      </c>
      <c r="F193" s="22">
        <f>IF(Notes!$B$2="June",ROUND('Budget by Source'!F193/10,0)+S193,ROUND('Budget by Source'!F193/10,0))</f>
        <v>4875</v>
      </c>
      <c r="G193" s="22">
        <f>IF(Notes!$B$2="June",ROUND('Budget by Source'!G193/10,0)+T193,ROUND('Budget by Source'!G193/10,0))</f>
        <v>28104</v>
      </c>
      <c r="H193" s="22">
        <f t="shared" si="6"/>
        <v>423923</v>
      </c>
      <c r="I193" s="22">
        <f>INDEX(Data[],MATCH($A193,Data[Dist],0),MATCH(I$5,Data[#Headers],0))</f>
        <v>522100</v>
      </c>
      <c r="K193" s="69">
        <f>INDEX('Payment Total'!$A$7:$H$331,MATCH('Payment by Source'!$A193,'Payment Total'!$A$7:$A$331,0),3)-I193</f>
        <v>0</v>
      </c>
      <c r="P193" s="154">
        <f>INDEX('Budget by Source'!$A$6:$I$330,MATCH('Payment by Source'!$A193,'Budget by Source'!$A$6:$A$330,0),MATCH(P$3,'Budget by Source'!$A$5:$I$5,0))-(ROUND(INDEX('Budget by Source'!$A$6:$I$330,MATCH('Payment by Source'!$A193,'Budget by Source'!$A$6:$A$330,0),MATCH(P$3,'Budget by Source'!$A$5:$I$5,0))/10,0)*10)</f>
        <v>-3</v>
      </c>
      <c r="Q193" s="154">
        <f>INDEX('Budget by Source'!$A$6:$I$330,MATCH('Payment by Source'!$A193,'Budget by Source'!$A$6:$A$330,0),MATCH(Q$3,'Budget by Source'!$A$5:$I$5,0))-(ROUND(INDEX('Budget by Source'!$A$6:$I$330,MATCH('Payment by Source'!$A193,'Budget by Source'!$A$6:$A$330,0),MATCH(Q$3,'Budget by Source'!$A$5:$I$5,0))/10,0)*10)</f>
        <v>-2</v>
      </c>
      <c r="R193" s="154">
        <f>INDEX('Budget by Source'!$A$6:$I$330,MATCH('Payment by Source'!$A193,'Budget by Source'!$A$6:$A$330,0),MATCH(R$3,'Budget by Source'!$A$5:$I$5,0))-(ROUND(INDEX('Budget by Source'!$A$6:$I$330,MATCH('Payment by Source'!$A193,'Budget by Source'!$A$6:$A$330,0),MATCH(R$3,'Budget by Source'!$A$5:$I$5,0))/10,0)*10)</f>
        <v>-2</v>
      </c>
      <c r="S193" s="154">
        <f>INDEX('Budget by Source'!$A$6:$I$330,MATCH('Payment by Source'!$A193,'Budget by Source'!$A$6:$A$330,0),MATCH(S$3,'Budget by Source'!$A$5:$I$5,0))-(ROUND(INDEX('Budget by Source'!$A$6:$I$330,MATCH('Payment by Source'!$A193,'Budget by Source'!$A$6:$A$330,0),MATCH(S$3,'Budget by Source'!$A$5:$I$5,0))/10,0)*10)</f>
        <v>3</v>
      </c>
      <c r="T193" s="154">
        <f>INDEX('Budget by Source'!$A$6:$I$330,MATCH('Payment by Source'!$A193,'Budget by Source'!$A$6:$A$330,0),MATCH(T$3,'Budget by Source'!$A$5:$I$5,0))-(ROUND(INDEX('Budget by Source'!$A$6:$I$330,MATCH('Payment by Source'!$A193,'Budget by Source'!$A$6:$A$330,0),MATCH(T$3,'Budget by Source'!$A$5:$I$5,0))/10,0)*10)</f>
        <v>1</v>
      </c>
      <c r="U193" s="155">
        <f>INDEX('Budget by Source'!$A$6:$I$330,MATCH('Payment by Source'!$A193,'Budget by Source'!$A$6:$A$330,0),MATCH(U$3,'Budget by Source'!$A$5:$I$5,0))</f>
        <v>4239232</v>
      </c>
      <c r="V193" s="152">
        <f t="shared" si="7"/>
        <v>423923</v>
      </c>
      <c r="W193" s="152">
        <f t="shared" si="8"/>
        <v>4239230</v>
      </c>
    </row>
    <row r="194" spans="1:23" x14ac:dyDescent="0.2">
      <c r="A194" s="23" t="str">
        <f>Data!B190</f>
        <v>4419</v>
      </c>
      <c r="B194" s="21" t="str">
        <f>INDEX(Data[],MATCH($A194,Data[Dist],0),MATCH(B$5,Data[#Headers],0))</f>
        <v>MFL Mar Mac</v>
      </c>
      <c r="C194" s="22">
        <f>IF(Notes!$B$2="June",ROUND('Budget by Source'!C194/10,0)+P194,ROUND('Budget by Source'!C194/10,0))</f>
        <v>20905</v>
      </c>
      <c r="D194" s="22">
        <f>IF(Notes!$B$2="June",ROUND('Budget by Source'!D194/10,0)+Q194,ROUND('Budget by Source'!D194/10,0))</f>
        <v>54119</v>
      </c>
      <c r="E194" s="22">
        <f>IF(Notes!$B$2="June",ROUND('Budget by Source'!E194/10,0)+R194,ROUND('Budget by Source'!E194/10,0))</f>
        <v>6661</v>
      </c>
      <c r="F194" s="22">
        <f>IF(Notes!$B$2="June",ROUND('Budget by Source'!F194/10,0)+S194,ROUND('Budget by Source'!F194/10,0))</f>
        <v>6517</v>
      </c>
      <c r="G194" s="22">
        <f>IF(Notes!$B$2="June",ROUND('Budget by Source'!G194/10,0)+T194,ROUND('Budget by Source'!G194/10,0))</f>
        <v>29722</v>
      </c>
      <c r="H194" s="22">
        <f t="shared" si="6"/>
        <v>470562</v>
      </c>
      <c r="I194" s="22">
        <f>INDEX(Data[],MATCH($A194,Data[Dist],0),MATCH(I$5,Data[#Headers],0))</f>
        <v>588486</v>
      </c>
      <c r="K194" s="69">
        <f>INDEX('Payment Total'!$A$7:$H$331,MATCH('Payment by Source'!$A194,'Payment Total'!$A$7:$A$331,0),3)-I194</f>
        <v>0</v>
      </c>
      <c r="P194" s="154">
        <f>INDEX('Budget by Source'!$A$6:$I$330,MATCH('Payment by Source'!$A194,'Budget by Source'!$A$6:$A$330,0),MATCH(P$3,'Budget by Source'!$A$5:$I$5,0))-(ROUND(INDEX('Budget by Source'!$A$6:$I$330,MATCH('Payment by Source'!$A194,'Budget by Source'!$A$6:$A$330,0),MATCH(P$3,'Budget by Source'!$A$5:$I$5,0))/10,0)*10)</f>
        <v>1</v>
      </c>
      <c r="Q194" s="154">
        <f>INDEX('Budget by Source'!$A$6:$I$330,MATCH('Payment by Source'!$A194,'Budget by Source'!$A$6:$A$330,0),MATCH(Q$3,'Budget by Source'!$A$5:$I$5,0))-(ROUND(INDEX('Budget by Source'!$A$6:$I$330,MATCH('Payment by Source'!$A194,'Budget by Source'!$A$6:$A$330,0),MATCH(Q$3,'Budget by Source'!$A$5:$I$5,0))/10,0)*10)</f>
        <v>-4</v>
      </c>
      <c r="R194" s="154">
        <f>INDEX('Budget by Source'!$A$6:$I$330,MATCH('Payment by Source'!$A194,'Budget by Source'!$A$6:$A$330,0),MATCH(R$3,'Budget by Source'!$A$5:$I$5,0))-(ROUND(INDEX('Budget by Source'!$A$6:$I$330,MATCH('Payment by Source'!$A194,'Budget by Source'!$A$6:$A$330,0),MATCH(R$3,'Budget by Source'!$A$5:$I$5,0))/10,0)*10)</f>
        <v>-1</v>
      </c>
      <c r="S194" s="154">
        <f>INDEX('Budget by Source'!$A$6:$I$330,MATCH('Payment by Source'!$A194,'Budget by Source'!$A$6:$A$330,0),MATCH(S$3,'Budget by Source'!$A$5:$I$5,0))-(ROUND(INDEX('Budget by Source'!$A$6:$I$330,MATCH('Payment by Source'!$A194,'Budget by Source'!$A$6:$A$330,0),MATCH(S$3,'Budget by Source'!$A$5:$I$5,0))/10,0)*10)</f>
        <v>3</v>
      </c>
      <c r="T194" s="154">
        <f>INDEX('Budget by Source'!$A$6:$I$330,MATCH('Payment by Source'!$A194,'Budget by Source'!$A$6:$A$330,0),MATCH(T$3,'Budget by Source'!$A$5:$I$5,0))-(ROUND(INDEX('Budget by Source'!$A$6:$I$330,MATCH('Payment by Source'!$A194,'Budget by Source'!$A$6:$A$330,0),MATCH(T$3,'Budget by Source'!$A$5:$I$5,0))/10,0)*10)</f>
        <v>-1</v>
      </c>
      <c r="U194" s="155">
        <f>INDEX('Budget by Source'!$A$6:$I$330,MATCH('Payment by Source'!$A194,'Budget by Source'!$A$6:$A$330,0),MATCH(U$3,'Budget by Source'!$A$5:$I$5,0))</f>
        <v>4705626</v>
      </c>
      <c r="V194" s="152">
        <f t="shared" si="7"/>
        <v>470563</v>
      </c>
      <c r="W194" s="152">
        <f t="shared" si="8"/>
        <v>4705630</v>
      </c>
    </row>
    <row r="195" spans="1:23" x14ac:dyDescent="0.2">
      <c r="A195" s="23" t="str">
        <f>Data!B191</f>
        <v>4437</v>
      </c>
      <c r="B195" s="21" t="str">
        <f>INDEX(Data[],MATCH($A195,Data[Dist],0),MATCH(B$5,Data[#Headers],0))</f>
        <v>Montezuma</v>
      </c>
      <c r="C195" s="22">
        <f>IF(Notes!$B$2="June",ROUND('Budget by Source'!C195/10,0)+P195,ROUND('Budget by Source'!C195/10,0))</f>
        <v>12543</v>
      </c>
      <c r="D195" s="22">
        <f>IF(Notes!$B$2="June",ROUND('Budget by Source'!D195/10,0)+Q195,ROUND('Budget by Source'!D195/10,0))</f>
        <v>29861</v>
      </c>
      <c r="E195" s="22">
        <f>IF(Notes!$B$2="June",ROUND('Budget by Source'!E195/10,0)+R195,ROUND('Budget by Source'!E195/10,0))</f>
        <v>3827</v>
      </c>
      <c r="F195" s="22">
        <f>IF(Notes!$B$2="June",ROUND('Budget by Source'!F195/10,0)+S195,ROUND('Budget by Source'!F195/10,0))</f>
        <v>2958</v>
      </c>
      <c r="G195" s="22">
        <f>IF(Notes!$B$2="June",ROUND('Budget by Source'!G195/10,0)+T195,ROUND('Budget by Source'!G195/10,0))</f>
        <v>17657</v>
      </c>
      <c r="H195" s="22">
        <f t="shared" si="6"/>
        <v>132193</v>
      </c>
      <c r="I195" s="22">
        <f>INDEX(Data[],MATCH($A195,Data[Dist],0),MATCH(I$5,Data[#Headers],0))</f>
        <v>199039</v>
      </c>
      <c r="K195" s="69">
        <f>INDEX('Payment Total'!$A$7:$H$331,MATCH('Payment by Source'!$A195,'Payment Total'!$A$7:$A$331,0),3)-I195</f>
        <v>0</v>
      </c>
      <c r="P195" s="154">
        <f>INDEX('Budget by Source'!$A$6:$I$330,MATCH('Payment by Source'!$A195,'Budget by Source'!$A$6:$A$330,0),MATCH(P$3,'Budget by Source'!$A$5:$I$5,0))-(ROUND(INDEX('Budget by Source'!$A$6:$I$330,MATCH('Payment by Source'!$A195,'Budget by Source'!$A$6:$A$330,0),MATCH(P$3,'Budget by Source'!$A$5:$I$5,0))/10,0)*10)</f>
        <v>1</v>
      </c>
      <c r="Q195" s="154">
        <f>INDEX('Budget by Source'!$A$6:$I$330,MATCH('Payment by Source'!$A195,'Budget by Source'!$A$6:$A$330,0),MATCH(Q$3,'Budget by Source'!$A$5:$I$5,0))-(ROUND(INDEX('Budget by Source'!$A$6:$I$330,MATCH('Payment by Source'!$A195,'Budget by Source'!$A$6:$A$330,0),MATCH(Q$3,'Budget by Source'!$A$5:$I$5,0))/10,0)*10)</f>
        <v>2</v>
      </c>
      <c r="R195" s="154">
        <f>INDEX('Budget by Source'!$A$6:$I$330,MATCH('Payment by Source'!$A195,'Budget by Source'!$A$6:$A$330,0),MATCH(R$3,'Budget by Source'!$A$5:$I$5,0))-(ROUND(INDEX('Budget by Source'!$A$6:$I$330,MATCH('Payment by Source'!$A195,'Budget by Source'!$A$6:$A$330,0),MATCH(R$3,'Budget by Source'!$A$5:$I$5,0))/10,0)*10)</f>
        <v>-4</v>
      </c>
      <c r="S195" s="154">
        <f>INDEX('Budget by Source'!$A$6:$I$330,MATCH('Payment by Source'!$A195,'Budget by Source'!$A$6:$A$330,0),MATCH(S$3,'Budget by Source'!$A$5:$I$5,0))-(ROUND(INDEX('Budget by Source'!$A$6:$I$330,MATCH('Payment by Source'!$A195,'Budget by Source'!$A$6:$A$330,0),MATCH(S$3,'Budget by Source'!$A$5:$I$5,0))/10,0)*10)</f>
        <v>0</v>
      </c>
      <c r="T195" s="154">
        <f>INDEX('Budget by Source'!$A$6:$I$330,MATCH('Payment by Source'!$A195,'Budget by Source'!$A$6:$A$330,0),MATCH(T$3,'Budget by Source'!$A$5:$I$5,0))-(ROUND(INDEX('Budget by Source'!$A$6:$I$330,MATCH('Payment by Source'!$A195,'Budget by Source'!$A$6:$A$330,0),MATCH(T$3,'Budget by Source'!$A$5:$I$5,0))/10,0)*10)</f>
        <v>4</v>
      </c>
      <c r="U195" s="155">
        <f>INDEX('Budget by Source'!$A$6:$I$330,MATCH('Payment by Source'!$A195,'Budget by Source'!$A$6:$A$330,0),MATCH(U$3,'Budget by Source'!$A$5:$I$5,0))</f>
        <v>1321925</v>
      </c>
      <c r="V195" s="152">
        <f t="shared" si="7"/>
        <v>132193</v>
      </c>
      <c r="W195" s="152">
        <f t="shared" si="8"/>
        <v>1321930</v>
      </c>
    </row>
    <row r="196" spans="1:23" x14ac:dyDescent="0.2">
      <c r="A196" s="23" t="str">
        <f>Data!B192</f>
        <v>4446</v>
      </c>
      <c r="B196" s="21" t="str">
        <f>INDEX(Data[],MATCH($A196,Data[Dist],0),MATCH(B$5,Data[#Headers],0))</f>
        <v>Monticello</v>
      </c>
      <c r="C196" s="22">
        <f>IF(Notes!$B$2="June",ROUND('Budget by Source'!C196/10,0)+P196,ROUND('Budget by Source'!C196/10,0))</f>
        <v>22425</v>
      </c>
      <c r="D196" s="22">
        <f>IF(Notes!$B$2="June",ROUND('Budget by Source'!D196/10,0)+Q196,ROUND('Budget by Source'!D196/10,0))</f>
        <v>64048</v>
      </c>
      <c r="E196" s="22">
        <f>IF(Notes!$B$2="June",ROUND('Budget by Source'!E196/10,0)+R196,ROUND('Budget by Source'!E196/10,0))</f>
        <v>6890</v>
      </c>
      <c r="F196" s="22">
        <f>IF(Notes!$B$2="June",ROUND('Budget by Source'!F196/10,0)+S196,ROUND('Budget by Source'!F196/10,0))</f>
        <v>6364</v>
      </c>
      <c r="G196" s="22">
        <f>IF(Notes!$B$2="June",ROUND('Budget by Source'!G196/10,0)+T196,ROUND('Budget by Source'!G196/10,0))</f>
        <v>35718</v>
      </c>
      <c r="H196" s="22">
        <f t="shared" si="6"/>
        <v>535265</v>
      </c>
      <c r="I196" s="22">
        <f>INDEX(Data[],MATCH($A196,Data[Dist],0),MATCH(I$5,Data[#Headers],0))</f>
        <v>670710</v>
      </c>
      <c r="K196" s="69">
        <f>INDEX('Payment Total'!$A$7:$H$331,MATCH('Payment by Source'!$A196,'Payment Total'!$A$7:$A$331,0),3)-I196</f>
        <v>0</v>
      </c>
      <c r="P196" s="154">
        <f>INDEX('Budget by Source'!$A$6:$I$330,MATCH('Payment by Source'!$A196,'Budget by Source'!$A$6:$A$330,0),MATCH(P$3,'Budget by Source'!$A$5:$I$5,0))-(ROUND(INDEX('Budget by Source'!$A$6:$I$330,MATCH('Payment by Source'!$A196,'Budget by Source'!$A$6:$A$330,0),MATCH(P$3,'Budget by Source'!$A$5:$I$5,0))/10,0)*10)</f>
        <v>4</v>
      </c>
      <c r="Q196" s="154">
        <f>INDEX('Budget by Source'!$A$6:$I$330,MATCH('Payment by Source'!$A196,'Budget by Source'!$A$6:$A$330,0),MATCH(Q$3,'Budget by Source'!$A$5:$I$5,0))-(ROUND(INDEX('Budget by Source'!$A$6:$I$330,MATCH('Payment by Source'!$A196,'Budget by Source'!$A$6:$A$330,0),MATCH(Q$3,'Budget by Source'!$A$5:$I$5,0))/10,0)*10)</f>
        <v>-4</v>
      </c>
      <c r="R196" s="154">
        <f>INDEX('Budget by Source'!$A$6:$I$330,MATCH('Payment by Source'!$A196,'Budget by Source'!$A$6:$A$330,0),MATCH(R$3,'Budget by Source'!$A$5:$I$5,0))-(ROUND(INDEX('Budget by Source'!$A$6:$I$330,MATCH('Payment by Source'!$A196,'Budget by Source'!$A$6:$A$330,0),MATCH(R$3,'Budget by Source'!$A$5:$I$5,0))/10,0)*10)</f>
        <v>0</v>
      </c>
      <c r="S196" s="154">
        <f>INDEX('Budget by Source'!$A$6:$I$330,MATCH('Payment by Source'!$A196,'Budget by Source'!$A$6:$A$330,0),MATCH(S$3,'Budget by Source'!$A$5:$I$5,0))-(ROUND(INDEX('Budget by Source'!$A$6:$I$330,MATCH('Payment by Source'!$A196,'Budget by Source'!$A$6:$A$330,0),MATCH(S$3,'Budget by Source'!$A$5:$I$5,0))/10,0)*10)</f>
        <v>-2</v>
      </c>
      <c r="T196" s="154">
        <f>INDEX('Budget by Source'!$A$6:$I$330,MATCH('Payment by Source'!$A196,'Budget by Source'!$A$6:$A$330,0),MATCH(T$3,'Budget by Source'!$A$5:$I$5,0))-(ROUND(INDEX('Budget by Source'!$A$6:$I$330,MATCH('Payment by Source'!$A196,'Budget by Source'!$A$6:$A$330,0),MATCH(T$3,'Budget by Source'!$A$5:$I$5,0))/10,0)*10)</f>
        <v>-1</v>
      </c>
      <c r="U196" s="155">
        <f>INDEX('Budget by Source'!$A$6:$I$330,MATCH('Payment by Source'!$A196,'Budget by Source'!$A$6:$A$330,0),MATCH(U$3,'Budget by Source'!$A$5:$I$5,0))</f>
        <v>5352648</v>
      </c>
      <c r="V196" s="152">
        <f t="shared" si="7"/>
        <v>535265</v>
      </c>
      <c r="W196" s="152">
        <f t="shared" si="8"/>
        <v>5352650</v>
      </c>
    </row>
    <row r="197" spans="1:23" x14ac:dyDescent="0.2">
      <c r="A197" s="23" t="str">
        <f>Data!B193</f>
        <v>4491</v>
      </c>
      <c r="B197" s="21" t="str">
        <f>INDEX(Data[],MATCH($A197,Data[Dist],0),MATCH(B$5,Data[#Headers],0))</f>
        <v>Moravia</v>
      </c>
      <c r="C197" s="22">
        <f>IF(Notes!$B$2="June",ROUND('Budget by Source'!C197/10,0)+P197,ROUND('Budget by Source'!C197/10,0))</f>
        <v>6842</v>
      </c>
      <c r="D197" s="22">
        <f>IF(Notes!$B$2="June",ROUND('Budget by Source'!D197/10,0)+Q197,ROUND('Budget by Source'!D197/10,0))</f>
        <v>25727</v>
      </c>
      <c r="E197" s="22">
        <f>IF(Notes!$B$2="June",ROUND('Budget by Source'!E197/10,0)+R197,ROUND('Budget by Source'!E197/10,0))</f>
        <v>3206</v>
      </c>
      <c r="F197" s="22">
        <f>IF(Notes!$B$2="June",ROUND('Budget by Source'!F197/10,0)+S197,ROUND('Budget by Source'!F197/10,0))</f>
        <v>2888</v>
      </c>
      <c r="G197" s="22">
        <f>IF(Notes!$B$2="June",ROUND('Budget by Source'!G197/10,0)+T197,ROUND('Budget by Source'!G197/10,0))</f>
        <v>12733</v>
      </c>
      <c r="H197" s="22">
        <f t="shared" si="6"/>
        <v>195034</v>
      </c>
      <c r="I197" s="22">
        <f>INDEX(Data[],MATCH($A197,Data[Dist],0),MATCH(I$5,Data[#Headers],0))</f>
        <v>246430</v>
      </c>
      <c r="K197" s="69">
        <f>INDEX('Payment Total'!$A$7:$H$331,MATCH('Payment by Source'!$A197,'Payment Total'!$A$7:$A$331,0),3)-I197</f>
        <v>0</v>
      </c>
      <c r="P197" s="154">
        <f>INDEX('Budget by Source'!$A$6:$I$330,MATCH('Payment by Source'!$A197,'Budget by Source'!$A$6:$A$330,0),MATCH(P$3,'Budget by Source'!$A$5:$I$5,0))-(ROUND(INDEX('Budget by Source'!$A$6:$I$330,MATCH('Payment by Source'!$A197,'Budget by Source'!$A$6:$A$330,0),MATCH(P$3,'Budget by Source'!$A$5:$I$5,0))/10,0)*10)</f>
        <v>-4</v>
      </c>
      <c r="Q197" s="154">
        <f>INDEX('Budget by Source'!$A$6:$I$330,MATCH('Payment by Source'!$A197,'Budget by Source'!$A$6:$A$330,0),MATCH(Q$3,'Budget by Source'!$A$5:$I$5,0))-(ROUND(INDEX('Budget by Source'!$A$6:$I$330,MATCH('Payment by Source'!$A197,'Budget by Source'!$A$6:$A$330,0),MATCH(Q$3,'Budget by Source'!$A$5:$I$5,0))/10,0)*10)</f>
        <v>-4</v>
      </c>
      <c r="R197" s="154">
        <f>INDEX('Budget by Source'!$A$6:$I$330,MATCH('Payment by Source'!$A197,'Budget by Source'!$A$6:$A$330,0),MATCH(R$3,'Budget by Source'!$A$5:$I$5,0))-(ROUND(INDEX('Budget by Source'!$A$6:$I$330,MATCH('Payment by Source'!$A197,'Budget by Source'!$A$6:$A$330,0),MATCH(R$3,'Budget by Source'!$A$5:$I$5,0))/10,0)*10)</f>
        <v>-1</v>
      </c>
      <c r="S197" s="154">
        <f>INDEX('Budget by Source'!$A$6:$I$330,MATCH('Payment by Source'!$A197,'Budget by Source'!$A$6:$A$330,0),MATCH(S$3,'Budget by Source'!$A$5:$I$5,0))-(ROUND(INDEX('Budget by Source'!$A$6:$I$330,MATCH('Payment by Source'!$A197,'Budget by Source'!$A$6:$A$330,0),MATCH(S$3,'Budget by Source'!$A$5:$I$5,0))/10,0)*10)</f>
        <v>-3</v>
      </c>
      <c r="T197" s="154">
        <f>INDEX('Budget by Source'!$A$6:$I$330,MATCH('Payment by Source'!$A197,'Budget by Source'!$A$6:$A$330,0),MATCH(T$3,'Budget by Source'!$A$5:$I$5,0))-(ROUND(INDEX('Budget by Source'!$A$6:$I$330,MATCH('Payment by Source'!$A197,'Budget by Source'!$A$6:$A$330,0),MATCH(T$3,'Budget by Source'!$A$5:$I$5,0))/10,0)*10)</f>
        <v>-3</v>
      </c>
      <c r="U197" s="155">
        <f>INDEX('Budget by Source'!$A$6:$I$330,MATCH('Payment by Source'!$A197,'Budget by Source'!$A$6:$A$330,0),MATCH(U$3,'Budget by Source'!$A$5:$I$5,0))</f>
        <v>1950351</v>
      </c>
      <c r="V197" s="152">
        <f t="shared" si="7"/>
        <v>195035</v>
      </c>
      <c r="W197" s="152">
        <f t="shared" si="8"/>
        <v>1950350</v>
      </c>
    </row>
    <row r="198" spans="1:23" x14ac:dyDescent="0.2">
      <c r="A198" s="23" t="str">
        <f>Data!B194</f>
        <v>4505</v>
      </c>
      <c r="B198" s="21" t="str">
        <f>INDEX(Data[],MATCH($A198,Data[Dist],0),MATCH(B$5,Data[#Headers],0))</f>
        <v>Mormon Trail</v>
      </c>
      <c r="C198" s="22">
        <f>IF(Notes!$B$2="June",ROUND('Budget by Source'!C198/10,0)+P198,ROUND('Budget by Source'!C198/10,0))</f>
        <v>6091</v>
      </c>
      <c r="D198" s="22">
        <f>IF(Notes!$B$2="June",ROUND('Budget by Source'!D198/10,0)+Q198,ROUND('Budget by Source'!D198/10,0))</f>
        <v>14297</v>
      </c>
      <c r="E198" s="22">
        <f>IF(Notes!$B$2="June",ROUND('Budget by Source'!E198/10,0)+R198,ROUND('Budget by Source'!E198/10,0))</f>
        <v>1676</v>
      </c>
      <c r="F198" s="22">
        <f>IF(Notes!$B$2="June",ROUND('Budget by Source'!F198/10,0)+S198,ROUND('Budget by Source'!F198/10,0))</f>
        <v>1334</v>
      </c>
      <c r="G198" s="22">
        <f>IF(Notes!$B$2="June",ROUND('Budget by Source'!G198/10,0)+T198,ROUND('Budget by Source'!G198/10,0))</f>
        <v>7847</v>
      </c>
      <c r="H198" s="22">
        <f t="shared" si="6"/>
        <v>127998</v>
      </c>
      <c r="I198" s="22">
        <f>INDEX(Data[],MATCH($A198,Data[Dist],0),MATCH(I$5,Data[#Headers],0))</f>
        <v>159243</v>
      </c>
      <c r="K198" s="69">
        <f>INDEX('Payment Total'!$A$7:$H$331,MATCH('Payment by Source'!$A198,'Payment Total'!$A$7:$A$331,0),3)-I198</f>
        <v>0</v>
      </c>
      <c r="P198" s="154">
        <f>INDEX('Budget by Source'!$A$6:$I$330,MATCH('Payment by Source'!$A198,'Budget by Source'!$A$6:$A$330,0),MATCH(P$3,'Budget by Source'!$A$5:$I$5,0))-(ROUND(INDEX('Budget by Source'!$A$6:$I$330,MATCH('Payment by Source'!$A198,'Budget by Source'!$A$6:$A$330,0),MATCH(P$3,'Budget by Source'!$A$5:$I$5,0))/10,0)*10)</f>
        <v>-1</v>
      </c>
      <c r="Q198" s="154">
        <f>INDEX('Budget by Source'!$A$6:$I$330,MATCH('Payment by Source'!$A198,'Budget by Source'!$A$6:$A$330,0),MATCH(Q$3,'Budget by Source'!$A$5:$I$5,0))-(ROUND(INDEX('Budget by Source'!$A$6:$I$330,MATCH('Payment by Source'!$A198,'Budget by Source'!$A$6:$A$330,0),MATCH(Q$3,'Budget by Source'!$A$5:$I$5,0))/10,0)*10)</f>
        <v>0</v>
      </c>
      <c r="R198" s="154">
        <f>INDEX('Budget by Source'!$A$6:$I$330,MATCH('Payment by Source'!$A198,'Budget by Source'!$A$6:$A$330,0),MATCH(R$3,'Budget by Source'!$A$5:$I$5,0))-(ROUND(INDEX('Budget by Source'!$A$6:$I$330,MATCH('Payment by Source'!$A198,'Budget by Source'!$A$6:$A$330,0),MATCH(R$3,'Budget by Source'!$A$5:$I$5,0))/10,0)*10)</f>
        <v>-5</v>
      </c>
      <c r="S198" s="154">
        <f>INDEX('Budget by Source'!$A$6:$I$330,MATCH('Payment by Source'!$A198,'Budget by Source'!$A$6:$A$330,0),MATCH(S$3,'Budget by Source'!$A$5:$I$5,0))-(ROUND(INDEX('Budget by Source'!$A$6:$I$330,MATCH('Payment by Source'!$A198,'Budget by Source'!$A$6:$A$330,0),MATCH(S$3,'Budget by Source'!$A$5:$I$5,0))/10,0)*10)</f>
        <v>2</v>
      </c>
      <c r="T198" s="154">
        <f>INDEX('Budget by Source'!$A$6:$I$330,MATCH('Payment by Source'!$A198,'Budget by Source'!$A$6:$A$330,0),MATCH(T$3,'Budget by Source'!$A$5:$I$5,0))-(ROUND(INDEX('Budget by Source'!$A$6:$I$330,MATCH('Payment by Source'!$A198,'Budget by Source'!$A$6:$A$330,0),MATCH(T$3,'Budget by Source'!$A$5:$I$5,0))/10,0)*10)</f>
        <v>-4</v>
      </c>
      <c r="U198" s="155">
        <f>INDEX('Budget by Source'!$A$6:$I$330,MATCH('Payment by Source'!$A198,'Budget by Source'!$A$6:$A$330,0),MATCH(U$3,'Budget by Source'!$A$5:$I$5,0))</f>
        <v>1279985</v>
      </c>
      <c r="V198" s="152">
        <f t="shared" si="7"/>
        <v>127999</v>
      </c>
      <c r="W198" s="152">
        <f t="shared" si="8"/>
        <v>1279990</v>
      </c>
    </row>
    <row r="199" spans="1:23" x14ac:dyDescent="0.2">
      <c r="A199" s="23" t="str">
        <f>Data!B195</f>
        <v>4509</v>
      </c>
      <c r="B199" s="21" t="str">
        <f>INDEX(Data[],MATCH($A199,Data[Dist],0),MATCH(B$5,Data[#Headers],0))</f>
        <v>Morning Sun</v>
      </c>
      <c r="C199" s="22">
        <f>IF(Notes!$B$2="June",ROUND('Budget by Source'!C199/10,0)+P199,ROUND('Budget by Source'!C199/10,0))</f>
        <v>5321</v>
      </c>
      <c r="D199" s="22">
        <f>IF(Notes!$B$2="June",ROUND('Budget by Source'!D199/10,0)+Q199,ROUND('Budget by Source'!D199/10,0))</f>
        <v>13037</v>
      </c>
      <c r="E199" s="22">
        <f>IF(Notes!$B$2="June",ROUND('Budget by Source'!E199/10,0)+R199,ROUND('Budget by Source'!E199/10,0))</f>
        <v>1867</v>
      </c>
      <c r="F199" s="22">
        <f>IF(Notes!$B$2="June",ROUND('Budget by Source'!F199/10,0)+S199,ROUND('Budget by Source'!F199/10,0))</f>
        <v>1432</v>
      </c>
      <c r="G199" s="22">
        <f>IF(Notes!$B$2="June",ROUND('Budget by Source'!G199/10,0)+T199,ROUND('Budget by Source'!G199/10,0))</f>
        <v>7150</v>
      </c>
      <c r="H199" s="22">
        <f t="shared" ref="H199:H262" si="9">I199-SUM(C199:G199)</f>
        <v>116568</v>
      </c>
      <c r="I199" s="22">
        <f>INDEX(Data[],MATCH($A199,Data[Dist],0),MATCH(I$5,Data[#Headers],0))</f>
        <v>145375</v>
      </c>
      <c r="K199" s="69">
        <f>INDEX('Payment Total'!$A$7:$H$331,MATCH('Payment by Source'!$A199,'Payment Total'!$A$7:$A$331,0),3)-I199</f>
        <v>0</v>
      </c>
      <c r="P199" s="154">
        <f>INDEX('Budget by Source'!$A$6:$I$330,MATCH('Payment by Source'!$A199,'Budget by Source'!$A$6:$A$330,0),MATCH(P$3,'Budget by Source'!$A$5:$I$5,0))-(ROUND(INDEX('Budget by Source'!$A$6:$I$330,MATCH('Payment by Source'!$A199,'Budget by Source'!$A$6:$A$330,0),MATCH(P$3,'Budget by Source'!$A$5:$I$5,0))/10,0)*10)</f>
        <v>3</v>
      </c>
      <c r="Q199" s="154">
        <f>INDEX('Budget by Source'!$A$6:$I$330,MATCH('Payment by Source'!$A199,'Budget by Source'!$A$6:$A$330,0),MATCH(Q$3,'Budget by Source'!$A$5:$I$5,0))-(ROUND(INDEX('Budget by Source'!$A$6:$I$330,MATCH('Payment by Source'!$A199,'Budget by Source'!$A$6:$A$330,0),MATCH(Q$3,'Budget by Source'!$A$5:$I$5,0))/10,0)*10)</f>
        <v>-2</v>
      </c>
      <c r="R199" s="154">
        <f>INDEX('Budget by Source'!$A$6:$I$330,MATCH('Payment by Source'!$A199,'Budget by Source'!$A$6:$A$330,0),MATCH(R$3,'Budget by Source'!$A$5:$I$5,0))-(ROUND(INDEX('Budget by Source'!$A$6:$I$330,MATCH('Payment by Source'!$A199,'Budget by Source'!$A$6:$A$330,0),MATCH(R$3,'Budget by Source'!$A$5:$I$5,0))/10,0)*10)</f>
        <v>3</v>
      </c>
      <c r="S199" s="154">
        <f>INDEX('Budget by Source'!$A$6:$I$330,MATCH('Payment by Source'!$A199,'Budget by Source'!$A$6:$A$330,0),MATCH(S$3,'Budget by Source'!$A$5:$I$5,0))-(ROUND(INDEX('Budget by Source'!$A$6:$I$330,MATCH('Payment by Source'!$A199,'Budget by Source'!$A$6:$A$330,0),MATCH(S$3,'Budget by Source'!$A$5:$I$5,0))/10,0)*10)</f>
        <v>-1</v>
      </c>
      <c r="T199" s="154">
        <f>INDEX('Budget by Source'!$A$6:$I$330,MATCH('Payment by Source'!$A199,'Budget by Source'!$A$6:$A$330,0),MATCH(T$3,'Budget by Source'!$A$5:$I$5,0))-(ROUND(INDEX('Budget by Source'!$A$6:$I$330,MATCH('Payment by Source'!$A199,'Budget by Source'!$A$6:$A$330,0),MATCH(T$3,'Budget by Source'!$A$5:$I$5,0))/10,0)*10)</f>
        <v>-5</v>
      </c>
      <c r="U199" s="155">
        <f>INDEX('Budget by Source'!$A$6:$I$330,MATCH('Payment by Source'!$A199,'Budget by Source'!$A$6:$A$330,0),MATCH(U$3,'Budget by Source'!$A$5:$I$5,0))</f>
        <v>1165678</v>
      </c>
      <c r="V199" s="152">
        <f t="shared" ref="V199:V262" si="10">ROUND(U199/10,0)</f>
        <v>116568</v>
      </c>
      <c r="W199" s="152">
        <f t="shared" ref="W199:W262" si="11">V199*10</f>
        <v>1165680</v>
      </c>
    </row>
    <row r="200" spans="1:23" x14ac:dyDescent="0.2">
      <c r="A200" s="23" t="str">
        <f>Data!B196</f>
        <v>4518</v>
      </c>
      <c r="B200" s="21" t="str">
        <f>INDEX(Data[],MATCH($A200,Data[Dist],0),MATCH(B$5,Data[#Headers],0))</f>
        <v>Moulton-Udell</v>
      </c>
      <c r="C200" s="22">
        <f>IF(Notes!$B$2="June",ROUND('Budget by Source'!C200/10,0)+P200,ROUND('Budget by Source'!C200/10,0))</f>
        <v>1901</v>
      </c>
      <c r="D200" s="22">
        <f>IF(Notes!$B$2="June",ROUND('Budget by Source'!D200/10,0)+Q200,ROUND('Budget by Source'!D200/10,0))</f>
        <v>13364</v>
      </c>
      <c r="E200" s="22">
        <f>IF(Notes!$B$2="June",ROUND('Budget by Source'!E200/10,0)+R200,ROUND('Budget by Source'!E200/10,0))</f>
        <v>1555</v>
      </c>
      <c r="F200" s="22">
        <f>IF(Notes!$B$2="June",ROUND('Budget by Source'!F200/10,0)+S200,ROUND('Budget by Source'!F200/10,0))</f>
        <v>1389</v>
      </c>
      <c r="G200" s="22">
        <f>IF(Notes!$B$2="June",ROUND('Budget by Source'!G200/10,0)+T200,ROUND('Budget by Source'!G200/10,0))</f>
        <v>6814</v>
      </c>
      <c r="H200" s="22">
        <f t="shared" si="9"/>
        <v>101221</v>
      </c>
      <c r="I200" s="22">
        <f>INDEX(Data[],MATCH($A200,Data[Dist],0),MATCH(I$5,Data[#Headers],0))</f>
        <v>126244</v>
      </c>
      <c r="K200" s="69">
        <f>INDEX('Payment Total'!$A$7:$H$331,MATCH('Payment by Source'!$A200,'Payment Total'!$A$7:$A$331,0),3)-I200</f>
        <v>0</v>
      </c>
      <c r="P200" s="154">
        <f>INDEX('Budget by Source'!$A$6:$I$330,MATCH('Payment by Source'!$A200,'Budget by Source'!$A$6:$A$330,0),MATCH(P$3,'Budget by Source'!$A$5:$I$5,0))-(ROUND(INDEX('Budget by Source'!$A$6:$I$330,MATCH('Payment by Source'!$A200,'Budget by Source'!$A$6:$A$330,0),MATCH(P$3,'Budget by Source'!$A$5:$I$5,0))/10,0)*10)</f>
        <v>-5</v>
      </c>
      <c r="Q200" s="154">
        <f>INDEX('Budget by Source'!$A$6:$I$330,MATCH('Payment by Source'!$A200,'Budget by Source'!$A$6:$A$330,0),MATCH(Q$3,'Budget by Source'!$A$5:$I$5,0))-(ROUND(INDEX('Budget by Source'!$A$6:$I$330,MATCH('Payment by Source'!$A200,'Budget by Source'!$A$6:$A$330,0),MATCH(Q$3,'Budget by Source'!$A$5:$I$5,0))/10,0)*10)</f>
        <v>2</v>
      </c>
      <c r="R200" s="154">
        <f>INDEX('Budget by Source'!$A$6:$I$330,MATCH('Payment by Source'!$A200,'Budget by Source'!$A$6:$A$330,0),MATCH(R$3,'Budget by Source'!$A$5:$I$5,0))-(ROUND(INDEX('Budget by Source'!$A$6:$I$330,MATCH('Payment by Source'!$A200,'Budget by Source'!$A$6:$A$330,0),MATCH(R$3,'Budget by Source'!$A$5:$I$5,0))/10,0)*10)</f>
        <v>2</v>
      </c>
      <c r="S200" s="154">
        <f>INDEX('Budget by Source'!$A$6:$I$330,MATCH('Payment by Source'!$A200,'Budget by Source'!$A$6:$A$330,0),MATCH(S$3,'Budget by Source'!$A$5:$I$5,0))-(ROUND(INDEX('Budget by Source'!$A$6:$I$330,MATCH('Payment by Source'!$A200,'Budget by Source'!$A$6:$A$330,0),MATCH(S$3,'Budget by Source'!$A$5:$I$5,0))/10,0)*10)</f>
        <v>2</v>
      </c>
      <c r="T200" s="154">
        <f>INDEX('Budget by Source'!$A$6:$I$330,MATCH('Payment by Source'!$A200,'Budget by Source'!$A$6:$A$330,0),MATCH(T$3,'Budget by Source'!$A$5:$I$5,0))-(ROUND(INDEX('Budget by Source'!$A$6:$I$330,MATCH('Payment by Source'!$A200,'Budget by Source'!$A$6:$A$330,0),MATCH(T$3,'Budget by Source'!$A$5:$I$5,0))/10,0)*10)</f>
        <v>1</v>
      </c>
      <c r="U200" s="155">
        <f>INDEX('Budget by Source'!$A$6:$I$330,MATCH('Payment by Source'!$A200,'Budget by Source'!$A$6:$A$330,0),MATCH(U$3,'Budget by Source'!$A$5:$I$5,0))</f>
        <v>1012204</v>
      </c>
      <c r="V200" s="152">
        <f t="shared" si="10"/>
        <v>101220</v>
      </c>
      <c r="W200" s="152">
        <f t="shared" si="11"/>
        <v>1012200</v>
      </c>
    </row>
    <row r="201" spans="1:23" x14ac:dyDescent="0.2">
      <c r="A201" s="23" t="str">
        <f>Data!B197</f>
        <v>4527</v>
      </c>
      <c r="B201" s="21" t="str">
        <f>INDEX(Data[],MATCH($A201,Data[Dist],0),MATCH(B$5,Data[#Headers],0))</f>
        <v>Mount Ayr</v>
      </c>
      <c r="C201" s="22">
        <f>IF(Notes!$B$2="June",ROUND('Budget by Source'!C201/10,0)+P201,ROUND('Budget by Source'!C201/10,0))</f>
        <v>12923</v>
      </c>
      <c r="D201" s="22">
        <f>IF(Notes!$B$2="June",ROUND('Budget by Source'!D201/10,0)+Q201,ROUND('Budget by Source'!D201/10,0))</f>
        <v>43910</v>
      </c>
      <c r="E201" s="22">
        <f>IF(Notes!$B$2="June",ROUND('Budget by Source'!E201/10,0)+R201,ROUND('Budget by Source'!E201/10,0))</f>
        <v>5114</v>
      </c>
      <c r="F201" s="22">
        <f>IF(Notes!$B$2="June",ROUND('Budget by Source'!F201/10,0)+S201,ROUND('Budget by Source'!F201/10,0))</f>
        <v>5411</v>
      </c>
      <c r="G201" s="22">
        <f>IF(Notes!$B$2="June",ROUND('Budget by Source'!G201/10,0)+T201,ROUND('Budget by Source'!G201/10,0))</f>
        <v>22049</v>
      </c>
      <c r="H201" s="22">
        <f t="shared" si="9"/>
        <v>292808</v>
      </c>
      <c r="I201" s="22">
        <f>INDEX(Data[],MATCH($A201,Data[Dist],0),MATCH(I$5,Data[#Headers],0))</f>
        <v>382215</v>
      </c>
      <c r="K201" s="69">
        <f>INDEX('Payment Total'!$A$7:$H$331,MATCH('Payment by Source'!$A201,'Payment Total'!$A$7:$A$331,0),3)-I201</f>
        <v>0</v>
      </c>
      <c r="P201" s="154">
        <f>INDEX('Budget by Source'!$A$6:$I$330,MATCH('Payment by Source'!$A201,'Budget by Source'!$A$6:$A$330,0),MATCH(P$3,'Budget by Source'!$A$5:$I$5,0))-(ROUND(INDEX('Budget by Source'!$A$6:$I$330,MATCH('Payment by Source'!$A201,'Budget by Source'!$A$6:$A$330,0),MATCH(P$3,'Budget by Source'!$A$5:$I$5,0))/10,0)*10)</f>
        <v>1</v>
      </c>
      <c r="Q201" s="154">
        <f>INDEX('Budget by Source'!$A$6:$I$330,MATCH('Payment by Source'!$A201,'Budget by Source'!$A$6:$A$330,0),MATCH(Q$3,'Budget by Source'!$A$5:$I$5,0))-(ROUND(INDEX('Budget by Source'!$A$6:$I$330,MATCH('Payment by Source'!$A201,'Budget by Source'!$A$6:$A$330,0),MATCH(Q$3,'Budget by Source'!$A$5:$I$5,0))/10,0)*10)</f>
        <v>-2</v>
      </c>
      <c r="R201" s="154">
        <f>INDEX('Budget by Source'!$A$6:$I$330,MATCH('Payment by Source'!$A201,'Budget by Source'!$A$6:$A$330,0),MATCH(R$3,'Budget by Source'!$A$5:$I$5,0))-(ROUND(INDEX('Budget by Source'!$A$6:$I$330,MATCH('Payment by Source'!$A201,'Budget by Source'!$A$6:$A$330,0),MATCH(R$3,'Budget by Source'!$A$5:$I$5,0))/10,0)*10)</f>
        <v>-3</v>
      </c>
      <c r="S201" s="154">
        <f>INDEX('Budget by Source'!$A$6:$I$330,MATCH('Payment by Source'!$A201,'Budget by Source'!$A$6:$A$330,0),MATCH(S$3,'Budget by Source'!$A$5:$I$5,0))-(ROUND(INDEX('Budget by Source'!$A$6:$I$330,MATCH('Payment by Source'!$A201,'Budget by Source'!$A$6:$A$330,0),MATCH(S$3,'Budget by Source'!$A$5:$I$5,0))/10,0)*10)</f>
        <v>0</v>
      </c>
      <c r="T201" s="154">
        <f>INDEX('Budget by Source'!$A$6:$I$330,MATCH('Payment by Source'!$A201,'Budget by Source'!$A$6:$A$330,0),MATCH(T$3,'Budget by Source'!$A$5:$I$5,0))-(ROUND(INDEX('Budget by Source'!$A$6:$I$330,MATCH('Payment by Source'!$A201,'Budget by Source'!$A$6:$A$330,0),MATCH(T$3,'Budget by Source'!$A$5:$I$5,0))/10,0)*10)</f>
        <v>1</v>
      </c>
      <c r="U201" s="155">
        <f>INDEX('Budget by Source'!$A$6:$I$330,MATCH('Payment by Source'!$A201,'Budget by Source'!$A$6:$A$330,0),MATCH(U$3,'Budget by Source'!$A$5:$I$5,0))</f>
        <v>2928080</v>
      </c>
      <c r="V201" s="152">
        <f t="shared" si="10"/>
        <v>292808</v>
      </c>
      <c r="W201" s="152">
        <f t="shared" si="11"/>
        <v>2928080</v>
      </c>
    </row>
    <row r="202" spans="1:23" x14ac:dyDescent="0.2">
      <c r="A202" s="23" t="str">
        <f>Data!B198</f>
        <v>4536</v>
      </c>
      <c r="B202" s="21" t="str">
        <f>INDEX(Data[],MATCH($A202,Data[Dist],0),MATCH(B$5,Data[#Headers],0))</f>
        <v>Mount Pleasant</v>
      </c>
      <c r="C202" s="22">
        <f>IF(Notes!$B$2="June",ROUND('Budget by Source'!C202/10,0)+P202,ROUND('Budget by Source'!C202/10,0))</f>
        <v>27747</v>
      </c>
      <c r="D202" s="22">
        <f>IF(Notes!$B$2="June",ROUND('Budget by Source'!D202/10,0)+Q202,ROUND('Budget by Source'!D202/10,0))</f>
        <v>115597</v>
      </c>
      <c r="E202" s="22">
        <f>IF(Notes!$B$2="June",ROUND('Budget by Source'!E202/10,0)+R202,ROUND('Budget by Source'!E202/10,0))</f>
        <v>15269</v>
      </c>
      <c r="F202" s="22">
        <f>IF(Notes!$B$2="June",ROUND('Budget by Source'!F202/10,0)+S202,ROUND('Budget by Source'!F202/10,0))</f>
        <v>13719</v>
      </c>
      <c r="G202" s="22">
        <f>IF(Notes!$B$2="June",ROUND('Budget by Source'!G202/10,0)+T202,ROUND('Budget by Source'!G202/10,0))</f>
        <v>66037</v>
      </c>
      <c r="H202" s="22">
        <f t="shared" si="9"/>
        <v>1087009</v>
      </c>
      <c r="I202" s="22">
        <f>INDEX(Data[],MATCH($A202,Data[Dist],0),MATCH(I$5,Data[#Headers],0))</f>
        <v>1325378</v>
      </c>
      <c r="K202" s="69">
        <f>INDEX('Payment Total'!$A$7:$H$331,MATCH('Payment by Source'!$A202,'Payment Total'!$A$7:$A$331,0),3)-I202</f>
        <v>0</v>
      </c>
      <c r="P202" s="154">
        <f>INDEX('Budget by Source'!$A$6:$I$330,MATCH('Payment by Source'!$A202,'Budget by Source'!$A$6:$A$330,0),MATCH(P$3,'Budget by Source'!$A$5:$I$5,0))-(ROUND(INDEX('Budget by Source'!$A$6:$I$330,MATCH('Payment by Source'!$A202,'Budget by Source'!$A$6:$A$330,0),MATCH(P$3,'Budget by Source'!$A$5:$I$5,0))/10,0)*10)</f>
        <v>-3</v>
      </c>
      <c r="Q202" s="154">
        <f>INDEX('Budget by Source'!$A$6:$I$330,MATCH('Payment by Source'!$A202,'Budget by Source'!$A$6:$A$330,0),MATCH(Q$3,'Budget by Source'!$A$5:$I$5,0))-(ROUND(INDEX('Budget by Source'!$A$6:$I$330,MATCH('Payment by Source'!$A202,'Budget by Source'!$A$6:$A$330,0),MATCH(Q$3,'Budget by Source'!$A$5:$I$5,0))/10,0)*10)</f>
        <v>3</v>
      </c>
      <c r="R202" s="154">
        <f>INDEX('Budget by Source'!$A$6:$I$330,MATCH('Payment by Source'!$A202,'Budget by Source'!$A$6:$A$330,0),MATCH(R$3,'Budget by Source'!$A$5:$I$5,0))-(ROUND(INDEX('Budget by Source'!$A$6:$I$330,MATCH('Payment by Source'!$A202,'Budget by Source'!$A$6:$A$330,0),MATCH(R$3,'Budget by Source'!$A$5:$I$5,0))/10,0)*10)</f>
        <v>-2</v>
      </c>
      <c r="S202" s="154">
        <f>INDEX('Budget by Source'!$A$6:$I$330,MATCH('Payment by Source'!$A202,'Budget by Source'!$A$6:$A$330,0),MATCH(S$3,'Budget by Source'!$A$5:$I$5,0))-(ROUND(INDEX('Budget by Source'!$A$6:$I$330,MATCH('Payment by Source'!$A202,'Budget by Source'!$A$6:$A$330,0),MATCH(S$3,'Budget by Source'!$A$5:$I$5,0))/10,0)*10)</f>
        <v>-2</v>
      </c>
      <c r="T202" s="154">
        <f>INDEX('Budget by Source'!$A$6:$I$330,MATCH('Payment by Source'!$A202,'Budget by Source'!$A$6:$A$330,0),MATCH(T$3,'Budget by Source'!$A$5:$I$5,0))-(ROUND(INDEX('Budget by Source'!$A$6:$I$330,MATCH('Payment by Source'!$A202,'Budget by Source'!$A$6:$A$330,0),MATCH(T$3,'Budget by Source'!$A$5:$I$5,0))/10,0)*10)</f>
        <v>-1</v>
      </c>
      <c r="U202" s="155">
        <f>INDEX('Budget by Source'!$A$6:$I$330,MATCH('Payment by Source'!$A202,'Budget by Source'!$A$6:$A$330,0),MATCH(U$3,'Budget by Source'!$A$5:$I$5,0))</f>
        <v>10870091</v>
      </c>
      <c r="V202" s="152">
        <f t="shared" si="10"/>
        <v>1087009</v>
      </c>
      <c r="W202" s="152">
        <f t="shared" si="11"/>
        <v>10870090</v>
      </c>
    </row>
    <row r="203" spans="1:23" x14ac:dyDescent="0.2">
      <c r="A203" s="23" t="str">
        <f>Data!B199</f>
        <v>4554</v>
      </c>
      <c r="B203" s="21" t="str">
        <f>INDEX(Data[],MATCH($A203,Data[Dist],0),MATCH(B$5,Data[#Headers],0))</f>
        <v>Mount Vernon</v>
      </c>
      <c r="C203" s="22">
        <f>IF(Notes!$B$2="June",ROUND('Budget by Source'!C203/10,0)+P203,ROUND('Budget by Source'!C203/10,0))</f>
        <v>17104</v>
      </c>
      <c r="D203" s="22">
        <f>IF(Notes!$B$2="June",ROUND('Budget by Source'!D203/10,0)+Q203,ROUND('Budget by Source'!D203/10,0))</f>
        <v>73400</v>
      </c>
      <c r="E203" s="22">
        <f>IF(Notes!$B$2="June",ROUND('Budget by Source'!E203/10,0)+R203,ROUND('Budget by Source'!E203/10,0))</f>
        <v>9013</v>
      </c>
      <c r="F203" s="22">
        <f>IF(Notes!$B$2="June",ROUND('Budget by Source'!F203/10,0)+S203,ROUND('Budget by Source'!F203/10,0))</f>
        <v>8293</v>
      </c>
      <c r="G203" s="22">
        <f>IF(Notes!$B$2="June",ROUND('Budget by Source'!G203/10,0)+T203,ROUND('Budget by Source'!G203/10,0))</f>
        <v>40951</v>
      </c>
      <c r="H203" s="22">
        <f t="shared" si="9"/>
        <v>644964</v>
      </c>
      <c r="I203" s="22">
        <f>INDEX(Data[],MATCH($A203,Data[Dist],0),MATCH(I$5,Data[#Headers],0))</f>
        <v>793725</v>
      </c>
      <c r="K203" s="69">
        <f>INDEX('Payment Total'!$A$7:$H$331,MATCH('Payment by Source'!$A203,'Payment Total'!$A$7:$A$331,0),3)-I203</f>
        <v>0</v>
      </c>
      <c r="P203" s="154">
        <f>INDEX('Budget by Source'!$A$6:$I$330,MATCH('Payment by Source'!$A203,'Budget by Source'!$A$6:$A$330,0),MATCH(P$3,'Budget by Source'!$A$5:$I$5,0))-(ROUND(INDEX('Budget by Source'!$A$6:$I$330,MATCH('Payment by Source'!$A203,'Budget by Source'!$A$6:$A$330,0),MATCH(P$3,'Budget by Source'!$A$5:$I$5,0))/10,0)*10)</f>
        <v>2</v>
      </c>
      <c r="Q203" s="154">
        <f>INDEX('Budget by Source'!$A$6:$I$330,MATCH('Payment by Source'!$A203,'Budget by Source'!$A$6:$A$330,0),MATCH(Q$3,'Budget by Source'!$A$5:$I$5,0))-(ROUND(INDEX('Budget by Source'!$A$6:$I$330,MATCH('Payment by Source'!$A203,'Budget by Source'!$A$6:$A$330,0),MATCH(Q$3,'Budget by Source'!$A$5:$I$5,0))/10,0)*10)</f>
        <v>3</v>
      </c>
      <c r="R203" s="154">
        <f>INDEX('Budget by Source'!$A$6:$I$330,MATCH('Payment by Source'!$A203,'Budget by Source'!$A$6:$A$330,0),MATCH(R$3,'Budget by Source'!$A$5:$I$5,0))-(ROUND(INDEX('Budget by Source'!$A$6:$I$330,MATCH('Payment by Source'!$A203,'Budget by Source'!$A$6:$A$330,0),MATCH(R$3,'Budget by Source'!$A$5:$I$5,0))/10,0)*10)</f>
        <v>-1</v>
      </c>
      <c r="S203" s="154">
        <f>INDEX('Budget by Source'!$A$6:$I$330,MATCH('Payment by Source'!$A203,'Budget by Source'!$A$6:$A$330,0),MATCH(S$3,'Budget by Source'!$A$5:$I$5,0))-(ROUND(INDEX('Budget by Source'!$A$6:$I$330,MATCH('Payment by Source'!$A203,'Budget by Source'!$A$6:$A$330,0),MATCH(S$3,'Budget by Source'!$A$5:$I$5,0))/10,0)*10)</f>
        <v>-1</v>
      </c>
      <c r="T203" s="154">
        <f>INDEX('Budget by Source'!$A$6:$I$330,MATCH('Payment by Source'!$A203,'Budget by Source'!$A$6:$A$330,0),MATCH(T$3,'Budget by Source'!$A$5:$I$5,0))-(ROUND(INDEX('Budget by Source'!$A$6:$I$330,MATCH('Payment by Source'!$A203,'Budget by Source'!$A$6:$A$330,0),MATCH(T$3,'Budget by Source'!$A$5:$I$5,0))/10,0)*10)</f>
        <v>1</v>
      </c>
      <c r="U203" s="155">
        <f>INDEX('Budget by Source'!$A$6:$I$330,MATCH('Payment by Source'!$A203,'Budget by Source'!$A$6:$A$330,0),MATCH(U$3,'Budget by Source'!$A$5:$I$5,0))</f>
        <v>6449633</v>
      </c>
      <c r="V203" s="152">
        <f t="shared" si="10"/>
        <v>644963</v>
      </c>
      <c r="W203" s="152">
        <f t="shared" si="11"/>
        <v>6449630</v>
      </c>
    </row>
    <row r="204" spans="1:23" x14ac:dyDescent="0.2">
      <c r="A204" s="23" t="str">
        <f>Data!B200</f>
        <v>4572</v>
      </c>
      <c r="B204" s="21" t="str">
        <f>INDEX(Data[],MATCH($A204,Data[Dist],0),MATCH(B$5,Data[#Headers],0))</f>
        <v>Murray</v>
      </c>
      <c r="C204" s="22">
        <f>IF(Notes!$B$2="June",ROUND('Budget by Source'!C204/10,0)+P204,ROUND('Budget by Source'!C204/10,0))</f>
        <v>8742</v>
      </c>
      <c r="D204" s="22">
        <f>IF(Notes!$B$2="June",ROUND('Budget by Source'!D204/10,0)+Q204,ROUND('Budget by Source'!D204/10,0))</f>
        <v>16857</v>
      </c>
      <c r="E204" s="22">
        <f>IF(Notes!$B$2="June",ROUND('Budget by Source'!E204/10,0)+R204,ROUND('Budget by Source'!E204/10,0))</f>
        <v>2061</v>
      </c>
      <c r="F204" s="22">
        <f>IF(Notes!$B$2="June",ROUND('Budget by Source'!F204/10,0)+S204,ROUND('Budget by Source'!F204/10,0))</f>
        <v>1704</v>
      </c>
      <c r="G204" s="22">
        <f>IF(Notes!$B$2="June",ROUND('Budget by Source'!G204/10,0)+T204,ROUND('Budget by Source'!G204/10,0))</f>
        <v>8174</v>
      </c>
      <c r="H204" s="22">
        <f t="shared" si="9"/>
        <v>137923</v>
      </c>
      <c r="I204" s="22">
        <f>INDEX(Data[],MATCH($A204,Data[Dist],0),MATCH(I$5,Data[#Headers],0))</f>
        <v>175461</v>
      </c>
      <c r="K204" s="69">
        <f>INDEX('Payment Total'!$A$7:$H$331,MATCH('Payment by Source'!$A204,'Payment Total'!$A$7:$A$331,0),3)-I204</f>
        <v>0</v>
      </c>
      <c r="P204" s="154">
        <f>INDEX('Budget by Source'!$A$6:$I$330,MATCH('Payment by Source'!$A204,'Budget by Source'!$A$6:$A$330,0),MATCH(P$3,'Budget by Source'!$A$5:$I$5,0))-(ROUND(INDEX('Budget by Source'!$A$6:$I$330,MATCH('Payment by Source'!$A204,'Budget by Source'!$A$6:$A$330,0),MATCH(P$3,'Budget by Source'!$A$5:$I$5,0))/10,0)*10)</f>
        <v>2</v>
      </c>
      <c r="Q204" s="154">
        <f>INDEX('Budget by Source'!$A$6:$I$330,MATCH('Payment by Source'!$A204,'Budget by Source'!$A$6:$A$330,0),MATCH(Q$3,'Budget by Source'!$A$5:$I$5,0))-(ROUND(INDEX('Budget by Source'!$A$6:$I$330,MATCH('Payment by Source'!$A204,'Budget by Source'!$A$6:$A$330,0),MATCH(Q$3,'Budget by Source'!$A$5:$I$5,0))/10,0)*10)</f>
        <v>-2</v>
      </c>
      <c r="R204" s="154">
        <f>INDEX('Budget by Source'!$A$6:$I$330,MATCH('Payment by Source'!$A204,'Budget by Source'!$A$6:$A$330,0),MATCH(R$3,'Budget by Source'!$A$5:$I$5,0))-(ROUND(INDEX('Budget by Source'!$A$6:$I$330,MATCH('Payment by Source'!$A204,'Budget by Source'!$A$6:$A$330,0),MATCH(R$3,'Budget by Source'!$A$5:$I$5,0))/10,0)*10)</f>
        <v>4</v>
      </c>
      <c r="S204" s="154">
        <f>INDEX('Budget by Source'!$A$6:$I$330,MATCH('Payment by Source'!$A204,'Budget by Source'!$A$6:$A$330,0),MATCH(S$3,'Budget by Source'!$A$5:$I$5,0))-(ROUND(INDEX('Budget by Source'!$A$6:$I$330,MATCH('Payment by Source'!$A204,'Budget by Source'!$A$6:$A$330,0),MATCH(S$3,'Budget by Source'!$A$5:$I$5,0))/10,0)*10)</f>
        <v>3</v>
      </c>
      <c r="T204" s="154">
        <f>INDEX('Budget by Source'!$A$6:$I$330,MATCH('Payment by Source'!$A204,'Budget by Source'!$A$6:$A$330,0),MATCH(T$3,'Budget by Source'!$A$5:$I$5,0))-(ROUND(INDEX('Budget by Source'!$A$6:$I$330,MATCH('Payment by Source'!$A204,'Budget by Source'!$A$6:$A$330,0),MATCH(T$3,'Budget by Source'!$A$5:$I$5,0))/10,0)*10)</f>
        <v>0</v>
      </c>
      <c r="U204" s="155">
        <f>INDEX('Budget by Source'!$A$6:$I$330,MATCH('Payment by Source'!$A204,'Budget by Source'!$A$6:$A$330,0),MATCH(U$3,'Budget by Source'!$A$5:$I$5,0))</f>
        <v>1379223</v>
      </c>
      <c r="V204" s="152">
        <f t="shared" si="10"/>
        <v>137922</v>
      </c>
      <c r="W204" s="152">
        <f t="shared" si="11"/>
        <v>1379220</v>
      </c>
    </row>
    <row r="205" spans="1:23" x14ac:dyDescent="0.2">
      <c r="A205" s="23" t="str">
        <f>Data!B201</f>
        <v>4581</v>
      </c>
      <c r="B205" s="21" t="str">
        <f>INDEX(Data[],MATCH($A205,Data[Dist],0),MATCH(B$5,Data[#Headers],0))</f>
        <v>Muscatine</v>
      </c>
      <c r="C205" s="22">
        <f>IF(Notes!$B$2="June",ROUND('Budget by Source'!C205/10,0)+P205,ROUND('Budget by Source'!C205/10,0))</f>
        <v>89711</v>
      </c>
      <c r="D205" s="22">
        <f>IF(Notes!$B$2="June",ROUND('Budget by Source'!D205/10,0)+Q205,ROUND('Budget by Source'!D205/10,0))</f>
        <v>293830</v>
      </c>
      <c r="E205" s="22">
        <f>IF(Notes!$B$2="June",ROUND('Budget by Source'!E205/10,0)+R205,ROUND('Budget by Source'!E205/10,0))</f>
        <v>39019</v>
      </c>
      <c r="F205" s="22">
        <f>IF(Notes!$B$2="June",ROUND('Budget by Source'!F205/10,0)+S205,ROUND('Budget by Source'!F205/10,0))</f>
        <v>32252</v>
      </c>
      <c r="G205" s="22">
        <f>IF(Notes!$B$2="June",ROUND('Budget by Source'!G205/10,0)+T205,ROUND('Budget by Source'!G205/10,0))</f>
        <v>168595</v>
      </c>
      <c r="H205" s="22">
        <f t="shared" si="9"/>
        <v>2827382</v>
      </c>
      <c r="I205" s="22">
        <f>INDEX(Data[],MATCH($A205,Data[Dist],0),MATCH(I$5,Data[#Headers],0))</f>
        <v>3450789</v>
      </c>
      <c r="K205" s="69">
        <f>INDEX('Payment Total'!$A$7:$H$331,MATCH('Payment by Source'!$A205,'Payment Total'!$A$7:$A$331,0),3)-I205</f>
        <v>0</v>
      </c>
      <c r="P205" s="154">
        <f>INDEX('Budget by Source'!$A$6:$I$330,MATCH('Payment by Source'!$A205,'Budget by Source'!$A$6:$A$330,0),MATCH(P$3,'Budget by Source'!$A$5:$I$5,0))-(ROUND(INDEX('Budget by Source'!$A$6:$I$330,MATCH('Payment by Source'!$A205,'Budget by Source'!$A$6:$A$330,0),MATCH(P$3,'Budget by Source'!$A$5:$I$5,0))/10,0)*10)</f>
        <v>0</v>
      </c>
      <c r="Q205" s="154">
        <f>INDEX('Budget by Source'!$A$6:$I$330,MATCH('Payment by Source'!$A205,'Budget by Source'!$A$6:$A$330,0),MATCH(Q$3,'Budget by Source'!$A$5:$I$5,0))-(ROUND(INDEX('Budget by Source'!$A$6:$I$330,MATCH('Payment by Source'!$A205,'Budget by Source'!$A$6:$A$330,0),MATCH(Q$3,'Budget by Source'!$A$5:$I$5,0))/10,0)*10)</f>
        <v>3</v>
      </c>
      <c r="R205" s="154">
        <f>INDEX('Budget by Source'!$A$6:$I$330,MATCH('Payment by Source'!$A205,'Budget by Source'!$A$6:$A$330,0),MATCH(R$3,'Budget by Source'!$A$5:$I$5,0))-(ROUND(INDEX('Budget by Source'!$A$6:$I$330,MATCH('Payment by Source'!$A205,'Budget by Source'!$A$6:$A$330,0),MATCH(R$3,'Budget by Source'!$A$5:$I$5,0))/10,0)*10)</f>
        <v>-5</v>
      </c>
      <c r="S205" s="154">
        <f>INDEX('Budget by Source'!$A$6:$I$330,MATCH('Payment by Source'!$A205,'Budget by Source'!$A$6:$A$330,0),MATCH(S$3,'Budget by Source'!$A$5:$I$5,0))-(ROUND(INDEX('Budget by Source'!$A$6:$I$330,MATCH('Payment by Source'!$A205,'Budget by Source'!$A$6:$A$330,0),MATCH(S$3,'Budget by Source'!$A$5:$I$5,0))/10,0)*10)</f>
        <v>3</v>
      </c>
      <c r="T205" s="154">
        <f>INDEX('Budget by Source'!$A$6:$I$330,MATCH('Payment by Source'!$A205,'Budget by Source'!$A$6:$A$330,0),MATCH(T$3,'Budget by Source'!$A$5:$I$5,0))-(ROUND(INDEX('Budget by Source'!$A$6:$I$330,MATCH('Payment by Source'!$A205,'Budget by Source'!$A$6:$A$330,0),MATCH(T$3,'Budget by Source'!$A$5:$I$5,0))/10,0)*10)</f>
        <v>1</v>
      </c>
      <c r="U205" s="155">
        <f>INDEX('Budget by Source'!$A$6:$I$330,MATCH('Payment by Source'!$A205,'Budget by Source'!$A$6:$A$330,0),MATCH(U$3,'Budget by Source'!$A$5:$I$5,0))</f>
        <v>28273820</v>
      </c>
      <c r="V205" s="152">
        <f t="shared" si="10"/>
        <v>2827382</v>
      </c>
      <c r="W205" s="152">
        <f t="shared" si="11"/>
        <v>28273820</v>
      </c>
    </row>
    <row r="206" spans="1:23" x14ac:dyDescent="0.2">
      <c r="A206" s="23" t="str">
        <f>Data!B202</f>
        <v>4599</v>
      </c>
      <c r="B206" s="21" t="str">
        <f>INDEX(Data[],MATCH($A206,Data[Dist],0),MATCH(B$5,Data[#Headers],0))</f>
        <v>Nashua-Plainfield</v>
      </c>
      <c r="C206" s="22">
        <f>IF(Notes!$B$2="June",ROUND('Budget by Source'!C206/10,0)+P206,ROUND('Budget by Source'!C206/10,0))</f>
        <v>14444</v>
      </c>
      <c r="D206" s="22">
        <f>IF(Notes!$B$2="June",ROUND('Budget by Source'!D206/10,0)+Q206,ROUND('Budget by Source'!D206/10,0))</f>
        <v>38034</v>
      </c>
      <c r="E206" s="22">
        <f>IF(Notes!$B$2="June",ROUND('Budget by Source'!E206/10,0)+R206,ROUND('Budget by Source'!E206/10,0))</f>
        <v>3899</v>
      </c>
      <c r="F206" s="22">
        <f>IF(Notes!$B$2="June",ROUND('Budget by Source'!F206/10,0)+S206,ROUND('Budget by Source'!F206/10,0))</f>
        <v>4319</v>
      </c>
      <c r="G206" s="22">
        <f>IF(Notes!$B$2="June",ROUND('Budget by Source'!G206/10,0)+T206,ROUND('Budget by Source'!G206/10,0))</f>
        <v>21839</v>
      </c>
      <c r="H206" s="22">
        <f t="shared" si="9"/>
        <v>309403</v>
      </c>
      <c r="I206" s="22">
        <f>INDEX(Data[],MATCH($A206,Data[Dist],0),MATCH(I$5,Data[#Headers],0))</f>
        <v>391938</v>
      </c>
      <c r="K206" s="69">
        <f>INDEX('Payment Total'!$A$7:$H$331,MATCH('Payment by Source'!$A206,'Payment Total'!$A$7:$A$331,0),3)-I206</f>
        <v>0</v>
      </c>
      <c r="P206" s="154">
        <f>INDEX('Budget by Source'!$A$6:$I$330,MATCH('Payment by Source'!$A206,'Budget by Source'!$A$6:$A$330,0),MATCH(P$3,'Budget by Source'!$A$5:$I$5,0))-(ROUND(INDEX('Budget by Source'!$A$6:$I$330,MATCH('Payment by Source'!$A206,'Budget by Source'!$A$6:$A$330,0),MATCH(P$3,'Budget by Source'!$A$5:$I$5,0))/10,0)*10)</f>
        <v>-5</v>
      </c>
      <c r="Q206" s="154">
        <f>INDEX('Budget by Source'!$A$6:$I$330,MATCH('Payment by Source'!$A206,'Budget by Source'!$A$6:$A$330,0),MATCH(Q$3,'Budget by Source'!$A$5:$I$5,0))-(ROUND(INDEX('Budget by Source'!$A$6:$I$330,MATCH('Payment by Source'!$A206,'Budget by Source'!$A$6:$A$330,0),MATCH(Q$3,'Budget by Source'!$A$5:$I$5,0))/10,0)*10)</f>
        <v>3</v>
      </c>
      <c r="R206" s="154">
        <f>INDEX('Budget by Source'!$A$6:$I$330,MATCH('Payment by Source'!$A206,'Budget by Source'!$A$6:$A$330,0),MATCH(R$3,'Budget by Source'!$A$5:$I$5,0))-(ROUND(INDEX('Budget by Source'!$A$6:$I$330,MATCH('Payment by Source'!$A206,'Budget by Source'!$A$6:$A$330,0),MATCH(R$3,'Budget by Source'!$A$5:$I$5,0))/10,0)*10)</f>
        <v>-3</v>
      </c>
      <c r="S206" s="154">
        <f>INDEX('Budget by Source'!$A$6:$I$330,MATCH('Payment by Source'!$A206,'Budget by Source'!$A$6:$A$330,0),MATCH(S$3,'Budget by Source'!$A$5:$I$5,0))-(ROUND(INDEX('Budget by Source'!$A$6:$I$330,MATCH('Payment by Source'!$A206,'Budget by Source'!$A$6:$A$330,0),MATCH(S$3,'Budget by Source'!$A$5:$I$5,0))/10,0)*10)</f>
        <v>-1</v>
      </c>
      <c r="T206" s="154">
        <f>INDEX('Budget by Source'!$A$6:$I$330,MATCH('Payment by Source'!$A206,'Budget by Source'!$A$6:$A$330,0),MATCH(T$3,'Budget by Source'!$A$5:$I$5,0))-(ROUND(INDEX('Budget by Source'!$A$6:$I$330,MATCH('Payment by Source'!$A206,'Budget by Source'!$A$6:$A$330,0),MATCH(T$3,'Budget by Source'!$A$5:$I$5,0))/10,0)*10)</f>
        <v>1</v>
      </c>
      <c r="U206" s="155">
        <f>INDEX('Budget by Source'!$A$6:$I$330,MATCH('Payment by Source'!$A206,'Budget by Source'!$A$6:$A$330,0),MATCH(U$3,'Budget by Source'!$A$5:$I$5,0))</f>
        <v>3094030</v>
      </c>
      <c r="V206" s="152">
        <f t="shared" si="10"/>
        <v>309403</v>
      </c>
      <c r="W206" s="152">
        <f t="shared" si="11"/>
        <v>3094030</v>
      </c>
    </row>
    <row r="207" spans="1:23" x14ac:dyDescent="0.2">
      <c r="A207" s="23" t="str">
        <f>Data!B203</f>
        <v>4617</v>
      </c>
      <c r="B207" s="21" t="str">
        <f>INDEX(Data[],MATCH($A207,Data[Dist],0),MATCH(B$5,Data[#Headers],0))</f>
        <v>Nevada</v>
      </c>
      <c r="C207" s="22">
        <f>IF(Notes!$B$2="June",ROUND('Budget by Source'!C207/10,0)+P207,ROUND('Budget by Source'!C207/10,0))</f>
        <v>28507</v>
      </c>
      <c r="D207" s="22">
        <f>IF(Notes!$B$2="June",ROUND('Budget by Source'!D207/10,0)+Q207,ROUND('Budget by Source'!D207/10,0))</f>
        <v>91175</v>
      </c>
      <c r="E207" s="22">
        <f>IF(Notes!$B$2="June",ROUND('Budget by Source'!E207/10,0)+R207,ROUND('Budget by Source'!E207/10,0))</f>
        <v>12283</v>
      </c>
      <c r="F207" s="22">
        <f>IF(Notes!$B$2="June",ROUND('Budget by Source'!F207/10,0)+S207,ROUND('Budget by Source'!F207/10,0))</f>
        <v>10971</v>
      </c>
      <c r="G207" s="22">
        <f>IF(Notes!$B$2="June",ROUND('Budget by Source'!G207/10,0)+T207,ROUND('Budget by Source'!G207/10,0))</f>
        <v>51572</v>
      </c>
      <c r="H207" s="22">
        <f t="shared" si="9"/>
        <v>785082</v>
      </c>
      <c r="I207" s="22">
        <f>INDEX(Data[],MATCH($A207,Data[Dist],0),MATCH(I$5,Data[#Headers],0))</f>
        <v>979590</v>
      </c>
      <c r="K207" s="69">
        <f>INDEX('Payment Total'!$A$7:$H$331,MATCH('Payment by Source'!$A207,'Payment Total'!$A$7:$A$331,0),3)-I207</f>
        <v>0</v>
      </c>
      <c r="P207" s="154">
        <f>INDEX('Budget by Source'!$A$6:$I$330,MATCH('Payment by Source'!$A207,'Budget by Source'!$A$6:$A$330,0),MATCH(P$3,'Budget by Source'!$A$5:$I$5,0))-(ROUND(INDEX('Budget by Source'!$A$6:$I$330,MATCH('Payment by Source'!$A207,'Budget by Source'!$A$6:$A$330,0),MATCH(P$3,'Budget by Source'!$A$5:$I$5,0))/10,0)*10)</f>
        <v>-1</v>
      </c>
      <c r="Q207" s="154">
        <f>INDEX('Budget by Source'!$A$6:$I$330,MATCH('Payment by Source'!$A207,'Budget by Source'!$A$6:$A$330,0),MATCH(Q$3,'Budget by Source'!$A$5:$I$5,0))-(ROUND(INDEX('Budget by Source'!$A$6:$I$330,MATCH('Payment by Source'!$A207,'Budget by Source'!$A$6:$A$330,0),MATCH(Q$3,'Budget by Source'!$A$5:$I$5,0))/10,0)*10)</f>
        <v>1</v>
      </c>
      <c r="R207" s="154">
        <f>INDEX('Budget by Source'!$A$6:$I$330,MATCH('Payment by Source'!$A207,'Budget by Source'!$A$6:$A$330,0),MATCH(R$3,'Budget by Source'!$A$5:$I$5,0))-(ROUND(INDEX('Budget by Source'!$A$6:$I$330,MATCH('Payment by Source'!$A207,'Budget by Source'!$A$6:$A$330,0),MATCH(R$3,'Budget by Source'!$A$5:$I$5,0))/10,0)*10)</f>
        <v>-5</v>
      </c>
      <c r="S207" s="154">
        <f>INDEX('Budget by Source'!$A$6:$I$330,MATCH('Payment by Source'!$A207,'Budget by Source'!$A$6:$A$330,0),MATCH(S$3,'Budget by Source'!$A$5:$I$5,0))-(ROUND(INDEX('Budget by Source'!$A$6:$I$330,MATCH('Payment by Source'!$A207,'Budget by Source'!$A$6:$A$330,0),MATCH(S$3,'Budget by Source'!$A$5:$I$5,0))/10,0)*10)</f>
        <v>3</v>
      </c>
      <c r="T207" s="154">
        <f>INDEX('Budget by Source'!$A$6:$I$330,MATCH('Payment by Source'!$A207,'Budget by Source'!$A$6:$A$330,0),MATCH(T$3,'Budget by Source'!$A$5:$I$5,0))-(ROUND(INDEX('Budget by Source'!$A$6:$I$330,MATCH('Payment by Source'!$A207,'Budget by Source'!$A$6:$A$330,0),MATCH(T$3,'Budget by Source'!$A$5:$I$5,0))/10,0)*10)</f>
        <v>1</v>
      </c>
      <c r="U207" s="155">
        <f>INDEX('Budget by Source'!$A$6:$I$330,MATCH('Payment by Source'!$A207,'Budget by Source'!$A$6:$A$330,0),MATCH(U$3,'Budget by Source'!$A$5:$I$5,0))</f>
        <v>7850818</v>
      </c>
      <c r="V207" s="152">
        <f t="shared" si="10"/>
        <v>785082</v>
      </c>
      <c r="W207" s="152">
        <f t="shared" si="11"/>
        <v>7850820</v>
      </c>
    </row>
    <row r="208" spans="1:23" x14ac:dyDescent="0.2">
      <c r="A208" s="23" t="str">
        <f>Data!B204</f>
        <v>4644</v>
      </c>
      <c r="B208" s="21" t="str">
        <f>INDEX(Data[],MATCH($A208,Data[Dist],0),MATCH(B$5,Data[#Headers],0))</f>
        <v>Newell-Fonda</v>
      </c>
      <c r="C208" s="22">
        <f>IF(Notes!$B$2="June",ROUND('Budget by Source'!C208/10,0)+P208,ROUND('Budget by Source'!C208/10,0))</f>
        <v>11403</v>
      </c>
      <c r="D208" s="22">
        <f>IF(Notes!$B$2="June",ROUND('Budget by Source'!D208/10,0)+Q208,ROUND('Budget by Source'!D208/10,0))</f>
        <v>32971</v>
      </c>
      <c r="E208" s="22">
        <f>IF(Notes!$B$2="June",ROUND('Budget by Source'!E208/10,0)+R208,ROUND('Budget by Source'!E208/10,0))</f>
        <v>4220</v>
      </c>
      <c r="F208" s="22">
        <f>IF(Notes!$B$2="June",ROUND('Budget by Source'!F208/10,0)+S208,ROUND('Budget by Source'!F208/10,0))</f>
        <v>3547</v>
      </c>
      <c r="G208" s="22">
        <f>IF(Notes!$B$2="June",ROUND('Budget by Source'!G208/10,0)+T208,ROUND('Budget by Source'!G208/10,0))</f>
        <v>18275</v>
      </c>
      <c r="H208" s="22">
        <f t="shared" si="9"/>
        <v>224496</v>
      </c>
      <c r="I208" s="22">
        <f>INDEX(Data[],MATCH($A208,Data[Dist],0),MATCH(I$5,Data[#Headers],0))</f>
        <v>294912</v>
      </c>
      <c r="K208" s="69">
        <f>INDEX('Payment Total'!$A$7:$H$331,MATCH('Payment by Source'!$A208,'Payment Total'!$A$7:$A$331,0),3)-I208</f>
        <v>0</v>
      </c>
      <c r="P208" s="154">
        <f>INDEX('Budget by Source'!$A$6:$I$330,MATCH('Payment by Source'!$A208,'Budget by Source'!$A$6:$A$330,0),MATCH(P$3,'Budget by Source'!$A$5:$I$5,0))-(ROUND(INDEX('Budget by Source'!$A$6:$I$330,MATCH('Payment by Source'!$A208,'Budget by Source'!$A$6:$A$330,0),MATCH(P$3,'Budget by Source'!$A$5:$I$5,0))/10,0)*10)</f>
        <v>-3</v>
      </c>
      <c r="Q208" s="154">
        <f>INDEX('Budget by Source'!$A$6:$I$330,MATCH('Payment by Source'!$A208,'Budget by Source'!$A$6:$A$330,0),MATCH(Q$3,'Budget by Source'!$A$5:$I$5,0))-(ROUND(INDEX('Budget by Source'!$A$6:$I$330,MATCH('Payment by Source'!$A208,'Budget by Source'!$A$6:$A$330,0),MATCH(Q$3,'Budget by Source'!$A$5:$I$5,0))/10,0)*10)</f>
        <v>4</v>
      </c>
      <c r="R208" s="154">
        <f>INDEX('Budget by Source'!$A$6:$I$330,MATCH('Payment by Source'!$A208,'Budget by Source'!$A$6:$A$330,0),MATCH(R$3,'Budget by Source'!$A$5:$I$5,0))-(ROUND(INDEX('Budget by Source'!$A$6:$I$330,MATCH('Payment by Source'!$A208,'Budget by Source'!$A$6:$A$330,0),MATCH(R$3,'Budget by Source'!$A$5:$I$5,0))/10,0)*10)</f>
        <v>-4</v>
      </c>
      <c r="S208" s="154">
        <f>INDEX('Budget by Source'!$A$6:$I$330,MATCH('Payment by Source'!$A208,'Budget by Source'!$A$6:$A$330,0),MATCH(S$3,'Budget by Source'!$A$5:$I$5,0))-(ROUND(INDEX('Budget by Source'!$A$6:$I$330,MATCH('Payment by Source'!$A208,'Budget by Source'!$A$6:$A$330,0),MATCH(S$3,'Budget by Source'!$A$5:$I$5,0))/10,0)*10)</f>
        <v>-3</v>
      </c>
      <c r="T208" s="154">
        <f>INDEX('Budget by Source'!$A$6:$I$330,MATCH('Payment by Source'!$A208,'Budget by Source'!$A$6:$A$330,0),MATCH(T$3,'Budget by Source'!$A$5:$I$5,0))-(ROUND(INDEX('Budget by Source'!$A$6:$I$330,MATCH('Payment by Source'!$A208,'Budget by Source'!$A$6:$A$330,0),MATCH(T$3,'Budget by Source'!$A$5:$I$5,0))/10,0)*10)</f>
        <v>4</v>
      </c>
      <c r="U208" s="155">
        <f>INDEX('Budget by Source'!$A$6:$I$330,MATCH('Payment by Source'!$A208,'Budget by Source'!$A$6:$A$330,0),MATCH(U$3,'Budget by Source'!$A$5:$I$5,0))</f>
        <v>2244959</v>
      </c>
      <c r="V208" s="152">
        <f t="shared" si="10"/>
        <v>224496</v>
      </c>
      <c r="W208" s="152">
        <f t="shared" si="11"/>
        <v>2244960</v>
      </c>
    </row>
    <row r="209" spans="1:23" x14ac:dyDescent="0.2">
      <c r="A209" s="23" t="str">
        <f>Data!B205</f>
        <v>4662</v>
      </c>
      <c r="B209" s="21" t="str">
        <f>INDEX(Data[],MATCH($A209,Data[Dist],0),MATCH(B$5,Data[#Headers],0))</f>
        <v>New Hampton</v>
      </c>
      <c r="C209" s="22">
        <f>IF(Notes!$B$2="June",ROUND('Budget by Source'!C209/10,0)+P209,ROUND('Budget by Source'!C209/10,0))</f>
        <v>23946</v>
      </c>
      <c r="D209" s="22">
        <f>IF(Notes!$B$2="June",ROUND('Budget by Source'!D209/10,0)+Q209,ROUND('Budget by Source'!D209/10,0))</f>
        <v>61353</v>
      </c>
      <c r="E209" s="22">
        <f>IF(Notes!$B$2="June",ROUND('Budget by Source'!E209/10,0)+R209,ROUND('Budget by Source'!E209/10,0))</f>
        <v>5793</v>
      </c>
      <c r="F209" s="22">
        <f>IF(Notes!$B$2="June",ROUND('Budget by Source'!F209/10,0)+S209,ROUND('Budget by Source'!F209/10,0))</f>
        <v>6820</v>
      </c>
      <c r="G209" s="22">
        <f>IF(Notes!$B$2="June",ROUND('Budget by Source'!G209/10,0)+T209,ROUND('Budget by Source'!G209/10,0))</f>
        <v>34273</v>
      </c>
      <c r="H209" s="22">
        <f t="shared" si="9"/>
        <v>421031</v>
      </c>
      <c r="I209" s="22">
        <f>INDEX(Data[],MATCH($A209,Data[Dist],0),MATCH(I$5,Data[#Headers],0))</f>
        <v>553216</v>
      </c>
      <c r="K209" s="69">
        <f>INDEX('Payment Total'!$A$7:$H$331,MATCH('Payment by Source'!$A209,'Payment Total'!$A$7:$A$331,0),3)-I209</f>
        <v>0</v>
      </c>
      <c r="P209" s="154">
        <f>INDEX('Budget by Source'!$A$6:$I$330,MATCH('Payment by Source'!$A209,'Budget by Source'!$A$6:$A$330,0),MATCH(P$3,'Budget by Source'!$A$5:$I$5,0))-(ROUND(INDEX('Budget by Source'!$A$6:$I$330,MATCH('Payment by Source'!$A209,'Budget by Source'!$A$6:$A$330,0),MATCH(P$3,'Budget by Source'!$A$5:$I$5,0))/10,0)*10)</f>
        <v>-2</v>
      </c>
      <c r="Q209" s="154">
        <f>INDEX('Budget by Source'!$A$6:$I$330,MATCH('Payment by Source'!$A209,'Budget by Source'!$A$6:$A$330,0),MATCH(Q$3,'Budget by Source'!$A$5:$I$5,0))-(ROUND(INDEX('Budget by Source'!$A$6:$I$330,MATCH('Payment by Source'!$A209,'Budget by Source'!$A$6:$A$330,0),MATCH(Q$3,'Budget by Source'!$A$5:$I$5,0))/10,0)*10)</f>
        <v>0</v>
      </c>
      <c r="R209" s="154">
        <f>INDEX('Budget by Source'!$A$6:$I$330,MATCH('Payment by Source'!$A209,'Budget by Source'!$A$6:$A$330,0),MATCH(R$3,'Budget by Source'!$A$5:$I$5,0))-(ROUND(INDEX('Budget by Source'!$A$6:$I$330,MATCH('Payment by Source'!$A209,'Budget by Source'!$A$6:$A$330,0),MATCH(R$3,'Budget by Source'!$A$5:$I$5,0))/10,0)*10)</f>
        <v>0</v>
      </c>
      <c r="S209" s="154">
        <f>INDEX('Budget by Source'!$A$6:$I$330,MATCH('Payment by Source'!$A209,'Budget by Source'!$A$6:$A$330,0),MATCH(S$3,'Budget by Source'!$A$5:$I$5,0))-(ROUND(INDEX('Budget by Source'!$A$6:$I$330,MATCH('Payment by Source'!$A209,'Budget by Source'!$A$6:$A$330,0),MATCH(S$3,'Budget by Source'!$A$5:$I$5,0))/10,0)*10)</f>
        <v>-3</v>
      </c>
      <c r="T209" s="154">
        <f>INDEX('Budget by Source'!$A$6:$I$330,MATCH('Payment by Source'!$A209,'Budget by Source'!$A$6:$A$330,0),MATCH(T$3,'Budget by Source'!$A$5:$I$5,0))-(ROUND(INDEX('Budget by Source'!$A$6:$I$330,MATCH('Payment by Source'!$A209,'Budget by Source'!$A$6:$A$330,0),MATCH(T$3,'Budget by Source'!$A$5:$I$5,0))/10,0)*10)</f>
        <v>3</v>
      </c>
      <c r="U209" s="155">
        <f>INDEX('Budget by Source'!$A$6:$I$330,MATCH('Payment by Source'!$A209,'Budget by Source'!$A$6:$A$330,0),MATCH(U$3,'Budget by Source'!$A$5:$I$5,0))</f>
        <v>4210310</v>
      </c>
      <c r="V209" s="152">
        <f t="shared" si="10"/>
        <v>421031</v>
      </c>
      <c r="W209" s="152">
        <f t="shared" si="11"/>
        <v>4210310</v>
      </c>
    </row>
    <row r="210" spans="1:23" x14ac:dyDescent="0.2">
      <c r="A210" s="23" t="str">
        <f>Data!B206</f>
        <v>4689</v>
      </c>
      <c r="B210" s="21" t="str">
        <f>INDEX(Data[],MATCH($A210,Data[Dist],0),MATCH(B$5,Data[#Headers],0))</f>
        <v>New London</v>
      </c>
      <c r="C210" s="22">
        <f>IF(Notes!$B$2="June",ROUND('Budget by Source'!C210/10,0)+P210,ROUND('Budget by Source'!C210/10,0))</f>
        <v>8362</v>
      </c>
      <c r="D210" s="22">
        <f>IF(Notes!$B$2="June",ROUND('Budget by Source'!D210/10,0)+Q210,ROUND('Budget by Source'!D210/10,0))</f>
        <v>36627</v>
      </c>
      <c r="E210" s="22">
        <f>IF(Notes!$B$2="June",ROUND('Budget by Source'!E210/10,0)+R210,ROUND('Budget by Source'!E210/10,0))</f>
        <v>4382</v>
      </c>
      <c r="F210" s="22">
        <f>IF(Notes!$B$2="June",ROUND('Budget by Source'!F210/10,0)+S210,ROUND('Budget by Source'!F210/10,0))</f>
        <v>3888</v>
      </c>
      <c r="G210" s="22">
        <f>IF(Notes!$B$2="June",ROUND('Budget by Source'!G210/10,0)+T210,ROUND('Budget by Source'!G210/10,0))</f>
        <v>19974</v>
      </c>
      <c r="H210" s="22">
        <f t="shared" si="9"/>
        <v>358265</v>
      </c>
      <c r="I210" s="22">
        <f>INDEX(Data[],MATCH($A210,Data[Dist],0),MATCH(I$5,Data[#Headers],0))</f>
        <v>431498</v>
      </c>
      <c r="K210" s="69">
        <f>INDEX('Payment Total'!$A$7:$H$331,MATCH('Payment by Source'!$A210,'Payment Total'!$A$7:$A$331,0),3)-I210</f>
        <v>0</v>
      </c>
      <c r="P210" s="154">
        <f>INDEX('Budget by Source'!$A$6:$I$330,MATCH('Payment by Source'!$A210,'Budget by Source'!$A$6:$A$330,0),MATCH(P$3,'Budget by Source'!$A$5:$I$5,0))-(ROUND(INDEX('Budget by Source'!$A$6:$I$330,MATCH('Payment by Source'!$A210,'Budget by Source'!$A$6:$A$330,0),MATCH(P$3,'Budget by Source'!$A$5:$I$5,0))/10,0)*10)</f>
        <v>0</v>
      </c>
      <c r="Q210" s="154">
        <f>INDEX('Budget by Source'!$A$6:$I$330,MATCH('Payment by Source'!$A210,'Budget by Source'!$A$6:$A$330,0),MATCH(Q$3,'Budget by Source'!$A$5:$I$5,0))-(ROUND(INDEX('Budget by Source'!$A$6:$I$330,MATCH('Payment by Source'!$A210,'Budget by Source'!$A$6:$A$330,0),MATCH(Q$3,'Budget by Source'!$A$5:$I$5,0))/10,0)*10)</f>
        <v>3</v>
      </c>
      <c r="R210" s="154">
        <f>INDEX('Budget by Source'!$A$6:$I$330,MATCH('Payment by Source'!$A210,'Budget by Source'!$A$6:$A$330,0),MATCH(R$3,'Budget by Source'!$A$5:$I$5,0))-(ROUND(INDEX('Budget by Source'!$A$6:$I$330,MATCH('Payment by Source'!$A210,'Budget by Source'!$A$6:$A$330,0),MATCH(R$3,'Budget by Source'!$A$5:$I$5,0))/10,0)*10)</f>
        <v>-5</v>
      </c>
      <c r="S210" s="154">
        <f>INDEX('Budget by Source'!$A$6:$I$330,MATCH('Payment by Source'!$A210,'Budget by Source'!$A$6:$A$330,0),MATCH(S$3,'Budget by Source'!$A$5:$I$5,0))-(ROUND(INDEX('Budget by Source'!$A$6:$I$330,MATCH('Payment by Source'!$A210,'Budget by Source'!$A$6:$A$330,0),MATCH(S$3,'Budget by Source'!$A$5:$I$5,0))/10,0)*10)</f>
        <v>3</v>
      </c>
      <c r="T210" s="154">
        <f>INDEX('Budget by Source'!$A$6:$I$330,MATCH('Payment by Source'!$A210,'Budget by Source'!$A$6:$A$330,0),MATCH(T$3,'Budget by Source'!$A$5:$I$5,0))-(ROUND(INDEX('Budget by Source'!$A$6:$I$330,MATCH('Payment by Source'!$A210,'Budget by Source'!$A$6:$A$330,0),MATCH(T$3,'Budget by Source'!$A$5:$I$5,0))/10,0)*10)</f>
        <v>3</v>
      </c>
      <c r="U210" s="155">
        <f>INDEX('Budget by Source'!$A$6:$I$330,MATCH('Payment by Source'!$A210,'Budget by Source'!$A$6:$A$330,0),MATCH(U$3,'Budget by Source'!$A$5:$I$5,0))</f>
        <v>3582644</v>
      </c>
      <c r="V210" s="152">
        <f t="shared" si="10"/>
        <v>358264</v>
      </c>
      <c r="W210" s="152">
        <f t="shared" si="11"/>
        <v>3582640</v>
      </c>
    </row>
    <row r="211" spans="1:23" x14ac:dyDescent="0.2">
      <c r="A211" s="23" t="str">
        <f>Data!B207</f>
        <v>4725</v>
      </c>
      <c r="B211" s="21" t="str">
        <f>INDEX(Data[],MATCH($A211,Data[Dist],0),MATCH(B$5,Data[#Headers],0))</f>
        <v>Newton</v>
      </c>
      <c r="C211" s="22">
        <f>IF(Notes!$B$2="June",ROUND('Budget by Source'!C211/10,0)+P211,ROUND('Budget by Source'!C211/10,0))</f>
        <v>40670</v>
      </c>
      <c r="D211" s="22">
        <f>IF(Notes!$B$2="June",ROUND('Budget by Source'!D211/10,0)+Q211,ROUND('Budget by Source'!D211/10,0))</f>
        <v>190434</v>
      </c>
      <c r="E211" s="22">
        <f>IF(Notes!$B$2="June",ROUND('Budget by Source'!E211/10,0)+R211,ROUND('Budget by Source'!E211/10,0))</f>
        <v>24649</v>
      </c>
      <c r="F211" s="22">
        <f>IF(Notes!$B$2="June",ROUND('Budget by Source'!F211/10,0)+S211,ROUND('Budget by Source'!F211/10,0))</f>
        <v>21233</v>
      </c>
      <c r="G211" s="22">
        <f>IF(Notes!$B$2="June",ROUND('Budget by Source'!G211/10,0)+T211,ROUND('Budget by Source'!G211/10,0))</f>
        <v>108996</v>
      </c>
      <c r="H211" s="22">
        <f t="shared" si="9"/>
        <v>1943295</v>
      </c>
      <c r="I211" s="22">
        <f>INDEX(Data[],MATCH($A211,Data[Dist],0),MATCH(I$5,Data[#Headers],0))</f>
        <v>2329277</v>
      </c>
      <c r="K211" s="69">
        <f>INDEX('Payment Total'!$A$7:$H$331,MATCH('Payment by Source'!$A211,'Payment Total'!$A$7:$A$331,0),3)-I211</f>
        <v>0</v>
      </c>
      <c r="P211" s="154">
        <f>INDEX('Budget by Source'!$A$6:$I$330,MATCH('Payment by Source'!$A211,'Budget by Source'!$A$6:$A$330,0),MATCH(P$3,'Budget by Source'!$A$5:$I$5,0))-(ROUND(INDEX('Budget by Source'!$A$6:$I$330,MATCH('Payment by Source'!$A211,'Budget by Source'!$A$6:$A$330,0),MATCH(P$3,'Budget by Source'!$A$5:$I$5,0))/10,0)*10)</f>
        <v>-2</v>
      </c>
      <c r="Q211" s="154">
        <f>INDEX('Budget by Source'!$A$6:$I$330,MATCH('Payment by Source'!$A211,'Budget by Source'!$A$6:$A$330,0),MATCH(Q$3,'Budget by Source'!$A$5:$I$5,0))-(ROUND(INDEX('Budget by Source'!$A$6:$I$330,MATCH('Payment by Source'!$A211,'Budget by Source'!$A$6:$A$330,0),MATCH(Q$3,'Budget by Source'!$A$5:$I$5,0))/10,0)*10)</f>
        <v>-1</v>
      </c>
      <c r="R211" s="154">
        <f>INDEX('Budget by Source'!$A$6:$I$330,MATCH('Payment by Source'!$A211,'Budget by Source'!$A$6:$A$330,0),MATCH(R$3,'Budget by Source'!$A$5:$I$5,0))-(ROUND(INDEX('Budget by Source'!$A$6:$I$330,MATCH('Payment by Source'!$A211,'Budget by Source'!$A$6:$A$330,0),MATCH(R$3,'Budget by Source'!$A$5:$I$5,0))/10,0)*10)</f>
        <v>-4</v>
      </c>
      <c r="S211" s="154">
        <f>INDEX('Budget by Source'!$A$6:$I$330,MATCH('Payment by Source'!$A211,'Budget by Source'!$A$6:$A$330,0),MATCH(S$3,'Budget by Source'!$A$5:$I$5,0))-(ROUND(INDEX('Budget by Source'!$A$6:$I$330,MATCH('Payment by Source'!$A211,'Budget by Source'!$A$6:$A$330,0),MATCH(S$3,'Budget by Source'!$A$5:$I$5,0))/10,0)*10)</f>
        <v>-4</v>
      </c>
      <c r="T211" s="154">
        <f>INDEX('Budget by Source'!$A$6:$I$330,MATCH('Payment by Source'!$A211,'Budget by Source'!$A$6:$A$330,0),MATCH(T$3,'Budget by Source'!$A$5:$I$5,0))-(ROUND(INDEX('Budget by Source'!$A$6:$I$330,MATCH('Payment by Source'!$A211,'Budget by Source'!$A$6:$A$330,0),MATCH(T$3,'Budget by Source'!$A$5:$I$5,0))/10,0)*10)</f>
        <v>4</v>
      </c>
      <c r="U211" s="155">
        <f>INDEX('Budget by Source'!$A$6:$I$330,MATCH('Payment by Source'!$A211,'Budget by Source'!$A$6:$A$330,0),MATCH(U$3,'Budget by Source'!$A$5:$I$5,0))</f>
        <v>19432956</v>
      </c>
      <c r="V211" s="152">
        <f t="shared" si="10"/>
        <v>1943296</v>
      </c>
      <c r="W211" s="152">
        <f t="shared" si="11"/>
        <v>19432960</v>
      </c>
    </row>
    <row r="212" spans="1:23" x14ac:dyDescent="0.2">
      <c r="A212" s="23" t="str">
        <f>Data!B208</f>
        <v>4772</v>
      </c>
      <c r="B212" s="21" t="str">
        <f>INDEX(Data[],MATCH($A212,Data[Dist],0),MATCH(B$5,Data[#Headers],0))</f>
        <v>Central Springs</v>
      </c>
      <c r="C212" s="22">
        <f>IF(Notes!$B$2="June",ROUND('Budget by Source'!C212/10,0)+P212,ROUND('Budget by Source'!C212/10,0))</f>
        <v>17864</v>
      </c>
      <c r="D212" s="22">
        <f>IF(Notes!$B$2="June",ROUND('Budget by Source'!D212/10,0)+Q212,ROUND('Budget by Source'!D212/10,0))</f>
        <v>55193</v>
      </c>
      <c r="E212" s="22">
        <f>IF(Notes!$B$2="June",ROUND('Budget by Source'!E212/10,0)+R212,ROUND('Budget by Source'!E212/10,0))</f>
        <v>5789</v>
      </c>
      <c r="F212" s="22">
        <f>IF(Notes!$B$2="June",ROUND('Budget by Source'!F212/10,0)+S212,ROUND('Budget by Source'!F212/10,0))</f>
        <v>6202</v>
      </c>
      <c r="G212" s="22">
        <f>IF(Notes!$B$2="June",ROUND('Budget by Source'!G212/10,0)+T212,ROUND('Budget by Source'!G212/10,0))</f>
        <v>29678</v>
      </c>
      <c r="H212" s="22">
        <f t="shared" si="9"/>
        <v>417195</v>
      </c>
      <c r="I212" s="22">
        <f>INDEX(Data[],MATCH($A212,Data[Dist],0),MATCH(I$5,Data[#Headers],0))</f>
        <v>531921</v>
      </c>
      <c r="K212" s="69">
        <f>INDEX('Payment Total'!$A$7:$H$331,MATCH('Payment by Source'!$A212,'Payment Total'!$A$7:$A$331,0),3)-I212</f>
        <v>0</v>
      </c>
      <c r="P212" s="154">
        <f>INDEX('Budget by Source'!$A$6:$I$330,MATCH('Payment by Source'!$A212,'Budget by Source'!$A$6:$A$330,0),MATCH(P$3,'Budget by Source'!$A$5:$I$5,0))-(ROUND(INDEX('Budget by Source'!$A$6:$I$330,MATCH('Payment by Source'!$A212,'Budget by Source'!$A$6:$A$330,0),MATCH(P$3,'Budget by Source'!$A$5:$I$5,0))/10,0)*10)</f>
        <v>4</v>
      </c>
      <c r="Q212" s="154">
        <f>INDEX('Budget by Source'!$A$6:$I$330,MATCH('Payment by Source'!$A212,'Budget by Source'!$A$6:$A$330,0),MATCH(Q$3,'Budget by Source'!$A$5:$I$5,0))-(ROUND(INDEX('Budget by Source'!$A$6:$I$330,MATCH('Payment by Source'!$A212,'Budget by Source'!$A$6:$A$330,0),MATCH(Q$3,'Budget by Source'!$A$5:$I$5,0))/10,0)*10)</f>
        <v>-2</v>
      </c>
      <c r="R212" s="154">
        <f>INDEX('Budget by Source'!$A$6:$I$330,MATCH('Payment by Source'!$A212,'Budget by Source'!$A$6:$A$330,0),MATCH(R$3,'Budget by Source'!$A$5:$I$5,0))-(ROUND(INDEX('Budget by Source'!$A$6:$I$330,MATCH('Payment by Source'!$A212,'Budget by Source'!$A$6:$A$330,0),MATCH(R$3,'Budget by Source'!$A$5:$I$5,0))/10,0)*10)</f>
        <v>3</v>
      </c>
      <c r="S212" s="154">
        <f>INDEX('Budget by Source'!$A$6:$I$330,MATCH('Payment by Source'!$A212,'Budget by Source'!$A$6:$A$330,0),MATCH(S$3,'Budget by Source'!$A$5:$I$5,0))-(ROUND(INDEX('Budget by Source'!$A$6:$I$330,MATCH('Payment by Source'!$A212,'Budget by Source'!$A$6:$A$330,0),MATCH(S$3,'Budget by Source'!$A$5:$I$5,0))/10,0)*10)</f>
        <v>-4</v>
      </c>
      <c r="T212" s="154">
        <f>INDEX('Budget by Source'!$A$6:$I$330,MATCH('Payment by Source'!$A212,'Budget by Source'!$A$6:$A$330,0),MATCH(T$3,'Budget by Source'!$A$5:$I$5,0))-(ROUND(INDEX('Budget by Source'!$A$6:$I$330,MATCH('Payment by Source'!$A212,'Budget by Source'!$A$6:$A$330,0),MATCH(T$3,'Budget by Source'!$A$5:$I$5,0))/10,0)*10)</f>
        <v>-3</v>
      </c>
      <c r="U212" s="155">
        <f>INDEX('Budget by Source'!$A$6:$I$330,MATCH('Payment by Source'!$A212,'Budget by Source'!$A$6:$A$330,0),MATCH(U$3,'Budget by Source'!$A$5:$I$5,0))</f>
        <v>4171955</v>
      </c>
      <c r="V212" s="152">
        <f t="shared" si="10"/>
        <v>417196</v>
      </c>
      <c r="W212" s="152">
        <f t="shared" si="11"/>
        <v>4171960</v>
      </c>
    </row>
    <row r="213" spans="1:23" x14ac:dyDescent="0.2">
      <c r="A213" s="23" t="str">
        <f>Data!B209</f>
        <v>4773</v>
      </c>
      <c r="B213" s="21" t="str">
        <f>INDEX(Data[],MATCH($A213,Data[Dist],0),MATCH(B$5,Data[#Headers],0))</f>
        <v>Northeast</v>
      </c>
      <c r="C213" s="22">
        <f>IF(Notes!$B$2="June",ROUND('Budget by Source'!C213/10,0)+P213,ROUND('Budget by Source'!C213/10,0))</f>
        <v>15204</v>
      </c>
      <c r="D213" s="22">
        <f>IF(Notes!$B$2="June",ROUND('Budget by Source'!D213/10,0)+Q213,ROUND('Budget by Source'!D213/10,0))</f>
        <v>37066</v>
      </c>
      <c r="E213" s="22">
        <f>IF(Notes!$B$2="June",ROUND('Budget by Source'!E213/10,0)+R213,ROUND('Budget by Source'!E213/10,0))</f>
        <v>4489</v>
      </c>
      <c r="F213" s="22">
        <f>IF(Notes!$B$2="June",ROUND('Budget by Source'!F213/10,0)+S213,ROUND('Budget by Source'!F213/10,0))</f>
        <v>4181</v>
      </c>
      <c r="G213" s="22">
        <f>IF(Notes!$B$2="June",ROUND('Budget by Source'!G213/10,0)+T213,ROUND('Budget by Source'!G213/10,0))</f>
        <v>19422</v>
      </c>
      <c r="H213" s="22">
        <f t="shared" si="9"/>
        <v>270002</v>
      </c>
      <c r="I213" s="22">
        <f>INDEX(Data[],MATCH($A213,Data[Dist],0),MATCH(I$5,Data[#Headers],0))</f>
        <v>350364</v>
      </c>
      <c r="K213" s="69">
        <f>INDEX('Payment Total'!$A$7:$H$331,MATCH('Payment by Source'!$A213,'Payment Total'!$A$7:$A$331,0),3)-I213</f>
        <v>0</v>
      </c>
      <c r="P213" s="154">
        <f>INDEX('Budget by Source'!$A$6:$I$330,MATCH('Payment by Source'!$A213,'Budget by Source'!$A$6:$A$330,0),MATCH(P$3,'Budget by Source'!$A$5:$I$5,0))-(ROUND(INDEX('Budget by Source'!$A$6:$I$330,MATCH('Payment by Source'!$A213,'Budget by Source'!$A$6:$A$330,0),MATCH(P$3,'Budget by Source'!$A$5:$I$5,0))/10,0)*10)</f>
        <v>-3</v>
      </c>
      <c r="Q213" s="154">
        <f>INDEX('Budget by Source'!$A$6:$I$330,MATCH('Payment by Source'!$A213,'Budget by Source'!$A$6:$A$330,0),MATCH(Q$3,'Budget by Source'!$A$5:$I$5,0))-(ROUND(INDEX('Budget by Source'!$A$6:$I$330,MATCH('Payment by Source'!$A213,'Budget by Source'!$A$6:$A$330,0),MATCH(Q$3,'Budget by Source'!$A$5:$I$5,0))/10,0)*10)</f>
        <v>-5</v>
      </c>
      <c r="R213" s="154">
        <f>INDEX('Budget by Source'!$A$6:$I$330,MATCH('Payment by Source'!$A213,'Budget by Source'!$A$6:$A$330,0),MATCH(R$3,'Budget by Source'!$A$5:$I$5,0))-(ROUND(INDEX('Budget by Source'!$A$6:$I$330,MATCH('Payment by Source'!$A213,'Budget by Source'!$A$6:$A$330,0),MATCH(R$3,'Budget by Source'!$A$5:$I$5,0))/10,0)*10)</f>
        <v>0</v>
      </c>
      <c r="S213" s="154">
        <f>INDEX('Budget by Source'!$A$6:$I$330,MATCH('Payment by Source'!$A213,'Budget by Source'!$A$6:$A$330,0),MATCH(S$3,'Budget by Source'!$A$5:$I$5,0))-(ROUND(INDEX('Budget by Source'!$A$6:$I$330,MATCH('Payment by Source'!$A213,'Budget by Source'!$A$6:$A$330,0),MATCH(S$3,'Budget by Source'!$A$5:$I$5,0))/10,0)*10)</f>
        <v>2</v>
      </c>
      <c r="T213" s="154">
        <f>INDEX('Budget by Source'!$A$6:$I$330,MATCH('Payment by Source'!$A213,'Budget by Source'!$A$6:$A$330,0),MATCH(T$3,'Budget by Source'!$A$5:$I$5,0))-(ROUND(INDEX('Budget by Source'!$A$6:$I$330,MATCH('Payment by Source'!$A213,'Budget by Source'!$A$6:$A$330,0),MATCH(T$3,'Budget by Source'!$A$5:$I$5,0))/10,0)*10)</f>
        <v>-5</v>
      </c>
      <c r="U213" s="155">
        <f>INDEX('Budget by Source'!$A$6:$I$330,MATCH('Payment by Source'!$A213,'Budget by Source'!$A$6:$A$330,0),MATCH(U$3,'Budget by Source'!$A$5:$I$5,0))</f>
        <v>2700035</v>
      </c>
      <c r="V213" s="152">
        <f t="shared" si="10"/>
        <v>270004</v>
      </c>
      <c r="W213" s="152">
        <f t="shared" si="11"/>
        <v>2700040</v>
      </c>
    </row>
    <row r="214" spans="1:23" x14ac:dyDescent="0.2">
      <c r="A214" s="23" t="str">
        <f>Data!B210</f>
        <v>4774</v>
      </c>
      <c r="B214" s="21" t="str">
        <f>INDEX(Data[],MATCH($A214,Data[Dist],0),MATCH(B$5,Data[#Headers],0))</f>
        <v>North Fayette Valley</v>
      </c>
      <c r="C214" s="22">
        <f>IF(Notes!$B$2="June",ROUND('Budget by Source'!C214/10,0)+P214,ROUND('Budget by Source'!C214/10,0))</f>
        <v>23566</v>
      </c>
      <c r="D214" s="22">
        <f>IF(Notes!$B$2="June",ROUND('Budget by Source'!D214/10,0)+Q214,ROUND('Budget by Source'!D214/10,0))</f>
        <v>75699</v>
      </c>
      <c r="E214" s="22">
        <f>IF(Notes!$B$2="June",ROUND('Budget by Source'!E214/10,0)+R214,ROUND('Budget by Source'!E214/10,0))</f>
        <v>8373</v>
      </c>
      <c r="F214" s="22">
        <f>IF(Notes!$B$2="June",ROUND('Budget by Source'!F214/10,0)+S214,ROUND('Budget by Source'!F214/10,0))</f>
        <v>8309</v>
      </c>
      <c r="G214" s="22">
        <f>IF(Notes!$B$2="June",ROUND('Budget by Source'!G214/10,0)+T214,ROUND('Budget by Source'!G214/10,0))</f>
        <v>41939</v>
      </c>
      <c r="H214" s="22">
        <f t="shared" si="9"/>
        <v>662282</v>
      </c>
      <c r="I214" s="22">
        <f>INDEX(Data[],MATCH($A214,Data[Dist],0),MATCH(I$5,Data[#Headers],0))</f>
        <v>820168</v>
      </c>
      <c r="K214" s="69">
        <f>INDEX('Payment Total'!$A$7:$H$331,MATCH('Payment by Source'!$A214,'Payment Total'!$A$7:$A$331,0),3)-I214</f>
        <v>0</v>
      </c>
      <c r="P214" s="154">
        <f>INDEX('Budget by Source'!$A$6:$I$330,MATCH('Payment by Source'!$A214,'Budget by Source'!$A$6:$A$330,0),MATCH(P$3,'Budget by Source'!$A$5:$I$5,0))-(ROUND(INDEX('Budget by Source'!$A$6:$I$330,MATCH('Payment by Source'!$A214,'Budget by Source'!$A$6:$A$330,0),MATCH(P$3,'Budget by Source'!$A$5:$I$5,0))/10,0)*10)</f>
        <v>-3</v>
      </c>
      <c r="Q214" s="154">
        <f>INDEX('Budget by Source'!$A$6:$I$330,MATCH('Payment by Source'!$A214,'Budget by Source'!$A$6:$A$330,0),MATCH(Q$3,'Budget by Source'!$A$5:$I$5,0))-(ROUND(INDEX('Budget by Source'!$A$6:$I$330,MATCH('Payment by Source'!$A214,'Budget by Source'!$A$6:$A$330,0),MATCH(Q$3,'Budget by Source'!$A$5:$I$5,0))/10,0)*10)</f>
        <v>-4</v>
      </c>
      <c r="R214" s="154">
        <f>INDEX('Budget by Source'!$A$6:$I$330,MATCH('Payment by Source'!$A214,'Budget by Source'!$A$6:$A$330,0),MATCH(R$3,'Budget by Source'!$A$5:$I$5,0))-(ROUND(INDEX('Budget by Source'!$A$6:$I$330,MATCH('Payment by Source'!$A214,'Budget by Source'!$A$6:$A$330,0),MATCH(R$3,'Budget by Source'!$A$5:$I$5,0))/10,0)*10)</f>
        <v>4</v>
      </c>
      <c r="S214" s="154">
        <f>INDEX('Budget by Source'!$A$6:$I$330,MATCH('Payment by Source'!$A214,'Budget by Source'!$A$6:$A$330,0),MATCH(S$3,'Budget by Source'!$A$5:$I$5,0))-(ROUND(INDEX('Budget by Source'!$A$6:$I$330,MATCH('Payment by Source'!$A214,'Budget by Source'!$A$6:$A$330,0),MATCH(S$3,'Budget by Source'!$A$5:$I$5,0))/10,0)*10)</f>
        <v>-5</v>
      </c>
      <c r="T214" s="154">
        <f>INDEX('Budget by Source'!$A$6:$I$330,MATCH('Payment by Source'!$A214,'Budget by Source'!$A$6:$A$330,0),MATCH(T$3,'Budget by Source'!$A$5:$I$5,0))-(ROUND(INDEX('Budget by Source'!$A$6:$I$330,MATCH('Payment by Source'!$A214,'Budget by Source'!$A$6:$A$330,0),MATCH(T$3,'Budget by Source'!$A$5:$I$5,0))/10,0)*10)</f>
        <v>-3</v>
      </c>
      <c r="U214" s="155">
        <f>INDEX('Budget by Source'!$A$6:$I$330,MATCH('Payment by Source'!$A214,'Budget by Source'!$A$6:$A$330,0),MATCH(U$3,'Budget by Source'!$A$5:$I$5,0))</f>
        <v>6622831</v>
      </c>
      <c r="V214" s="152">
        <f t="shared" si="10"/>
        <v>662283</v>
      </c>
      <c r="W214" s="152">
        <f t="shared" si="11"/>
        <v>6622830</v>
      </c>
    </row>
    <row r="215" spans="1:23" x14ac:dyDescent="0.2">
      <c r="A215" s="23" t="str">
        <f>Data!B211</f>
        <v>4776</v>
      </c>
      <c r="B215" s="21" t="str">
        <f>INDEX(Data[],MATCH($A215,Data[Dist],0),MATCH(B$5,Data[#Headers],0))</f>
        <v>North Mahaska</v>
      </c>
      <c r="C215" s="22">
        <f>IF(Notes!$B$2="June",ROUND('Budget by Source'!C215/10,0)+P215,ROUND('Budget by Source'!C215/10,0))</f>
        <v>9882</v>
      </c>
      <c r="D215" s="22">
        <f>IF(Notes!$B$2="June",ROUND('Budget by Source'!D215/10,0)+Q215,ROUND('Budget by Source'!D215/10,0))</f>
        <v>33418</v>
      </c>
      <c r="E215" s="22">
        <f>IF(Notes!$B$2="June",ROUND('Budget by Source'!E215/10,0)+R215,ROUND('Budget by Source'!E215/10,0))</f>
        <v>4193</v>
      </c>
      <c r="F215" s="22">
        <f>IF(Notes!$B$2="June",ROUND('Budget by Source'!F215/10,0)+S215,ROUND('Budget by Source'!F215/10,0))</f>
        <v>3611</v>
      </c>
      <c r="G215" s="22">
        <f>IF(Notes!$B$2="June",ROUND('Budget by Source'!G215/10,0)+T215,ROUND('Budget by Source'!G215/10,0))</f>
        <v>18003</v>
      </c>
      <c r="H215" s="22">
        <f t="shared" si="9"/>
        <v>237665</v>
      </c>
      <c r="I215" s="22">
        <f>INDEX(Data[],MATCH($A215,Data[Dist],0),MATCH(I$5,Data[#Headers],0))</f>
        <v>306772</v>
      </c>
      <c r="K215" s="69">
        <f>INDEX('Payment Total'!$A$7:$H$331,MATCH('Payment by Source'!$A215,'Payment Total'!$A$7:$A$331,0),3)-I215</f>
        <v>0</v>
      </c>
      <c r="P215" s="154">
        <f>INDEX('Budget by Source'!$A$6:$I$330,MATCH('Payment by Source'!$A215,'Budget by Source'!$A$6:$A$330,0),MATCH(P$3,'Budget by Source'!$A$5:$I$5,0))-(ROUND(INDEX('Budget by Source'!$A$6:$I$330,MATCH('Payment by Source'!$A215,'Budget by Source'!$A$6:$A$330,0),MATCH(P$3,'Budget by Source'!$A$5:$I$5,0))/10,0)*10)</f>
        <v>4</v>
      </c>
      <c r="Q215" s="154">
        <f>INDEX('Budget by Source'!$A$6:$I$330,MATCH('Payment by Source'!$A215,'Budget by Source'!$A$6:$A$330,0),MATCH(Q$3,'Budget by Source'!$A$5:$I$5,0))-(ROUND(INDEX('Budget by Source'!$A$6:$I$330,MATCH('Payment by Source'!$A215,'Budget by Source'!$A$6:$A$330,0),MATCH(Q$3,'Budget by Source'!$A$5:$I$5,0))/10,0)*10)</f>
        <v>-2</v>
      </c>
      <c r="R215" s="154">
        <f>INDEX('Budget by Source'!$A$6:$I$330,MATCH('Payment by Source'!$A215,'Budget by Source'!$A$6:$A$330,0),MATCH(R$3,'Budget by Source'!$A$5:$I$5,0))-(ROUND(INDEX('Budget by Source'!$A$6:$I$330,MATCH('Payment by Source'!$A215,'Budget by Source'!$A$6:$A$330,0),MATCH(R$3,'Budget by Source'!$A$5:$I$5,0))/10,0)*10)</f>
        <v>-2</v>
      </c>
      <c r="S215" s="154">
        <f>INDEX('Budget by Source'!$A$6:$I$330,MATCH('Payment by Source'!$A215,'Budget by Source'!$A$6:$A$330,0),MATCH(S$3,'Budget by Source'!$A$5:$I$5,0))-(ROUND(INDEX('Budget by Source'!$A$6:$I$330,MATCH('Payment by Source'!$A215,'Budget by Source'!$A$6:$A$330,0),MATCH(S$3,'Budget by Source'!$A$5:$I$5,0))/10,0)*10)</f>
        <v>-5</v>
      </c>
      <c r="T215" s="154">
        <f>INDEX('Budget by Source'!$A$6:$I$330,MATCH('Payment by Source'!$A215,'Budget by Source'!$A$6:$A$330,0),MATCH(T$3,'Budget by Source'!$A$5:$I$5,0))-(ROUND(INDEX('Budget by Source'!$A$6:$I$330,MATCH('Payment by Source'!$A215,'Budget by Source'!$A$6:$A$330,0),MATCH(T$3,'Budget by Source'!$A$5:$I$5,0))/10,0)*10)</f>
        <v>-3</v>
      </c>
      <c r="U215" s="155">
        <f>INDEX('Budget by Source'!$A$6:$I$330,MATCH('Payment by Source'!$A215,'Budget by Source'!$A$6:$A$330,0),MATCH(U$3,'Budget by Source'!$A$5:$I$5,0))</f>
        <v>2376658</v>
      </c>
      <c r="V215" s="152">
        <f t="shared" si="10"/>
        <v>237666</v>
      </c>
      <c r="W215" s="152">
        <f t="shared" si="11"/>
        <v>2376660</v>
      </c>
    </row>
    <row r="216" spans="1:23" x14ac:dyDescent="0.2">
      <c r="A216" s="23" t="str">
        <f>Data!B212</f>
        <v>4777</v>
      </c>
      <c r="B216" s="21" t="str">
        <f>INDEX(Data[],MATCH($A216,Data[Dist],0),MATCH(B$5,Data[#Headers],0))</f>
        <v>North Linn</v>
      </c>
      <c r="C216" s="22">
        <f>IF(Notes!$B$2="June",ROUND('Budget by Source'!C216/10,0)+P216,ROUND('Budget by Source'!C216/10,0))</f>
        <v>7602</v>
      </c>
      <c r="D216" s="22">
        <f>IF(Notes!$B$2="June",ROUND('Budget by Source'!D216/10,0)+Q216,ROUND('Budget by Source'!D216/10,0))</f>
        <v>35956</v>
      </c>
      <c r="E216" s="22">
        <f>IF(Notes!$B$2="June",ROUND('Budget by Source'!E216/10,0)+R216,ROUND('Budget by Source'!E216/10,0))</f>
        <v>3818</v>
      </c>
      <c r="F216" s="22">
        <f>IF(Notes!$B$2="June",ROUND('Budget by Source'!F216/10,0)+S216,ROUND('Budget by Source'!F216/10,0))</f>
        <v>3789</v>
      </c>
      <c r="G216" s="22">
        <f>IF(Notes!$B$2="June",ROUND('Budget by Source'!G216/10,0)+T216,ROUND('Budget by Source'!G216/10,0))</f>
        <v>20523</v>
      </c>
      <c r="H216" s="22">
        <f t="shared" si="9"/>
        <v>277014</v>
      </c>
      <c r="I216" s="22">
        <f>INDEX(Data[],MATCH($A216,Data[Dist],0),MATCH(I$5,Data[#Headers],0))</f>
        <v>348702</v>
      </c>
      <c r="K216" s="69">
        <f>INDEX('Payment Total'!$A$7:$H$331,MATCH('Payment by Source'!$A216,'Payment Total'!$A$7:$A$331,0),3)-I216</f>
        <v>0</v>
      </c>
      <c r="P216" s="154">
        <f>INDEX('Budget by Source'!$A$6:$I$330,MATCH('Payment by Source'!$A216,'Budget by Source'!$A$6:$A$330,0),MATCH(P$3,'Budget by Source'!$A$5:$I$5,0))-(ROUND(INDEX('Budget by Source'!$A$6:$I$330,MATCH('Payment by Source'!$A216,'Budget by Source'!$A$6:$A$330,0),MATCH(P$3,'Budget by Source'!$A$5:$I$5,0))/10,0)*10)</f>
        <v>-2</v>
      </c>
      <c r="Q216" s="154">
        <f>INDEX('Budget by Source'!$A$6:$I$330,MATCH('Payment by Source'!$A216,'Budget by Source'!$A$6:$A$330,0),MATCH(Q$3,'Budget by Source'!$A$5:$I$5,0))-(ROUND(INDEX('Budget by Source'!$A$6:$I$330,MATCH('Payment by Source'!$A216,'Budget by Source'!$A$6:$A$330,0),MATCH(Q$3,'Budget by Source'!$A$5:$I$5,0))/10,0)*10)</f>
        <v>-3</v>
      </c>
      <c r="R216" s="154">
        <f>INDEX('Budget by Source'!$A$6:$I$330,MATCH('Payment by Source'!$A216,'Budget by Source'!$A$6:$A$330,0),MATCH(R$3,'Budget by Source'!$A$5:$I$5,0))-(ROUND(INDEX('Budget by Source'!$A$6:$I$330,MATCH('Payment by Source'!$A216,'Budget by Source'!$A$6:$A$330,0),MATCH(R$3,'Budget by Source'!$A$5:$I$5,0))/10,0)*10)</f>
        <v>1</v>
      </c>
      <c r="S216" s="154">
        <f>INDEX('Budget by Source'!$A$6:$I$330,MATCH('Payment by Source'!$A216,'Budget by Source'!$A$6:$A$330,0),MATCH(S$3,'Budget by Source'!$A$5:$I$5,0))-(ROUND(INDEX('Budget by Source'!$A$6:$I$330,MATCH('Payment by Source'!$A216,'Budget by Source'!$A$6:$A$330,0),MATCH(S$3,'Budget by Source'!$A$5:$I$5,0))/10,0)*10)</f>
        <v>-4</v>
      </c>
      <c r="T216" s="154">
        <f>INDEX('Budget by Source'!$A$6:$I$330,MATCH('Payment by Source'!$A216,'Budget by Source'!$A$6:$A$330,0),MATCH(T$3,'Budget by Source'!$A$5:$I$5,0))-(ROUND(INDEX('Budget by Source'!$A$6:$I$330,MATCH('Payment by Source'!$A216,'Budget by Source'!$A$6:$A$330,0),MATCH(T$3,'Budget by Source'!$A$5:$I$5,0))/10,0)*10)</f>
        <v>4</v>
      </c>
      <c r="U216" s="155">
        <f>INDEX('Budget by Source'!$A$6:$I$330,MATCH('Payment by Source'!$A216,'Budget by Source'!$A$6:$A$330,0),MATCH(U$3,'Budget by Source'!$A$5:$I$5,0))</f>
        <v>2770143</v>
      </c>
      <c r="V216" s="152">
        <f t="shared" si="10"/>
        <v>277014</v>
      </c>
      <c r="W216" s="152">
        <f t="shared" si="11"/>
        <v>2770140</v>
      </c>
    </row>
    <row r="217" spans="1:23" x14ac:dyDescent="0.2">
      <c r="A217" s="23" t="str">
        <f>Data!B213</f>
        <v>4778</v>
      </c>
      <c r="B217" s="21" t="str">
        <f>INDEX(Data[],MATCH($A217,Data[Dist],0),MATCH(B$5,Data[#Headers],0))</f>
        <v>North Kossuth</v>
      </c>
      <c r="C217" s="22">
        <f>IF(Notes!$B$2="June",ROUND('Budget by Source'!C217/10,0)+P217,ROUND('Budget by Source'!C217/10,0))</f>
        <v>9122</v>
      </c>
      <c r="D217" s="22">
        <f>IF(Notes!$B$2="June",ROUND('Budget by Source'!D217/10,0)+Q217,ROUND('Budget by Source'!D217/10,0))</f>
        <v>16719</v>
      </c>
      <c r="E217" s="22">
        <f>IF(Notes!$B$2="June",ROUND('Budget by Source'!E217/10,0)+R217,ROUND('Budget by Source'!E217/10,0))</f>
        <v>1703</v>
      </c>
      <c r="F217" s="22">
        <f>IF(Notes!$B$2="June",ROUND('Budget by Source'!F217/10,0)+S217,ROUND('Budget by Source'!F217/10,0))</f>
        <v>1873</v>
      </c>
      <c r="G217" s="22">
        <f>IF(Notes!$B$2="June",ROUND('Budget by Source'!G217/10,0)+T217,ROUND('Budget by Source'!G217/10,0))</f>
        <v>9153</v>
      </c>
      <c r="H217" s="22">
        <f t="shared" si="9"/>
        <v>35928</v>
      </c>
      <c r="I217" s="22">
        <f>INDEX(Data[],MATCH($A217,Data[Dist],0),MATCH(I$5,Data[#Headers],0))</f>
        <v>74498</v>
      </c>
      <c r="K217" s="69">
        <f>INDEX('Payment Total'!$A$7:$H$331,MATCH('Payment by Source'!$A217,'Payment Total'!$A$7:$A$331,0),3)-I217</f>
        <v>0</v>
      </c>
      <c r="P217" s="154">
        <f>INDEX('Budget by Source'!$A$6:$I$330,MATCH('Payment by Source'!$A217,'Budget by Source'!$A$6:$A$330,0),MATCH(P$3,'Budget by Source'!$A$5:$I$5,0))-(ROUND(INDEX('Budget by Source'!$A$6:$I$330,MATCH('Payment by Source'!$A217,'Budget by Source'!$A$6:$A$330,0),MATCH(P$3,'Budget by Source'!$A$5:$I$5,0))/10,0)*10)</f>
        <v>2</v>
      </c>
      <c r="Q217" s="154">
        <f>INDEX('Budget by Source'!$A$6:$I$330,MATCH('Payment by Source'!$A217,'Budget by Source'!$A$6:$A$330,0),MATCH(Q$3,'Budget by Source'!$A$5:$I$5,0))-(ROUND(INDEX('Budget by Source'!$A$6:$I$330,MATCH('Payment by Source'!$A217,'Budget by Source'!$A$6:$A$330,0),MATCH(Q$3,'Budget by Source'!$A$5:$I$5,0))/10,0)*10)</f>
        <v>3</v>
      </c>
      <c r="R217" s="154">
        <f>INDEX('Budget by Source'!$A$6:$I$330,MATCH('Payment by Source'!$A217,'Budget by Source'!$A$6:$A$330,0),MATCH(R$3,'Budget by Source'!$A$5:$I$5,0))-(ROUND(INDEX('Budget by Source'!$A$6:$I$330,MATCH('Payment by Source'!$A217,'Budget by Source'!$A$6:$A$330,0),MATCH(R$3,'Budget by Source'!$A$5:$I$5,0))/10,0)*10)</f>
        <v>1</v>
      </c>
      <c r="S217" s="154">
        <f>INDEX('Budget by Source'!$A$6:$I$330,MATCH('Payment by Source'!$A217,'Budget by Source'!$A$6:$A$330,0),MATCH(S$3,'Budget by Source'!$A$5:$I$5,0))-(ROUND(INDEX('Budget by Source'!$A$6:$I$330,MATCH('Payment by Source'!$A217,'Budget by Source'!$A$6:$A$330,0),MATCH(S$3,'Budget by Source'!$A$5:$I$5,0))/10,0)*10)</f>
        <v>-5</v>
      </c>
      <c r="T217" s="154">
        <f>INDEX('Budget by Source'!$A$6:$I$330,MATCH('Payment by Source'!$A217,'Budget by Source'!$A$6:$A$330,0),MATCH(T$3,'Budget by Source'!$A$5:$I$5,0))-(ROUND(INDEX('Budget by Source'!$A$6:$I$330,MATCH('Payment by Source'!$A217,'Budget by Source'!$A$6:$A$330,0),MATCH(T$3,'Budget by Source'!$A$5:$I$5,0))/10,0)*10)</f>
        <v>-5</v>
      </c>
      <c r="U217" s="155">
        <f>INDEX('Budget by Source'!$A$6:$I$330,MATCH('Payment by Source'!$A217,'Budget by Source'!$A$6:$A$330,0),MATCH(U$3,'Budget by Source'!$A$5:$I$5,0))</f>
        <v>359280</v>
      </c>
      <c r="V217" s="152">
        <f t="shared" si="10"/>
        <v>35928</v>
      </c>
      <c r="W217" s="152">
        <f t="shared" si="11"/>
        <v>359280</v>
      </c>
    </row>
    <row r="218" spans="1:23" x14ac:dyDescent="0.2">
      <c r="A218" s="23" t="str">
        <f>Data!B214</f>
        <v>4779</v>
      </c>
      <c r="B218" s="21" t="str">
        <f>INDEX(Data[],MATCH($A218,Data[Dist],0),MATCH(B$5,Data[#Headers],0))</f>
        <v>North Polk</v>
      </c>
      <c r="C218" s="22">
        <f>IF(Notes!$B$2="June",ROUND('Budget by Source'!C218/10,0)+P218,ROUND('Budget by Source'!C218/10,0))</f>
        <v>39910</v>
      </c>
      <c r="D218" s="22">
        <f>IF(Notes!$B$2="June",ROUND('Budget by Source'!D218/10,0)+Q218,ROUND('Budget by Source'!D218/10,0))</f>
        <v>128632</v>
      </c>
      <c r="E218" s="22">
        <f>IF(Notes!$B$2="June",ROUND('Budget by Source'!E218/10,0)+R218,ROUND('Budget by Source'!E218/10,0))</f>
        <v>13503</v>
      </c>
      <c r="F218" s="22">
        <f>IF(Notes!$B$2="June",ROUND('Budget by Source'!F218/10,0)+S218,ROUND('Budget by Source'!F218/10,0))</f>
        <v>13519</v>
      </c>
      <c r="G218" s="22">
        <f>IF(Notes!$B$2="June",ROUND('Budget by Source'!G218/10,0)+T218,ROUND('Budget by Source'!G218/10,0))</f>
        <v>77137</v>
      </c>
      <c r="H218" s="22">
        <f t="shared" si="9"/>
        <v>1238152</v>
      </c>
      <c r="I218" s="22">
        <f>INDEX(Data[],MATCH($A218,Data[Dist],0),MATCH(I$5,Data[#Headers],0))</f>
        <v>1510853</v>
      </c>
      <c r="K218" s="69">
        <f>INDEX('Payment Total'!$A$7:$H$331,MATCH('Payment by Source'!$A218,'Payment Total'!$A$7:$A$331,0),3)-I218</f>
        <v>0</v>
      </c>
      <c r="P218" s="154">
        <f>INDEX('Budget by Source'!$A$6:$I$330,MATCH('Payment by Source'!$A218,'Budget by Source'!$A$6:$A$330,0),MATCH(P$3,'Budget by Source'!$A$5:$I$5,0))-(ROUND(INDEX('Budget by Source'!$A$6:$I$330,MATCH('Payment by Source'!$A218,'Budget by Source'!$A$6:$A$330,0),MATCH(P$3,'Budget by Source'!$A$5:$I$5,0))/10,0)*10)</f>
        <v>-3</v>
      </c>
      <c r="Q218" s="154">
        <f>INDEX('Budget by Source'!$A$6:$I$330,MATCH('Payment by Source'!$A218,'Budget by Source'!$A$6:$A$330,0),MATCH(Q$3,'Budget by Source'!$A$5:$I$5,0))-(ROUND(INDEX('Budget by Source'!$A$6:$I$330,MATCH('Payment by Source'!$A218,'Budget by Source'!$A$6:$A$330,0),MATCH(Q$3,'Budget by Source'!$A$5:$I$5,0))/10,0)*10)</f>
        <v>-5</v>
      </c>
      <c r="R218" s="154">
        <f>INDEX('Budget by Source'!$A$6:$I$330,MATCH('Payment by Source'!$A218,'Budget by Source'!$A$6:$A$330,0),MATCH(R$3,'Budget by Source'!$A$5:$I$5,0))-(ROUND(INDEX('Budget by Source'!$A$6:$I$330,MATCH('Payment by Source'!$A218,'Budget by Source'!$A$6:$A$330,0),MATCH(R$3,'Budget by Source'!$A$5:$I$5,0))/10,0)*10)</f>
        <v>-4</v>
      </c>
      <c r="S218" s="154">
        <f>INDEX('Budget by Source'!$A$6:$I$330,MATCH('Payment by Source'!$A218,'Budget by Source'!$A$6:$A$330,0),MATCH(S$3,'Budget by Source'!$A$5:$I$5,0))-(ROUND(INDEX('Budget by Source'!$A$6:$I$330,MATCH('Payment by Source'!$A218,'Budget by Source'!$A$6:$A$330,0),MATCH(S$3,'Budget by Source'!$A$5:$I$5,0))/10,0)*10)</f>
        <v>3</v>
      </c>
      <c r="T218" s="154">
        <f>INDEX('Budget by Source'!$A$6:$I$330,MATCH('Payment by Source'!$A218,'Budget by Source'!$A$6:$A$330,0),MATCH(T$3,'Budget by Source'!$A$5:$I$5,0))-(ROUND(INDEX('Budget by Source'!$A$6:$I$330,MATCH('Payment by Source'!$A218,'Budget by Source'!$A$6:$A$330,0),MATCH(T$3,'Budget by Source'!$A$5:$I$5,0))/10,0)*10)</f>
        <v>0</v>
      </c>
      <c r="U218" s="155">
        <f>INDEX('Budget by Source'!$A$6:$I$330,MATCH('Payment by Source'!$A218,'Budget by Source'!$A$6:$A$330,0),MATCH(U$3,'Budget by Source'!$A$5:$I$5,0))</f>
        <v>12381533</v>
      </c>
      <c r="V218" s="152">
        <f t="shared" si="10"/>
        <v>1238153</v>
      </c>
      <c r="W218" s="152">
        <f t="shared" si="11"/>
        <v>12381530</v>
      </c>
    </row>
    <row r="219" spans="1:23" x14ac:dyDescent="0.2">
      <c r="A219" s="23" t="str">
        <f>Data!B215</f>
        <v>4784</v>
      </c>
      <c r="B219" s="21" t="str">
        <f>INDEX(Data[],MATCH($A219,Data[Dist],0),MATCH(B$5,Data[#Headers],0))</f>
        <v>North Scott</v>
      </c>
      <c r="C219" s="22">
        <f>IF(Notes!$B$2="June",ROUND('Budget by Source'!C219/10,0)+P219,ROUND('Budget by Source'!C219/10,0))</f>
        <v>55113</v>
      </c>
      <c r="D219" s="22">
        <f>IF(Notes!$B$2="June",ROUND('Budget by Source'!D219/10,0)+Q219,ROUND('Budget by Source'!D219/10,0))</f>
        <v>199913</v>
      </c>
      <c r="E219" s="22">
        <f>IF(Notes!$B$2="June",ROUND('Budget by Source'!E219/10,0)+R219,ROUND('Budget by Source'!E219/10,0))</f>
        <v>21959</v>
      </c>
      <c r="F219" s="22">
        <f>IF(Notes!$B$2="June",ROUND('Budget by Source'!F219/10,0)+S219,ROUND('Budget by Source'!F219/10,0))</f>
        <v>22442</v>
      </c>
      <c r="G219" s="22">
        <f>IF(Notes!$B$2="June",ROUND('Budget by Source'!G219/10,0)+T219,ROUND('Budget by Source'!G219/10,0))</f>
        <v>114156</v>
      </c>
      <c r="H219" s="22">
        <f t="shared" si="9"/>
        <v>1640385</v>
      </c>
      <c r="I219" s="22">
        <f>INDEX(Data[],MATCH($A219,Data[Dist],0),MATCH(I$5,Data[#Headers],0))</f>
        <v>2053968</v>
      </c>
      <c r="K219" s="69">
        <f>INDEX('Payment Total'!$A$7:$H$331,MATCH('Payment by Source'!$A219,'Payment Total'!$A$7:$A$331,0),3)-I219</f>
        <v>0</v>
      </c>
      <c r="P219" s="154">
        <f>INDEX('Budget by Source'!$A$6:$I$330,MATCH('Payment by Source'!$A219,'Budget by Source'!$A$6:$A$330,0),MATCH(P$3,'Budget by Source'!$A$5:$I$5,0))-(ROUND(INDEX('Budget by Source'!$A$6:$I$330,MATCH('Payment by Source'!$A219,'Budget by Source'!$A$6:$A$330,0),MATCH(P$3,'Budget by Source'!$A$5:$I$5,0))/10,0)*10)</f>
        <v>3</v>
      </c>
      <c r="Q219" s="154">
        <f>INDEX('Budget by Source'!$A$6:$I$330,MATCH('Payment by Source'!$A219,'Budget by Source'!$A$6:$A$330,0),MATCH(Q$3,'Budget by Source'!$A$5:$I$5,0))-(ROUND(INDEX('Budget by Source'!$A$6:$I$330,MATCH('Payment by Source'!$A219,'Budget by Source'!$A$6:$A$330,0),MATCH(Q$3,'Budget by Source'!$A$5:$I$5,0))/10,0)*10)</f>
        <v>-1</v>
      </c>
      <c r="R219" s="154">
        <f>INDEX('Budget by Source'!$A$6:$I$330,MATCH('Payment by Source'!$A219,'Budget by Source'!$A$6:$A$330,0),MATCH(R$3,'Budget by Source'!$A$5:$I$5,0))-(ROUND(INDEX('Budget by Source'!$A$6:$I$330,MATCH('Payment by Source'!$A219,'Budget by Source'!$A$6:$A$330,0),MATCH(R$3,'Budget by Source'!$A$5:$I$5,0))/10,0)*10)</f>
        <v>-1</v>
      </c>
      <c r="S219" s="154">
        <f>INDEX('Budget by Source'!$A$6:$I$330,MATCH('Payment by Source'!$A219,'Budget by Source'!$A$6:$A$330,0),MATCH(S$3,'Budget by Source'!$A$5:$I$5,0))-(ROUND(INDEX('Budget by Source'!$A$6:$I$330,MATCH('Payment by Source'!$A219,'Budget by Source'!$A$6:$A$330,0),MATCH(S$3,'Budget by Source'!$A$5:$I$5,0))/10,0)*10)</f>
        <v>1</v>
      </c>
      <c r="T219" s="154">
        <f>INDEX('Budget by Source'!$A$6:$I$330,MATCH('Payment by Source'!$A219,'Budget by Source'!$A$6:$A$330,0),MATCH(T$3,'Budget by Source'!$A$5:$I$5,0))-(ROUND(INDEX('Budget by Source'!$A$6:$I$330,MATCH('Payment by Source'!$A219,'Budget by Source'!$A$6:$A$330,0),MATCH(T$3,'Budget by Source'!$A$5:$I$5,0))/10,0)*10)</f>
        <v>-1</v>
      </c>
      <c r="U219" s="155">
        <f>INDEX('Budget by Source'!$A$6:$I$330,MATCH('Payment by Source'!$A219,'Budget by Source'!$A$6:$A$330,0),MATCH(U$3,'Budget by Source'!$A$5:$I$5,0))</f>
        <v>16403849</v>
      </c>
      <c r="V219" s="152">
        <f t="shared" si="10"/>
        <v>1640385</v>
      </c>
      <c r="W219" s="152">
        <f t="shared" si="11"/>
        <v>16403850</v>
      </c>
    </row>
    <row r="220" spans="1:23" x14ac:dyDescent="0.2">
      <c r="A220" s="23" t="str">
        <f>Data!B216</f>
        <v>4785</v>
      </c>
      <c r="B220" s="21" t="str">
        <f>INDEX(Data[],MATCH($A220,Data[Dist],0),MATCH(B$5,Data[#Headers],0))</f>
        <v>North Tama</v>
      </c>
      <c r="C220" s="22">
        <f>IF(Notes!$B$2="June",ROUND('Budget by Source'!C220/10,0)+P220,ROUND('Budget by Source'!C220/10,0))</f>
        <v>12923</v>
      </c>
      <c r="D220" s="22">
        <f>IF(Notes!$B$2="June",ROUND('Budget by Source'!D220/10,0)+Q220,ROUND('Budget by Source'!D220/10,0))</f>
        <v>32488</v>
      </c>
      <c r="E220" s="22">
        <f>IF(Notes!$B$2="June",ROUND('Budget by Source'!E220/10,0)+R220,ROUND('Budget by Source'!E220/10,0))</f>
        <v>3360</v>
      </c>
      <c r="F220" s="22">
        <f>IF(Notes!$B$2="June",ROUND('Budget by Source'!F220/10,0)+S220,ROUND('Budget by Source'!F220/10,0))</f>
        <v>3495</v>
      </c>
      <c r="G220" s="22">
        <f>IF(Notes!$B$2="June",ROUND('Budget by Source'!G220/10,0)+T220,ROUND('Budget by Source'!G220/10,0))</f>
        <v>16694</v>
      </c>
      <c r="H220" s="22">
        <f t="shared" si="9"/>
        <v>202488</v>
      </c>
      <c r="I220" s="22">
        <f>INDEX(Data[],MATCH($A220,Data[Dist],0),MATCH(I$5,Data[#Headers],0))</f>
        <v>271448</v>
      </c>
      <c r="K220" s="69">
        <f>INDEX('Payment Total'!$A$7:$H$331,MATCH('Payment by Source'!$A220,'Payment Total'!$A$7:$A$331,0),3)-I220</f>
        <v>0</v>
      </c>
      <c r="P220" s="154">
        <f>INDEX('Budget by Source'!$A$6:$I$330,MATCH('Payment by Source'!$A220,'Budget by Source'!$A$6:$A$330,0),MATCH(P$3,'Budget by Source'!$A$5:$I$5,0))-(ROUND(INDEX('Budget by Source'!$A$6:$I$330,MATCH('Payment by Source'!$A220,'Budget by Source'!$A$6:$A$330,0),MATCH(P$3,'Budget by Source'!$A$5:$I$5,0))/10,0)*10)</f>
        <v>1</v>
      </c>
      <c r="Q220" s="154">
        <f>INDEX('Budget by Source'!$A$6:$I$330,MATCH('Payment by Source'!$A220,'Budget by Source'!$A$6:$A$330,0),MATCH(Q$3,'Budget by Source'!$A$5:$I$5,0))-(ROUND(INDEX('Budget by Source'!$A$6:$I$330,MATCH('Payment by Source'!$A220,'Budget by Source'!$A$6:$A$330,0),MATCH(Q$3,'Budget by Source'!$A$5:$I$5,0))/10,0)*10)</f>
        <v>-2</v>
      </c>
      <c r="R220" s="154">
        <f>INDEX('Budget by Source'!$A$6:$I$330,MATCH('Payment by Source'!$A220,'Budget by Source'!$A$6:$A$330,0),MATCH(R$3,'Budget by Source'!$A$5:$I$5,0))-(ROUND(INDEX('Budget by Source'!$A$6:$I$330,MATCH('Payment by Source'!$A220,'Budget by Source'!$A$6:$A$330,0),MATCH(R$3,'Budget by Source'!$A$5:$I$5,0))/10,0)*10)</f>
        <v>4</v>
      </c>
      <c r="S220" s="154">
        <f>INDEX('Budget by Source'!$A$6:$I$330,MATCH('Payment by Source'!$A220,'Budget by Source'!$A$6:$A$330,0),MATCH(S$3,'Budget by Source'!$A$5:$I$5,0))-(ROUND(INDEX('Budget by Source'!$A$6:$I$330,MATCH('Payment by Source'!$A220,'Budget by Source'!$A$6:$A$330,0),MATCH(S$3,'Budget by Source'!$A$5:$I$5,0))/10,0)*10)</f>
        <v>3</v>
      </c>
      <c r="T220" s="154">
        <f>INDEX('Budget by Source'!$A$6:$I$330,MATCH('Payment by Source'!$A220,'Budget by Source'!$A$6:$A$330,0),MATCH(T$3,'Budget by Source'!$A$5:$I$5,0))-(ROUND(INDEX('Budget by Source'!$A$6:$I$330,MATCH('Payment by Source'!$A220,'Budget by Source'!$A$6:$A$330,0),MATCH(T$3,'Budget by Source'!$A$5:$I$5,0))/10,0)*10)</f>
        <v>4</v>
      </c>
      <c r="U220" s="155">
        <f>INDEX('Budget by Source'!$A$6:$I$330,MATCH('Payment by Source'!$A220,'Budget by Source'!$A$6:$A$330,0),MATCH(U$3,'Budget by Source'!$A$5:$I$5,0))</f>
        <v>2024867</v>
      </c>
      <c r="V220" s="152">
        <f t="shared" si="10"/>
        <v>202487</v>
      </c>
      <c r="W220" s="152">
        <f t="shared" si="11"/>
        <v>2024870</v>
      </c>
    </row>
    <row r="221" spans="1:23" x14ac:dyDescent="0.2">
      <c r="A221" s="23" t="str">
        <f>Data!B217</f>
        <v>4788</v>
      </c>
      <c r="B221" s="21" t="str">
        <f>INDEX(Data[],MATCH($A221,Data[Dist],0),MATCH(B$5,Data[#Headers],0))</f>
        <v>Northwood-Kensett</v>
      </c>
      <c r="C221" s="22">
        <f>IF(Notes!$B$2="June",ROUND('Budget by Source'!C221/10,0)+P221,ROUND('Budget by Source'!C221/10,0))</f>
        <v>15584</v>
      </c>
      <c r="D221" s="22">
        <f>IF(Notes!$B$2="June",ROUND('Budget by Source'!D221/10,0)+Q221,ROUND('Budget by Source'!D221/10,0))</f>
        <v>33192</v>
      </c>
      <c r="E221" s="22">
        <f>IF(Notes!$B$2="June",ROUND('Budget by Source'!E221/10,0)+R221,ROUND('Budget by Source'!E221/10,0))</f>
        <v>3371</v>
      </c>
      <c r="F221" s="22">
        <f>IF(Notes!$B$2="June",ROUND('Budget by Source'!F221/10,0)+S221,ROUND('Budget by Source'!F221/10,0))</f>
        <v>3798</v>
      </c>
      <c r="G221" s="22">
        <f>IF(Notes!$B$2="June",ROUND('Budget by Source'!G221/10,0)+T221,ROUND('Budget by Source'!G221/10,0))</f>
        <v>18832</v>
      </c>
      <c r="H221" s="22">
        <f t="shared" si="9"/>
        <v>262221</v>
      </c>
      <c r="I221" s="22">
        <f>INDEX(Data[],MATCH($A221,Data[Dist],0),MATCH(I$5,Data[#Headers],0))</f>
        <v>336998</v>
      </c>
      <c r="K221" s="69">
        <f>INDEX('Payment Total'!$A$7:$H$331,MATCH('Payment by Source'!$A221,'Payment Total'!$A$7:$A$331,0),3)-I221</f>
        <v>0</v>
      </c>
      <c r="P221" s="154">
        <f>INDEX('Budget by Source'!$A$6:$I$330,MATCH('Payment by Source'!$A221,'Budget by Source'!$A$6:$A$330,0),MATCH(P$3,'Budget by Source'!$A$5:$I$5,0))-(ROUND(INDEX('Budget by Source'!$A$6:$I$330,MATCH('Payment by Source'!$A221,'Budget by Source'!$A$6:$A$330,0),MATCH(P$3,'Budget by Source'!$A$5:$I$5,0))/10,0)*10)</f>
        <v>-2</v>
      </c>
      <c r="Q221" s="154">
        <f>INDEX('Budget by Source'!$A$6:$I$330,MATCH('Payment by Source'!$A221,'Budget by Source'!$A$6:$A$330,0),MATCH(Q$3,'Budget by Source'!$A$5:$I$5,0))-(ROUND(INDEX('Budget by Source'!$A$6:$I$330,MATCH('Payment by Source'!$A221,'Budget by Source'!$A$6:$A$330,0),MATCH(Q$3,'Budget by Source'!$A$5:$I$5,0))/10,0)*10)</f>
        <v>-5</v>
      </c>
      <c r="R221" s="154">
        <f>INDEX('Budget by Source'!$A$6:$I$330,MATCH('Payment by Source'!$A221,'Budget by Source'!$A$6:$A$330,0),MATCH(R$3,'Budget by Source'!$A$5:$I$5,0))-(ROUND(INDEX('Budget by Source'!$A$6:$I$330,MATCH('Payment by Source'!$A221,'Budget by Source'!$A$6:$A$330,0),MATCH(R$3,'Budget by Source'!$A$5:$I$5,0))/10,0)*10)</f>
        <v>1</v>
      </c>
      <c r="S221" s="154">
        <f>INDEX('Budget by Source'!$A$6:$I$330,MATCH('Payment by Source'!$A221,'Budget by Source'!$A$6:$A$330,0),MATCH(S$3,'Budget by Source'!$A$5:$I$5,0))-(ROUND(INDEX('Budget by Source'!$A$6:$I$330,MATCH('Payment by Source'!$A221,'Budget by Source'!$A$6:$A$330,0),MATCH(S$3,'Budget by Source'!$A$5:$I$5,0))/10,0)*10)</f>
        <v>-2</v>
      </c>
      <c r="T221" s="154">
        <f>INDEX('Budget by Source'!$A$6:$I$330,MATCH('Payment by Source'!$A221,'Budget by Source'!$A$6:$A$330,0),MATCH(T$3,'Budget by Source'!$A$5:$I$5,0))-(ROUND(INDEX('Budget by Source'!$A$6:$I$330,MATCH('Payment by Source'!$A221,'Budget by Source'!$A$6:$A$330,0),MATCH(T$3,'Budget by Source'!$A$5:$I$5,0))/10,0)*10)</f>
        <v>-1</v>
      </c>
      <c r="U221" s="155">
        <f>INDEX('Budget by Source'!$A$6:$I$330,MATCH('Payment by Source'!$A221,'Budget by Source'!$A$6:$A$330,0),MATCH(U$3,'Budget by Source'!$A$5:$I$5,0))</f>
        <v>2622216</v>
      </c>
      <c r="V221" s="152">
        <f t="shared" si="10"/>
        <v>262222</v>
      </c>
      <c r="W221" s="152">
        <f t="shared" si="11"/>
        <v>2622220</v>
      </c>
    </row>
    <row r="222" spans="1:23" x14ac:dyDescent="0.2">
      <c r="A222" s="23" t="str">
        <f>Data!B218</f>
        <v>4797</v>
      </c>
      <c r="B222" s="21" t="str">
        <f>INDEX(Data[],MATCH($A222,Data[Dist],0),MATCH(B$5,Data[#Headers],0))</f>
        <v>Norwalk</v>
      </c>
      <c r="C222" s="22">
        <f>IF(Notes!$B$2="June",ROUND('Budget by Source'!C222/10,0)+P222,ROUND('Budget by Source'!C222/10,0))</f>
        <v>44091</v>
      </c>
      <c r="D222" s="22">
        <f>IF(Notes!$B$2="June",ROUND('Budget by Source'!D222/10,0)+Q222,ROUND('Budget by Source'!D222/10,0))</f>
        <v>226173</v>
      </c>
      <c r="E222" s="22">
        <f>IF(Notes!$B$2="June",ROUND('Budget by Source'!E222/10,0)+R222,ROUND('Budget by Source'!E222/10,0))</f>
        <v>24107</v>
      </c>
      <c r="F222" s="22">
        <f>IF(Notes!$B$2="June",ROUND('Budget by Source'!F222/10,0)+S222,ROUND('Budget by Source'!F222/10,0))</f>
        <v>23905</v>
      </c>
      <c r="G222" s="22">
        <f>IF(Notes!$B$2="June",ROUND('Budget by Source'!G222/10,0)+T222,ROUND('Budget by Source'!G222/10,0))</f>
        <v>126233</v>
      </c>
      <c r="H222" s="22">
        <f t="shared" si="9"/>
        <v>2249821</v>
      </c>
      <c r="I222" s="22">
        <f>INDEX(Data[],MATCH($A222,Data[Dist],0),MATCH(I$5,Data[#Headers],0))</f>
        <v>2694330</v>
      </c>
      <c r="K222" s="69">
        <f>INDEX('Payment Total'!$A$7:$H$331,MATCH('Payment by Source'!$A222,'Payment Total'!$A$7:$A$331,0),3)-I222</f>
        <v>0</v>
      </c>
      <c r="P222" s="154">
        <f>INDEX('Budget by Source'!$A$6:$I$330,MATCH('Payment by Source'!$A222,'Budget by Source'!$A$6:$A$330,0),MATCH(P$3,'Budget by Source'!$A$5:$I$5,0))-(ROUND(INDEX('Budget by Source'!$A$6:$I$330,MATCH('Payment by Source'!$A222,'Budget by Source'!$A$6:$A$330,0),MATCH(P$3,'Budget by Source'!$A$5:$I$5,0))/10,0)*10)</f>
        <v>-4</v>
      </c>
      <c r="Q222" s="154">
        <f>INDEX('Budget by Source'!$A$6:$I$330,MATCH('Payment by Source'!$A222,'Budget by Source'!$A$6:$A$330,0),MATCH(Q$3,'Budget by Source'!$A$5:$I$5,0))-(ROUND(INDEX('Budget by Source'!$A$6:$I$330,MATCH('Payment by Source'!$A222,'Budget by Source'!$A$6:$A$330,0),MATCH(Q$3,'Budget by Source'!$A$5:$I$5,0))/10,0)*10)</f>
        <v>-4</v>
      </c>
      <c r="R222" s="154">
        <f>INDEX('Budget by Source'!$A$6:$I$330,MATCH('Payment by Source'!$A222,'Budget by Source'!$A$6:$A$330,0),MATCH(R$3,'Budget by Source'!$A$5:$I$5,0))-(ROUND(INDEX('Budget by Source'!$A$6:$I$330,MATCH('Payment by Source'!$A222,'Budget by Source'!$A$6:$A$330,0),MATCH(R$3,'Budget by Source'!$A$5:$I$5,0))/10,0)*10)</f>
        <v>3</v>
      </c>
      <c r="S222" s="154">
        <f>INDEX('Budget by Source'!$A$6:$I$330,MATCH('Payment by Source'!$A222,'Budget by Source'!$A$6:$A$330,0),MATCH(S$3,'Budget by Source'!$A$5:$I$5,0))-(ROUND(INDEX('Budget by Source'!$A$6:$I$330,MATCH('Payment by Source'!$A222,'Budget by Source'!$A$6:$A$330,0),MATCH(S$3,'Budget by Source'!$A$5:$I$5,0))/10,0)*10)</f>
        <v>2</v>
      </c>
      <c r="T222" s="154">
        <f>INDEX('Budget by Source'!$A$6:$I$330,MATCH('Payment by Source'!$A222,'Budget by Source'!$A$6:$A$330,0),MATCH(T$3,'Budget by Source'!$A$5:$I$5,0))-(ROUND(INDEX('Budget by Source'!$A$6:$I$330,MATCH('Payment by Source'!$A222,'Budget by Source'!$A$6:$A$330,0),MATCH(T$3,'Budget by Source'!$A$5:$I$5,0))/10,0)*10)</f>
        <v>-4</v>
      </c>
      <c r="U222" s="155">
        <f>INDEX('Budget by Source'!$A$6:$I$330,MATCH('Payment by Source'!$A222,'Budget by Source'!$A$6:$A$330,0),MATCH(U$3,'Budget by Source'!$A$5:$I$5,0))</f>
        <v>22498214</v>
      </c>
      <c r="V222" s="152">
        <f t="shared" si="10"/>
        <v>2249821</v>
      </c>
      <c r="W222" s="152">
        <f t="shared" si="11"/>
        <v>22498210</v>
      </c>
    </row>
    <row r="223" spans="1:23" x14ac:dyDescent="0.2">
      <c r="A223" s="23" t="str">
        <f>Data!B219</f>
        <v>4824</v>
      </c>
      <c r="B223" s="21" t="str">
        <f>INDEX(Data[],MATCH($A223,Data[Dist],0),MATCH(B$5,Data[#Headers],0))</f>
        <v>Riverside</v>
      </c>
      <c r="C223" s="22">
        <f>IF(Notes!$B$2="June",ROUND('Budget by Source'!C223/10,0)+P223,ROUND('Budget by Source'!C223/10,0))</f>
        <v>15204</v>
      </c>
      <c r="D223" s="22">
        <f>IF(Notes!$B$2="June",ROUND('Budget by Source'!D223/10,0)+Q223,ROUND('Budget by Source'!D223/10,0))</f>
        <v>47041</v>
      </c>
      <c r="E223" s="22">
        <f>IF(Notes!$B$2="June",ROUND('Budget by Source'!E223/10,0)+R223,ROUND('Budget by Source'!E223/10,0))</f>
        <v>4902</v>
      </c>
      <c r="F223" s="22">
        <f>IF(Notes!$B$2="June",ROUND('Budget by Source'!F223/10,0)+S223,ROUND('Budget by Source'!F223/10,0))</f>
        <v>5121</v>
      </c>
      <c r="G223" s="22">
        <f>IF(Notes!$B$2="June",ROUND('Budget by Source'!G223/10,0)+T223,ROUND('Budget by Source'!G223/10,0))</f>
        <v>26394</v>
      </c>
      <c r="H223" s="22">
        <f t="shared" si="9"/>
        <v>346827</v>
      </c>
      <c r="I223" s="22">
        <f>INDEX(Data[],MATCH($A223,Data[Dist],0),MATCH(I$5,Data[#Headers],0))</f>
        <v>445489</v>
      </c>
      <c r="K223" s="69">
        <f>INDEX('Payment Total'!$A$7:$H$331,MATCH('Payment by Source'!$A223,'Payment Total'!$A$7:$A$331,0),3)-I223</f>
        <v>0</v>
      </c>
      <c r="P223" s="154">
        <f>INDEX('Budget by Source'!$A$6:$I$330,MATCH('Payment by Source'!$A223,'Budget by Source'!$A$6:$A$330,0),MATCH(P$3,'Budget by Source'!$A$5:$I$5,0))-(ROUND(INDEX('Budget by Source'!$A$6:$I$330,MATCH('Payment by Source'!$A223,'Budget by Source'!$A$6:$A$330,0),MATCH(P$3,'Budget by Source'!$A$5:$I$5,0))/10,0)*10)</f>
        <v>-3</v>
      </c>
      <c r="Q223" s="154">
        <f>INDEX('Budget by Source'!$A$6:$I$330,MATCH('Payment by Source'!$A223,'Budget by Source'!$A$6:$A$330,0),MATCH(Q$3,'Budget by Source'!$A$5:$I$5,0))-(ROUND(INDEX('Budget by Source'!$A$6:$I$330,MATCH('Payment by Source'!$A223,'Budget by Source'!$A$6:$A$330,0),MATCH(Q$3,'Budget by Source'!$A$5:$I$5,0))/10,0)*10)</f>
        <v>-3</v>
      </c>
      <c r="R223" s="154">
        <f>INDEX('Budget by Source'!$A$6:$I$330,MATCH('Payment by Source'!$A223,'Budget by Source'!$A$6:$A$330,0),MATCH(R$3,'Budget by Source'!$A$5:$I$5,0))-(ROUND(INDEX('Budget by Source'!$A$6:$I$330,MATCH('Payment by Source'!$A223,'Budget by Source'!$A$6:$A$330,0),MATCH(R$3,'Budget by Source'!$A$5:$I$5,0))/10,0)*10)</f>
        <v>4</v>
      </c>
      <c r="S223" s="154">
        <f>INDEX('Budget by Source'!$A$6:$I$330,MATCH('Payment by Source'!$A223,'Budget by Source'!$A$6:$A$330,0),MATCH(S$3,'Budget by Source'!$A$5:$I$5,0))-(ROUND(INDEX('Budget by Source'!$A$6:$I$330,MATCH('Payment by Source'!$A223,'Budget by Source'!$A$6:$A$330,0),MATCH(S$3,'Budget by Source'!$A$5:$I$5,0))/10,0)*10)</f>
        <v>-2</v>
      </c>
      <c r="T223" s="154">
        <f>INDEX('Budget by Source'!$A$6:$I$330,MATCH('Payment by Source'!$A223,'Budget by Source'!$A$6:$A$330,0),MATCH(T$3,'Budget by Source'!$A$5:$I$5,0))-(ROUND(INDEX('Budget by Source'!$A$6:$I$330,MATCH('Payment by Source'!$A223,'Budget by Source'!$A$6:$A$330,0),MATCH(T$3,'Budget by Source'!$A$5:$I$5,0))/10,0)*10)</f>
        <v>1</v>
      </c>
      <c r="U223" s="155">
        <f>INDEX('Budget by Source'!$A$6:$I$330,MATCH('Payment by Source'!$A223,'Budget by Source'!$A$6:$A$330,0),MATCH(U$3,'Budget by Source'!$A$5:$I$5,0))</f>
        <v>3468276</v>
      </c>
      <c r="V223" s="152">
        <f t="shared" si="10"/>
        <v>346828</v>
      </c>
      <c r="W223" s="152">
        <f t="shared" si="11"/>
        <v>3468280</v>
      </c>
    </row>
    <row r="224" spans="1:23" x14ac:dyDescent="0.2">
      <c r="A224" s="23" t="str">
        <f>Data!B220</f>
        <v>4860</v>
      </c>
      <c r="B224" s="21" t="str">
        <f>INDEX(Data[],MATCH($A224,Data[Dist],0),MATCH(B$5,Data[#Headers],0))</f>
        <v>Odebolt Arthur Battle Creek Ida Gr</v>
      </c>
      <c r="C224" s="22">
        <f>IF(Notes!$B$2="June",ROUND('Budget by Source'!C224/10,0)+P224,ROUND('Budget by Source'!C224/10,0))</f>
        <v>17864</v>
      </c>
      <c r="D224" s="22">
        <f>IF(Notes!$B$2="June",ROUND('Budget by Source'!D224/10,0)+Q224,ROUND('Budget by Source'!D224/10,0))</f>
        <v>64301</v>
      </c>
      <c r="E224" s="22">
        <f>IF(Notes!$B$2="June",ROUND('Budget by Source'!E224/10,0)+R224,ROUND('Budget by Source'!E224/10,0))</f>
        <v>6983</v>
      </c>
      <c r="F224" s="22">
        <f>IF(Notes!$B$2="June",ROUND('Budget by Source'!F224/10,0)+S224,ROUND('Budget by Source'!F224/10,0))</f>
        <v>7432</v>
      </c>
      <c r="G224" s="22">
        <f>IF(Notes!$B$2="June",ROUND('Budget by Source'!G224/10,0)+T224,ROUND('Budget by Source'!G224/10,0))</f>
        <v>34096</v>
      </c>
      <c r="H224" s="22">
        <f t="shared" si="9"/>
        <v>414673</v>
      </c>
      <c r="I224" s="22">
        <f>INDEX(Data[],MATCH($A224,Data[Dist],0),MATCH(I$5,Data[#Headers],0))</f>
        <v>545349</v>
      </c>
      <c r="K224" s="69">
        <f>INDEX('Payment Total'!$A$7:$H$331,MATCH('Payment by Source'!$A224,'Payment Total'!$A$7:$A$331,0),3)-I224</f>
        <v>0</v>
      </c>
      <c r="P224" s="154">
        <f>INDEX('Budget by Source'!$A$6:$I$330,MATCH('Payment by Source'!$A224,'Budget by Source'!$A$6:$A$330,0),MATCH(P$3,'Budget by Source'!$A$5:$I$5,0))-(ROUND(INDEX('Budget by Source'!$A$6:$I$330,MATCH('Payment by Source'!$A224,'Budget by Source'!$A$6:$A$330,0),MATCH(P$3,'Budget by Source'!$A$5:$I$5,0))/10,0)*10)</f>
        <v>4</v>
      </c>
      <c r="Q224" s="154">
        <f>INDEX('Budget by Source'!$A$6:$I$330,MATCH('Payment by Source'!$A224,'Budget by Source'!$A$6:$A$330,0),MATCH(Q$3,'Budget by Source'!$A$5:$I$5,0))-(ROUND(INDEX('Budget by Source'!$A$6:$I$330,MATCH('Payment by Source'!$A224,'Budget by Source'!$A$6:$A$330,0),MATCH(Q$3,'Budget by Source'!$A$5:$I$5,0))/10,0)*10)</f>
        <v>-5</v>
      </c>
      <c r="R224" s="154">
        <f>INDEX('Budget by Source'!$A$6:$I$330,MATCH('Payment by Source'!$A224,'Budget by Source'!$A$6:$A$330,0),MATCH(R$3,'Budget by Source'!$A$5:$I$5,0))-(ROUND(INDEX('Budget by Source'!$A$6:$I$330,MATCH('Payment by Source'!$A224,'Budget by Source'!$A$6:$A$330,0),MATCH(R$3,'Budget by Source'!$A$5:$I$5,0))/10,0)*10)</f>
        <v>-5</v>
      </c>
      <c r="S224" s="154">
        <f>INDEX('Budget by Source'!$A$6:$I$330,MATCH('Payment by Source'!$A224,'Budget by Source'!$A$6:$A$330,0),MATCH(S$3,'Budget by Source'!$A$5:$I$5,0))-(ROUND(INDEX('Budget by Source'!$A$6:$I$330,MATCH('Payment by Source'!$A224,'Budget by Source'!$A$6:$A$330,0),MATCH(S$3,'Budget by Source'!$A$5:$I$5,0))/10,0)*10)</f>
        <v>1</v>
      </c>
      <c r="T224" s="154">
        <f>INDEX('Budget by Source'!$A$6:$I$330,MATCH('Payment by Source'!$A224,'Budget by Source'!$A$6:$A$330,0),MATCH(T$3,'Budget by Source'!$A$5:$I$5,0))-(ROUND(INDEX('Budget by Source'!$A$6:$I$330,MATCH('Payment by Source'!$A224,'Budget by Source'!$A$6:$A$330,0),MATCH(T$3,'Budget by Source'!$A$5:$I$5,0))/10,0)*10)</f>
        <v>4</v>
      </c>
      <c r="U224" s="155">
        <f>INDEX('Budget by Source'!$A$6:$I$330,MATCH('Payment by Source'!$A224,'Budget by Source'!$A$6:$A$330,0),MATCH(U$3,'Budget by Source'!$A$5:$I$5,0))</f>
        <v>4146729</v>
      </c>
      <c r="V224" s="152">
        <f t="shared" si="10"/>
        <v>414673</v>
      </c>
      <c r="W224" s="152">
        <f t="shared" si="11"/>
        <v>4146730</v>
      </c>
    </row>
    <row r="225" spans="1:23" x14ac:dyDescent="0.2">
      <c r="A225" s="23" t="str">
        <f>Data!B221</f>
        <v>4869</v>
      </c>
      <c r="B225" s="21" t="str">
        <f>INDEX(Data[],MATCH($A225,Data[Dist],0),MATCH(B$5,Data[#Headers],0))</f>
        <v>Oelwein</v>
      </c>
      <c r="C225" s="22">
        <f>IF(Notes!$B$2="June",ROUND('Budget by Source'!C225/10,0)+P225,ROUND('Budget by Source'!C225/10,0))</f>
        <v>14063</v>
      </c>
      <c r="D225" s="22">
        <f>IF(Notes!$B$2="June",ROUND('Budget by Source'!D225/10,0)+Q225,ROUND('Budget by Source'!D225/10,0))</f>
        <v>87930</v>
      </c>
      <c r="E225" s="22">
        <f>IF(Notes!$B$2="June",ROUND('Budget by Source'!E225/10,0)+R225,ROUND('Budget by Source'!E225/10,0))</f>
        <v>10326</v>
      </c>
      <c r="F225" s="22">
        <f>IF(Notes!$B$2="June",ROUND('Budget by Source'!F225/10,0)+S225,ROUND('Budget by Source'!F225/10,0))</f>
        <v>10083</v>
      </c>
      <c r="G225" s="22">
        <f>IF(Notes!$B$2="June",ROUND('Budget by Source'!G225/10,0)+T225,ROUND('Budget by Source'!G225/10,0))</f>
        <v>48867</v>
      </c>
      <c r="H225" s="22">
        <f t="shared" si="9"/>
        <v>931421</v>
      </c>
      <c r="I225" s="22">
        <f>INDEX(Data[],MATCH($A225,Data[Dist],0),MATCH(I$5,Data[#Headers],0))</f>
        <v>1102690</v>
      </c>
      <c r="K225" s="69">
        <f>INDEX('Payment Total'!$A$7:$H$331,MATCH('Payment by Source'!$A225,'Payment Total'!$A$7:$A$331,0),3)-I225</f>
        <v>0</v>
      </c>
      <c r="P225" s="154">
        <f>INDEX('Budget by Source'!$A$6:$I$330,MATCH('Payment by Source'!$A225,'Budget by Source'!$A$6:$A$330,0),MATCH(P$3,'Budget by Source'!$A$5:$I$5,0))-(ROUND(INDEX('Budget by Source'!$A$6:$I$330,MATCH('Payment by Source'!$A225,'Budget by Source'!$A$6:$A$330,0),MATCH(P$3,'Budget by Source'!$A$5:$I$5,0))/10,0)*10)</f>
        <v>4</v>
      </c>
      <c r="Q225" s="154">
        <f>INDEX('Budget by Source'!$A$6:$I$330,MATCH('Payment by Source'!$A225,'Budget by Source'!$A$6:$A$330,0),MATCH(Q$3,'Budget by Source'!$A$5:$I$5,0))-(ROUND(INDEX('Budget by Source'!$A$6:$I$330,MATCH('Payment by Source'!$A225,'Budget by Source'!$A$6:$A$330,0),MATCH(Q$3,'Budget by Source'!$A$5:$I$5,0))/10,0)*10)</f>
        <v>-3</v>
      </c>
      <c r="R225" s="154">
        <f>INDEX('Budget by Source'!$A$6:$I$330,MATCH('Payment by Source'!$A225,'Budget by Source'!$A$6:$A$330,0),MATCH(R$3,'Budget by Source'!$A$5:$I$5,0))-(ROUND(INDEX('Budget by Source'!$A$6:$I$330,MATCH('Payment by Source'!$A225,'Budget by Source'!$A$6:$A$330,0),MATCH(R$3,'Budget by Source'!$A$5:$I$5,0))/10,0)*10)</f>
        <v>-4</v>
      </c>
      <c r="S225" s="154">
        <f>INDEX('Budget by Source'!$A$6:$I$330,MATCH('Payment by Source'!$A225,'Budget by Source'!$A$6:$A$330,0),MATCH(S$3,'Budget by Source'!$A$5:$I$5,0))-(ROUND(INDEX('Budget by Source'!$A$6:$I$330,MATCH('Payment by Source'!$A225,'Budget by Source'!$A$6:$A$330,0),MATCH(S$3,'Budget by Source'!$A$5:$I$5,0))/10,0)*10)</f>
        <v>-1</v>
      </c>
      <c r="T225" s="154">
        <f>INDEX('Budget by Source'!$A$6:$I$330,MATCH('Payment by Source'!$A225,'Budget by Source'!$A$6:$A$330,0),MATCH(T$3,'Budget by Source'!$A$5:$I$5,0))-(ROUND(INDEX('Budget by Source'!$A$6:$I$330,MATCH('Payment by Source'!$A225,'Budget by Source'!$A$6:$A$330,0),MATCH(T$3,'Budget by Source'!$A$5:$I$5,0))/10,0)*10)</f>
        <v>1</v>
      </c>
      <c r="U225" s="155">
        <f>INDEX('Budget by Source'!$A$6:$I$330,MATCH('Payment by Source'!$A225,'Budget by Source'!$A$6:$A$330,0),MATCH(U$3,'Budget by Source'!$A$5:$I$5,0))</f>
        <v>9314215</v>
      </c>
      <c r="V225" s="152">
        <f t="shared" si="10"/>
        <v>931422</v>
      </c>
      <c r="W225" s="152">
        <f t="shared" si="11"/>
        <v>9314220</v>
      </c>
    </row>
    <row r="226" spans="1:23" x14ac:dyDescent="0.2">
      <c r="A226" s="23" t="str">
        <f>Data!B222</f>
        <v>4878</v>
      </c>
      <c r="B226" s="21" t="str">
        <f>INDEX(Data[],MATCH($A226,Data[Dist],0),MATCH(B$5,Data[#Headers],0))</f>
        <v>Ogden</v>
      </c>
      <c r="C226" s="22">
        <f>IF(Notes!$B$2="June",ROUND('Budget by Source'!C226/10,0)+P226,ROUND('Budget by Source'!C226/10,0))</f>
        <v>16344</v>
      </c>
      <c r="D226" s="22">
        <f>IF(Notes!$B$2="June",ROUND('Budget by Source'!D226/10,0)+Q226,ROUND('Budget by Source'!D226/10,0))</f>
        <v>39977</v>
      </c>
      <c r="E226" s="22">
        <f>IF(Notes!$B$2="June",ROUND('Budget by Source'!E226/10,0)+R226,ROUND('Budget by Source'!E226/10,0))</f>
        <v>4349</v>
      </c>
      <c r="F226" s="22">
        <f>IF(Notes!$B$2="June",ROUND('Budget by Source'!F226/10,0)+S226,ROUND('Budget by Source'!F226/10,0))</f>
        <v>4365</v>
      </c>
      <c r="G226" s="22">
        <f>IF(Notes!$B$2="June",ROUND('Budget by Source'!G226/10,0)+T226,ROUND('Budget by Source'!G226/10,0))</f>
        <v>21736</v>
      </c>
      <c r="H226" s="22">
        <f t="shared" si="9"/>
        <v>246851</v>
      </c>
      <c r="I226" s="22">
        <f>INDEX(Data[],MATCH($A226,Data[Dist],0),MATCH(I$5,Data[#Headers],0))</f>
        <v>333622</v>
      </c>
      <c r="K226" s="69">
        <f>INDEX('Payment Total'!$A$7:$H$331,MATCH('Payment by Source'!$A226,'Payment Total'!$A$7:$A$331,0),3)-I226</f>
        <v>0</v>
      </c>
      <c r="P226" s="154">
        <f>INDEX('Budget by Source'!$A$6:$I$330,MATCH('Payment by Source'!$A226,'Budget by Source'!$A$6:$A$330,0),MATCH(P$3,'Budget by Source'!$A$5:$I$5,0))-(ROUND(INDEX('Budget by Source'!$A$6:$I$330,MATCH('Payment by Source'!$A226,'Budget by Source'!$A$6:$A$330,0),MATCH(P$3,'Budget by Source'!$A$5:$I$5,0))/10,0)*10)</f>
        <v>0</v>
      </c>
      <c r="Q226" s="154">
        <f>INDEX('Budget by Source'!$A$6:$I$330,MATCH('Payment by Source'!$A226,'Budget by Source'!$A$6:$A$330,0),MATCH(Q$3,'Budget by Source'!$A$5:$I$5,0))-(ROUND(INDEX('Budget by Source'!$A$6:$I$330,MATCH('Payment by Source'!$A226,'Budget by Source'!$A$6:$A$330,0),MATCH(Q$3,'Budget by Source'!$A$5:$I$5,0))/10,0)*10)</f>
        <v>-4</v>
      </c>
      <c r="R226" s="154">
        <f>INDEX('Budget by Source'!$A$6:$I$330,MATCH('Payment by Source'!$A226,'Budget by Source'!$A$6:$A$330,0),MATCH(R$3,'Budget by Source'!$A$5:$I$5,0))-(ROUND(INDEX('Budget by Source'!$A$6:$I$330,MATCH('Payment by Source'!$A226,'Budget by Source'!$A$6:$A$330,0),MATCH(R$3,'Budget by Source'!$A$5:$I$5,0))/10,0)*10)</f>
        <v>2</v>
      </c>
      <c r="S226" s="154">
        <f>INDEX('Budget by Source'!$A$6:$I$330,MATCH('Payment by Source'!$A226,'Budget by Source'!$A$6:$A$330,0),MATCH(S$3,'Budget by Source'!$A$5:$I$5,0))-(ROUND(INDEX('Budget by Source'!$A$6:$I$330,MATCH('Payment by Source'!$A226,'Budget by Source'!$A$6:$A$330,0),MATCH(S$3,'Budget by Source'!$A$5:$I$5,0))/10,0)*10)</f>
        <v>1</v>
      </c>
      <c r="T226" s="154">
        <f>INDEX('Budget by Source'!$A$6:$I$330,MATCH('Payment by Source'!$A226,'Budget by Source'!$A$6:$A$330,0),MATCH(T$3,'Budget by Source'!$A$5:$I$5,0))-(ROUND(INDEX('Budget by Source'!$A$6:$I$330,MATCH('Payment by Source'!$A226,'Budget by Source'!$A$6:$A$330,0),MATCH(T$3,'Budget by Source'!$A$5:$I$5,0))/10,0)*10)</f>
        <v>-1</v>
      </c>
      <c r="U226" s="155">
        <f>INDEX('Budget by Source'!$A$6:$I$330,MATCH('Payment by Source'!$A226,'Budget by Source'!$A$6:$A$330,0),MATCH(U$3,'Budget by Source'!$A$5:$I$5,0))</f>
        <v>2468511</v>
      </c>
      <c r="V226" s="152">
        <f t="shared" si="10"/>
        <v>246851</v>
      </c>
      <c r="W226" s="152">
        <f t="shared" si="11"/>
        <v>2468510</v>
      </c>
    </row>
    <row r="227" spans="1:23" x14ac:dyDescent="0.2">
      <c r="A227" s="23" t="str">
        <f>Data!B223</f>
        <v>4890</v>
      </c>
      <c r="B227" s="21" t="str">
        <f>INDEX(Data[],MATCH($A227,Data[Dist],0),MATCH(B$5,Data[#Headers],0))</f>
        <v>Okoboji</v>
      </c>
      <c r="C227" s="22">
        <f>IF(Notes!$B$2="June",ROUND('Budget by Source'!C227/10,0)+P227,ROUND('Budget by Source'!C227/10,0))</f>
        <v>25846</v>
      </c>
      <c r="D227" s="22">
        <f>IF(Notes!$B$2="June",ROUND('Budget by Source'!D227/10,0)+Q227,ROUND('Budget by Source'!D227/10,0))</f>
        <v>70946</v>
      </c>
      <c r="E227" s="22">
        <f>IF(Notes!$B$2="June",ROUND('Budget by Source'!E227/10,0)+R227,ROUND('Budget by Source'!E227/10,0))</f>
        <v>7952</v>
      </c>
      <c r="F227" s="22">
        <f>IF(Notes!$B$2="June",ROUND('Budget by Source'!F227/10,0)+S227,ROUND('Budget by Source'!F227/10,0))</f>
        <v>8073</v>
      </c>
      <c r="G227" s="22">
        <f>IF(Notes!$B$2="June",ROUND('Budget by Source'!G227/10,0)+T227,ROUND('Budget by Source'!G227/10,0))</f>
        <v>39278</v>
      </c>
      <c r="H227" s="22">
        <f t="shared" si="9"/>
        <v>-69902</v>
      </c>
      <c r="I227" s="22">
        <f>INDEX(Data[],MATCH($A227,Data[Dist],0),MATCH(I$5,Data[#Headers],0))</f>
        <v>82193</v>
      </c>
      <c r="K227" s="69">
        <f>INDEX('Payment Total'!$A$7:$H$331,MATCH('Payment by Source'!$A227,'Payment Total'!$A$7:$A$331,0),3)-I227</f>
        <v>0</v>
      </c>
      <c r="P227" s="154">
        <f>INDEX('Budget by Source'!$A$6:$I$330,MATCH('Payment by Source'!$A227,'Budget by Source'!$A$6:$A$330,0),MATCH(P$3,'Budget by Source'!$A$5:$I$5,0))-(ROUND(INDEX('Budget by Source'!$A$6:$I$330,MATCH('Payment by Source'!$A227,'Budget by Source'!$A$6:$A$330,0),MATCH(P$3,'Budget by Source'!$A$5:$I$5,0))/10,0)*10)</f>
        <v>2</v>
      </c>
      <c r="Q227" s="154">
        <f>INDEX('Budget by Source'!$A$6:$I$330,MATCH('Payment by Source'!$A227,'Budget by Source'!$A$6:$A$330,0),MATCH(Q$3,'Budget by Source'!$A$5:$I$5,0))-(ROUND(INDEX('Budget by Source'!$A$6:$I$330,MATCH('Payment by Source'!$A227,'Budget by Source'!$A$6:$A$330,0),MATCH(Q$3,'Budget by Source'!$A$5:$I$5,0))/10,0)*10)</f>
        <v>0</v>
      </c>
      <c r="R227" s="154">
        <f>INDEX('Budget by Source'!$A$6:$I$330,MATCH('Payment by Source'!$A227,'Budget by Source'!$A$6:$A$330,0),MATCH(R$3,'Budget by Source'!$A$5:$I$5,0))-(ROUND(INDEX('Budget by Source'!$A$6:$I$330,MATCH('Payment by Source'!$A227,'Budget by Source'!$A$6:$A$330,0),MATCH(R$3,'Budget by Source'!$A$5:$I$5,0))/10,0)*10)</f>
        <v>-1</v>
      </c>
      <c r="S227" s="154">
        <f>INDEX('Budget by Source'!$A$6:$I$330,MATCH('Payment by Source'!$A227,'Budget by Source'!$A$6:$A$330,0),MATCH(S$3,'Budget by Source'!$A$5:$I$5,0))-(ROUND(INDEX('Budget by Source'!$A$6:$I$330,MATCH('Payment by Source'!$A227,'Budget by Source'!$A$6:$A$330,0),MATCH(S$3,'Budget by Source'!$A$5:$I$5,0))/10,0)*10)</f>
        <v>4</v>
      </c>
      <c r="T227" s="154">
        <f>INDEX('Budget by Source'!$A$6:$I$330,MATCH('Payment by Source'!$A227,'Budget by Source'!$A$6:$A$330,0),MATCH(T$3,'Budget by Source'!$A$5:$I$5,0))-(ROUND(INDEX('Budget by Source'!$A$6:$I$330,MATCH('Payment by Source'!$A227,'Budget by Source'!$A$6:$A$330,0),MATCH(T$3,'Budget by Source'!$A$5:$I$5,0))/10,0)*10)</f>
        <v>-1</v>
      </c>
      <c r="U227" s="155">
        <f>INDEX('Budget by Source'!$A$6:$I$330,MATCH('Payment by Source'!$A227,'Budget by Source'!$A$6:$A$330,0),MATCH(U$3,'Budget by Source'!$A$5:$I$5,0))</f>
        <v>-699027</v>
      </c>
      <c r="V227" s="152">
        <f t="shared" si="10"/>
        <v>-69903</v>
      </c>
      <c r="W227" s="152">
        <f t="shared" si="11"/>
        <v>-699030</v>
      </c>
    </row>
    <row r="228" spans="1:23" x14ac:dyDescent="0.2">
      <c r="A228" s="23" t="str">
        <f>Data!B224</f>
        <v>4905</v>
      </c>
      <c r="B228" s="21" t="str">
        <f>INDEX(Data[],MATCH($A228,Data[Dist],0),MATCH(B$5,Data[#Headers],0))</f>
        <v>Olin</v>
      </c>
      <c r="C228" s="22">
        <f>IF(Notes!$B$2="June",ROUND('Budget by Source'!C228/10,0)+P228,ROUND('Budget by Source'!C228/10,0))</f>
        <v>3801</v>
      </c>
      <c r="D228" s="22">
        <f>IF(Notes!$B$2="June",ROUND('Budget by Source'!D228/10,0)+Q228,ROUND('Budget by Source'!D228/10,0))</f>
        <v>17019</v>
      </c>
      <c r="E228" s="22">
        <f>IF(Notes!$B$2="June",ROUND('Budget by Source'!E228/10,0)+R228,ROUND('Budget by Source'!E228/10,0))</f>
        <v>1744</v>
      </c>
      <c r="F228" s="22">
        <f>IF(Notes!$B$2="June",ROUND('Budget by Source'!F228/10,0)+S228,ROUND('Budget by Source'!F228/10,0))</f>
        <v>1768</v>
      </c>
      <c r="G228" s="22">
        <f>IF(Notes!$B$2="June",ROUND('Budget by Source'!G228/10,0)+T228,ROUND('Budget by Source'!G228/10,0))</f>
        <v>7942</v>
      </c>
      <c r="H228" s="22">
        <f t="shared" si="9"/>
        <v>114858</v>
      </c>
      <c r="I228" s="22">
        <f>INDEX(Data[],MATCH($A228,Data[Dist],0),MATCH(I$5,Data[#Headers],0))</f>
        <v>147132</v>
      </c>
      <c r="K228" s="69">
        <f>INDEX('Payment Total'!$A$7:$H$331,MATCH('Payment by Source'!$A228,'Payment Total'!$A$7:$A$331,0),3)-I228</f>
        <v>0</v>
      </c>
      <c r="P228" s="154">
        <f>INDEX('Budget by Source'!$A$6:$I$330,MATCH('Payment by Source'!$A228,'Budget by Source'!$A$6:$A$330,0),MATCH(P$3,'Budget by Source'!$A$5:$I$5,0))-(ROUND(INDEX('Budget by Source'!$A$6:$I$330,MATCH('Payment by Source'!$A228,'Budget by Source'!$A$6:$A$330,0),MATCH(P$3,'Budget by Source'!$A$5:$I$5,0))/10,0)*10)</f>
        <v>-1</v>
      </c>
      <c r="Q228" s="154">
        <f>INDEX('Budget by Source'!$A$6:$I$330,MATCH('Payment by Source'!$A228,'Budget by Source'!$A$6:$A$330,0),MATCH(Q$3,'Budget by Source'!$A$5:$I$5,0))-(ROUND(INDEX('Budget by Source'!$A$6:$I$330,MATCH('Payment by Source'!$A228,'Budget by Source'!$A$6:$A$330,0),MATCH(Q$3,'Budget by Source'!$A$5:$I$5,0))/10,0)*10)</f>
        <v>-5</v>
      </c>
      <c r="R228" s="154">
        <f>INDEX('Budget by Source'!$A$6:$I$330,MATCH('Payment by Source'!$A228,'Budget by Source'!$A$6:$A$330,0),MATCH(R$3,'Budget by Source'!$A$5:$I$5,0))-(ROUND(INDEX('Budget by Source'!$A$6:$I$330,MATCH('Payment by Source'!$A228,'Budget by Source'!$A$6:$A$330,0),MATCH(R$3,'Budget by Source'!$A$5:$I$5,0))/10,0)*10)</f>
        <v>-2</v>
      </c>
      <c r="S228" s="154">
        <f>INDEX('Budget by Source'!$A$6:$I$330,MATCH('Payment by Source'!$A228,'Budget by Source'!$A$6:$A$330,0),MATCH(S$3,'Budget by Source'!$A$5:$I$5,0))-(ROUND(INDEX('Budget by Source'!$A$6:$I$330,MATCH('Payment by Source'!$A228,'Budget by Source'!$A$6:$A$330,0),MATCH(S$3,'Budget by Source'!$A$5:$I$5,0))/10,0)*10)</f>
        <v>0</v>
      </c>
      <c r="T228" s="154">
        <f>INDEX('Budget by Source'!$A$6:$I$330,MATCH('Payment by Source'!$A228,'Budget by Source'!$A$6:$A$330,0),MATCH(T$3,'Budget by Source'!$A$5:$I$5,0))-(ROUND(INDEX('Budget by Source'!$A$6:$I$330,MATCH('Payment by Source'!$A228,'Budget by Source'!$A$6:$A$330,0),MATCH(T$3,'Budget by Source'!$A$5:$I$5,0))/10,0)*10)</f>
        <v>-2</v>
      </c>
      <c r="U228" s="155">
        <f>INDEX('Budget by Source'!$A$6:$I$330,MATCH('Payment by Source'!$A228,'Budget by Source'!$A$6:$A$330,0),MATCH(U$3,'Budget by Source'!$A$5:$I$5,0))</f>
        <v>1148594</v>
      </c>
      <c r="V228" s="152">
        <f t="shared" si="10"/>
        <v>114859</v>
      </c>
      <c r="W228" s="152">
        <f t="shared" si="11"/>
        <v>1148590</v>
      </c>
    </row>
    <row r="229" spans="1:23" x14ac:dyDescent="0.2">
      <c r="A229" s="23" t="str">
        <f>Data!B225</f>
        <v>4978</v>
      </c>
      <c r="B229" s="21" t="str">
        <f>INDEX(Data[],MATCH($A229,Data[Dist],0),MATCH(B$5,Data[#Headers],0))</f>
        <v>Orient-Macksburg</v>
      </c>
      <c r="C229" s="22">
        <f>IF(Notes!$B$2="June",ROUND('Budget by Source'!C229/10,0)+P229,ROUND('Budget by Source'!C229/10,0))</f>
        <v>1520</v>
      </c>
      <c r="D229" s="22">
        <f>IF(Notes!$B$2="June",ROUND('Budget by Source'!D229/10,0)+Q229,ROUND('Budget by Source'!D229/10,0))</f>
        <v>14294</v>
      </c>
      <c r="E229" s="22">
        <f>IF(Notes!$B$2="June",ROUND('Budget by Source'!E229/10,0)+R229,ROUND('Budget by Source'!E229/10,0))</f>
        <v>1150</v>
      </c>
      <c r="F229" s="22">
        <f>IF(Notes!$B$2="June",ROUND('Budget by Source'!F229/10,0)+S229,ROUND('Budget by Source'!F229/10,0))</f>
        <v>1593</v>
      </c>
      <c r="G229" s="22">
        <f>IF(Notes!$B$2="June",ROUND('Budget by Source'!G229/10,0)+T229,ROUND('Budget by Source'!G229/10,0))</f>
        <v>6564</v>
      </c>
      <c r="H229" s="22">
        <f t="shared" si="9"/>
        <v>55758</v>
      </c>
      <c r="I229" s="22">
        <f>INDEX(Data[],MATCH($A229,Data[Dist],0),MATCH(I$5,Data[#Headers],0))</f>
        <v>80879</v>
      </c>
      <c r="K229" s="69">
        <f>INDEX('Payment Total'!$A$7:$H$331,MATCH('Payment by Source'!$A229,'Payment Total'!$A$7:$A$331,0),3)-I229</f>
        <v>0</v>
      </c>
      <c r="P229" s="154">
        <f>INDEX('Budget by Source'!$A$6:$I$330,MATCH('Payment by Source'!$A229,'Budget by Source'!$A$6:$A$330,0),MATCH(P$3,'Budget by Source'!$A$5:$I$5,0))-(ROUND(INDEX('Budget by Source'!$A$6:$I$330,MATCH('Payment by Source'!$A229,'Budget by Source'!$A$6:$A$330,0),MATCH(P$3,'Budget by Source'!$A$5:$I$5,0))/10,0)*10)</f>
        <v>4</v>
      </c>
      <c r="Q229" s="154">
        <f>INDEX('Budget by Source'!$A$6:$I$330,MATCH('Payment by Source'!$A229,'Budget by Source'!$A$6:$A$330,0),MATCH(Q$3,'Budget by Source'!$A$5:$I$5,0))-(ROUND(INDEX('Budget by Source'!$A$6:$I$330,MATCH('Payment by Source'!$A229,'Budget by Source'!$A$6:$A$330,0),MATCH(Q$3,'Budget by Source'!$A$5:$I$5,0))/10,0)*10)</f>
        <v>-1</v>
      </c>
      <c r="R229" s="154">
        <f>INDEX('Budget by Source'!$A$6:$I$330,MATCH('Payment by Source'!$A229,'Budget by Source'!$A$6:$A$330,0),MATCH(R$3,'Budget by Source'!$A$5:$I$5,0))-(ROUND(INDEX('Budget by Source'!$A$6:$I$330,MATCH('Payment by Source'!$A229,'Budget by Source'!$A$6:$A$330,0),MATCH(R$3,'Budget by Source'!$A$5:$I$5,0))/10,0)*10)</f>
        <v>2</v>
      </c>
      <c r="S229" s="154">
        <f>INDEX('Budget by Source'!$A$6:$I$330,MATCH('Payment by Source'!$A229,'Budget by Source'!$A$6:$A$330,0),MATCH(S$3,'Budget by Source'!$A$5:$I$5,0))-(ROUND(INDEX('Budget by Source'!$A$6:$I$330,MATCH('Payment by Source'!$A229,'Budget by Source'!$A$6:$A$330,0),MATCH(S$3,'Budget by Source'!$A$5:$I$5,0))/10,0)*10)</f>
        <v>-4</v>
      </c>
      <c r="T229" s="154">
        <f>INDEX('Budget by Source'!$A$6:$I$330,MATCH('Payment by Source'!$A229,'Budget by Source'!$A$6:$A$330,0),MATCH(T$3,'Budget by Source'!$A$5:$I$5,0))-(ROUND(INDEX('Budget by Source'!$A$6:$I$330,MATCH('Payment by Source'!$A229,'Budget by Source'!$A$6:$A$330,0),MATCH(T$3,'Budget by Source'!$A$5:$I$5,0))/10,0)*10)</f>
        <v>-5</v>
      </c>
      <c r="U229" s="155">
        <f>INDEX('Budget by Source'!$A$6:$I$330,MATCH('Payment by Source'!$A229,'Budget by Source'!$A$6:$A$330,0),MATCH(U$3,'Budget by Source'!$A$5:$I$5,0))</f>
        <v>557588</v>
      </c>
      <c r="V229" s="152">
        <f t="shared" si="10"/>
        <v>55759</v>
      </c>
      <c r="W229" s="152">
        <f t="shared" si="11"/>
        <v>557590</v>
      </c>
    </row>
    <row r="230" spans="1:23" x14ac:dyDescent="0.2">
      <c r="A230" s="23" t="str">
        <f>Data!B226</f>
        <v>4995</v>
      </c>
      <c r="B230" s="21" t="str">
        <f>INDEX(Data[],MATCH($A230,Data[Dist],0),MATCH(B$5,Data[#Headers],0))</f>
        <v>Osage</v>
      </c>
      <c r="C230" s="22">
        <f>IF(Notes!$B$2="June",ROUND('Budget by Source'!C230/10,0)+P230,ROUND('Budget by Source'!C230/10,0))</f>
        <v>23946</v>
      </c>
      <c r="D230" s="22">
        <f>IF(Notes!$B$2="June",ROUND('Budget by Source'!D230/10,0)+Q230,ROUND('Budget by Source'!D230/10,0))</f>
        <v>58476</v>
      </c>
      <c r="E230" s="22">
        <f>IF(Notes!$B$2="June",ROUND('Budget by Source'!E230/10,0)+R230,ROUND('Budget by Source'!E230/10,0))</f>
        <v>6348</v>
      </c>
      <c r="F230" s="22">
        <f>IF(Notes!$B$2="June",ROUND('Budget by Source'!F230/10,0)+S230,ROUND('Budget by Source'!F230/10,0))</f>
        <v>6644</v>
      </c>
      <c r="G230" s="22">
        <f>IF(Notes!$B$2="June",ROUND('Budget by Source'!G230/10,0)+T230,ROUND('Budget by Source'!G230/10,0))</f>
        <v>32899</v>
      </c>
      <c r="H230" s="22">
        <f t="shared" si="9"/>
        <v>463623</v>
      </c>
      <c r="I230" s="22">
        <f>INDEX(Data[],MATCH($A230,Data[Dist],0),MATCH(I$5,Data[#Headers],0))</f>
        <v>591936</v>
      </c>
      <c r="K230" s="69">
        <f>INDEX('Payment Total'!$A$7:$H$331,MATCH('Payment by Source'!$A230,'Payment Total'!$A$7:$A$331,0),3)-I230</f>
        <v>0</v>
      </c>
      <c r="P230" s="154">
        <f>INDEX('Budget by Source'!$A$6:$I$330,MATCH('Payment by Source'!$A230,'Budget by Source'!$A$6:$A$330,0),MATCH(P$3,'Budget by Source'!$A$5:$I$5,0))-(ROUND(INDEX('Budget by Source'!$A$6:$I$330,MATCH('Payment by Source'!$A230,'Budget by Source'!$A$6:$A$330,0),MATCH(P$3,'Budget by Source'!$A$5:$I$5,0))/10,0)*10)</f>
        <v>-2</v>
      </c>
      <c r="Q230" s="154">
        <f>INDEX('Budget by Source'!$A$6:$I$330,MATCH('Payment by Source'!$A230,'Budget by Source'!$A$6:$A$330,0),MATCH(Q$3,'Budget by Source'!$A$5:$I$5,0))-(ROUND(INDEX('Budget by Source'!$A$6:$I$330,MATCH('Payment by Source'!$A230,'Budget by Source'!$A$6:$A$330,0),MATCH(Q$3,'Budget by Source'!$A$5:$I$5,0))/10,0)*10)</f>
        <v>3</v>
      </c>
      <c r="R230" s="154">
        <f>INDEX('Budget by Source'!$A$6:$I$330,MATCH('Payment by Source'!$A230,'Budget by Source'!$A$6:$A$330,0),MATCH(R$3,'Budget by Source'!$A$5:$I$5,0))-(ROUND(INDEX('Budget by Source'!$A$6:$I$330,MATCH('Payment by Source'!$A230,'Budget by Source'!$A$6:$A$330,0),MATCH(R$3,'Budget by Source'!$A$5:$I$5,0))/10,0)*10)</f>
        <v>0</v>
      </c>
      <c r="S230" s="154">
        <f>INDEX('Budget by Source'!$A$6:$I$330,MATCH('Payment by Source'!$A230,'Budget by Source'!$A$6:$A$330,0),MATCH(S$3,'Budget by Source'!$A$5:$I$5,0))-(ROUND(INDEX('Budget by Source'!$A$6:$I$330,MATCH('Payment by Source'!$A230,'Budget by Source'!$A$6:$A$330,0),MATCH(S$3,'Budget by Source'!$A$5:$I$5,0))/10,0)*10)</f>
        <v>4</v>
      </c>
      <c r="T230" s="154">
        <f>INDEX('Budget by Source'!$A$6:$I$330,MATCH('Payment by Source'!$A230,'Budget by Source'!$A$6:$A$330,0),MATCH(T$3,'Budget by Source'!$A$5:$I$5,0))-(ROUND(INDEX('Budget by Source'!$A$6:$I$330,MATCH('Payment by Source'!$A230,'Budget by Source'!$A$6:$A$330,0),MATCH(T$3,'Budget by Source'!$A$5:$I$5,0))/10,0)*10)</f>
        <v>-3</v>
      </c>
      <c r="U230" s="155">
        <f>INDEX('Budget by Source'!$A$6:$I$330,MATCH('Payment by Source'!$A230,'Budget by Source'!$A$6:$A$330,0),MATCH(U$3,'Budget by Source'!$A$5:$I$5,0))</f>
        <v>4636223</v>
      </c>
      <c r="V230" s="152">
        <f t="shared" si="10"/>
        <v>463622</v>
      </c>
      <c r="W230" s="152">
        <f t="shared" si="11"/>
        <v>4636220</v>
      </c>
    </row>
    <row r="231" spans="1:23" x14ac:dyDescent="0.2">
      <c r="A231" s="23" t="str">
        <f>Data!B227</f>
        <v>5013</v>
      </c>
      <c r="B231" s="21" t="str">
        <f>INDEX(Data[],MATCH($A231,Data[Dist],0),MATCH(B$5,Data[#Headers],0))</f>
        <v>Oskaloosa</v>
      </c>
      <c r="C231" s="22">
        <f>IF(Notes!$B$2="June",ROUND('Budget by Source'!C231/10,0)+P231,ROUND('Budget by Source'!C231/10,0))</f>
        <v>45231</v>
      </c>
      <c r="D231" s="22">
        <f>IF(Notes!$B$2="June",ROUND('Budget by Source'!D231/10,0)+Q231,ROUND('Budget by Source'!D231/10,0))</f>
        <v>144703</v>
      </c>
      <c r="E231" s="22">
        <f>IF(Notes!$B$2="June",ROUND('Budget by Source'!E231/10,0)+R231,ROUND('Budget by Source'!E231/10,0))</f>
        <v>18783</v>
      </c>
      <c r="F231" s="22">
        <f>IF(Notes!$B$2="June",ROUND('Budget by Source'!F231/10,0)+S231,ROUND('Budget by Source'!F231/10,0))</f>
        <v>16921</v>
      </c>
      <c r="G231" s="22">
        <f>IF(Notes!$B$2="June",ROUND('Budget by Source'!G231/10,0)+T231,ROUND('Budget by Source'!G231/10,0))</f>
        <v>83089</v>
      </c>
      <c r="H231" s="22">
        <f t="shared" si="9"/>
        <v>1391998</v>
      </c>
      <c r="I231" s="22">
        <f>INDEX(Data[],MATCH($A231,Data[Dist],0),MATCH(I$5,Data[#Headers],0))</f>
        <v>1700725</v>
      </c>
      <c r="K231" s="69">
        <f>INDEX('Payment Total'!$A$7:$H$331,MATCH('Payment by Source'!$A231,'Payment Total'!$A$7:$A$331,0),3)-I231</f>
        <v>0</v>
      </c>
      <c r="P231" s="154">
        <f>INDEX('Budget by Source'!$A$6:$I$330,MATCH('Payment by Source'!$A231,'Budget by Source'!$A$6:$A$330,0),MATCH(P$3,'Budget by Source'!$A$5:$I$5,0))-(ROUND(INDEX('Budget by Source'!$A$6:$I$330,MATCH('Payment by Source'!$A231,'Budget by Source'!$A$6:$A$330,0),MATCH(P$3,'Budget by Source'!$A$5:$I$5,0))/10,0)*10)</f>
        <v>-1</v>
      </c>
      <c r="Q231" s="154">
        <f>INDEX('Budget by Source'!$A$6:$I$330,MATCH('Payment by Source'!$A231,'Budget by Source'!$A$6:$A$330,0),MATCH(Q$3,'Budget by Source'!$A$5:$I$5,0))-(ROUND(INDEX('Budget by Source'!$A$6:$I$330,MATCH('Payment by Source'!$A231,'Budget by Source'!$A$6:$A$330,0),MATCH(Q$3,'Budget by Source'!$A$5:$I$5,0))/10,0)*10)</f>
        <v>-5</v>
      </c>
      <c r="R231" s="154">
        <f>INDEX('Budget by Source'!$A$6:$I$330,MATCH('Payment by Source'!$A231,'Budget by Source'!$A$6:$A$330,0),MATCH(R$3,'Budget by Source'!$A$5:$I$5,0))-(ROUND(INDEX('Budget by Source'!$A$6:$I$330,MATCH('Payment by Source'!$A231,'Budget by Source'!$A$6:$A$330,0),MATCH(R$3,'Budget by Source'!$A$5:$I$5,0))/10,0)*10)</f>
        <v>1</v>
      </c>
      <c r="S231" s="154">
        <f>INDEX('Budget by Source'!$A$6:$I$330,MATCH('Payment by Source'!$A231,'Budget by Source'!$A$6:$A$330,0),MATCH(S$3,'Budget by Source'!$A$5:$I$5,0))-(ROUND(INDEX('Budget by Source'!$A$6:$I$330,MATCH('Payment by Source'!$A231,'Budget by Source'!$A$6:$A$330,0),MATCH(S$3,'Budget by Source'!$A$5:$I$5,0))/10,0)*10)</f>
        <v>-2</v>
      </c>
      <c r="T231" s="154">
        <f>INDEX('Budget by Source'!$A$6:$I$330,MATCH('Payment by Source'!$A231,'Budget by Source'!$A$6:$A$330,0),MATCH(T$3,'Budget by Source'!$A$5:$I$5,0))-(ROUND(INDEX('Budget by Source'!$A$6:$I$330,MATCH('Payment by Source'!$A231,'Budget by Source'!$A$6:$A$330,0),MATCH(T$3,'Budget by Source'!$A$5:$I$5,0))/10,0)*10)</f>
        <v>-2</v>
      </c>
      <c r="U231" s="155">
        <f>INDEX('Budget by Source'!$A$6:$I$330,MATCH('Payment by Source'!$A231,'Budget by Source'!$A$6:$A$330,0),MATCH(U$3,'Budget by Source'!$A$5:$I$5,0))</f>
        <v>13919988</v>
      </c>
      <c r="V231" s="152">
        <f t="shared" si="10"/>
        <v>1391999</v>
      </c>
      <c r="W231" s="152">
        <f t="shared" si="11"/>
        <v>13919990</v>
      </c>
    </row>
    <row r="232" spans="1:23" x14ac:dyDescent="0.2">
      <c r="A232" s="23" t="str">
        <f>Data!B228</f>
        <v>5049</v>
      </c>
      <c r="B232" s="21" t="str">
        <f>INDEX(Data[],MATCH($A232,Data[Dist],0),MATCH(B$5,Data[#Headers],0))</f>
        <v>Ottumwa</v>
      </c>
      <c r="C232" s="22">
        <f>IF(Notes!$B$2="June",ROUND('Budget by Source'!C232/10,0)+P232,ROUND('Budget by Source'!C232/10,0))</f>
        <v>93503</v>
      </c>
      <c r="D232" s="22">
        <f>IF(Notes!$B$2="June",ROUND('Budget by Source'!D232/10,0)+Q232,ROUND('Budget by Source'!D232/10,0))</f>
        <v>321538</v>
      </c>
      <c r="E232" s="22">
        <f>IF(Notes!$B$2="June",ROUND('Budget by Source'!E232/10,0)+R232,ROUND('Budget by Source'!E232/10,0))</f>
        <v>45518</v>
      </c>
      <c r="F232" s="22">
        <f>IF(Notes!$B$2="June",ROUND('Budget by Source'!F232/10,0)+S232,ROUND('Budget by Source'!F232/10,0))</f>
        <v>36453</v>
      </c>
      <c r="G232" s="22">
        <f>IF(Notes!$B$2="June",ROUND('Budget by Source'!G232/10,0)+T232,ROUND('Budget by Source'!G232/10,0))</f>
        <v>186738</v>
      </c>
      <c r="H232" s="22">
        <f t="shared" si="9"/>
        <v>3805248</v>
      </c>
      <c r="I232" s="22">
        <f>INDEX(Data[],MATCH($A232,Data[Dist],0),MATCH(I$5,Data[#Headers],0))</f>
        <v>4488998</v>
      </c>
      <c r="K232" s="69">
        <f>INDEX('Payment Total'!$A$7:$H$331,MATCH('Payment by Source'!$A232,'Payment Total'!$A$7:$A$331,0),3)-I232</f>
        <v>0</v>
      </c>
      <c r="P232" s="154">
        <f>INDEX('Budget by Source'!$A$6:$I$330,MATCH('Payment by Source'!$A232,'Budget by Source'!$A$6:$A$330,0),MATCH(P$3,'Budget by Source'!$A$5:$I$5,0))-(ROUND(INDEX('Budget by Source'!$A$6:$I$330,MATCH('Payment by Source'!$A232,'Budget by Source'!$A$6:$A$330,0),MATCH(P$3,'Budget by Source'!$A$5:$I$5,0))/10,0)*10)</f>
        <v>-5</v>
      </c>
      <c r="Q232" s="154">
        <f>INDEX('Budget by Source'!$A$6:$I$330,MATCH('Payment by Source'!$A232,'Budget by Source'!$A$6:$A$330,0),MATCH(Q$3,'Budget by Source'!$A$5:$I$5,0))-(ROUND(INDEX('Budget by Source'!$A$6:$I$330,MATCH('Payment by Source'!$A232,'Budget by Source'!$A$6:$A$330,0),MATCH(Q$3,'Budget by Source'!$A$5:$I$5,0))/10,0)*10)</f>
        <v>-1</v>
      </c>
      <c r="R232" s="154">
        <f>INDEX('Budget by Source'!$A$6:$I$330,MATCH('Payment by Source'!$A232,'Budget by Source'!$A$6:$A$330,0),MATCH(R$3,'Budget by Source'!$A$5:$I$5,0))-(ROUND(INDEX('Budget by Source'!$A$6:$I$330,MATCH('Payment by Source'!$A232,'Budget by Source'!$A$6:$A$330,0),MATCH(R$3,'Budget by Source'!$A$5:$I$5,0))/10,0)*10)</f>
        <v>-2</v>
      </c>
      <c r="S232" s="154">
        <f>INDEX('Budget by Source'!$A$6:$I$330,MATCH('Payment by Source'!$A232,'Budget by Source'!$A$6:$A$330,0),MATCH(S$3,'Budget by Source'!$A$5:$I$5,0))-(ROUND(INDEX('Budget by Source'!$A$6:$I$330,MATCH('Payment by Source'!$A232,'Budget by Source'!$A$6:$A$330,0),MATCH(S$3,'Budget by Source'!$A$5:$I$5,0))/10,0)*10)</f>
        <v>-3</v>
      </c>
      <c r="T232" s="154">
        <f>INDEX('Budget by Source'!$A$6:$I$330,MATCH('Payment by Source'!$A232,'Budget by Source'!$A$6:$A$330,0),MATCH(T$3,'Budget by Source'!$A$5:$I$5,0))-(ROUND(INDEX('Budget by Source'!$A$6:$I$330,MATCH('Payment by Source'!$A232,'Budget by Source'!$A$6:$A$330,0),MATCH(T$3,'Budget by Source'!$A$5:$I$5,0))/10,0)*10)</f>
        <v>-2</v>
      </c>
      <c r="U232" s="155">
        <f>INDEX('Budget by Source'!$A$6:$I$330,MATCH('Payment by Source'!$A232,'Budget by Source'!$A$6:$A$330,0),MATCH(U$3,'Budget by Source'!$A$5:$I$5,0))</f>
        <v>38052488</v>
      </c>
      <c r="V232" s="152">
        <f t="shared" si="10"/>
        <v>3805249</v>
      </c>
      <c r="W232" s="152">
        <f t="shared" si="11"/>
        <v>38052490</v>
      </c>
    </row>
    <row r="233" spans="1:23" x14ac:dyDescent="0.2">
      <c r="A233" s="23" t="str">
        <f>Data!B229</f>
        <v>5121</v>
      </c>
      <c r="B233" s="21" t="str">
        <f>INDEX(Data[],MATCH($A233,Data[Dist],0),MATCH(B$5,Data[#Headers],0))</f>
        <v>Panorama</v>
      </c>
      <c r="C233" s="22">
        <f>IF(Notes!$B$2="June",ROUND('Budget by Source'!C233/10,0)+P233,ROUND('Budget by Source'!C233/10,0))</f>
        <v>12923</v>
      </c>
      <c r="D233" s="22">
        <f>IF(Notes!$B$2="June",ROUND('Budget by Source'!D233/10,0)+Q233,ROUND('Budget by Source'!D233/10,0))</f>
        <v>42733</v>
      </c>
      <c r="E233" s="22">
        <f>IF(Notes!$B$2="June",ROUND('Budget by Source'!E233/10,0)+R233,ROUND('Budget by Source'!E233/10,0))</f>
        <v>4539</v>
      </c>
      <c r="F233" s="22">
        <f>IF(Notes!$B$2="June",ROUND('Budget by Source'!F233/10,0)+S233,ROUND('Budget by Source'!F233/10,0))</f>
        <v>4280</v>
      </c>
      <c r="G233" s="22">
        <f>IF(Notes!$B$2="June",ROUND('Budget by Source'!G233/10,0)+T233,ROUND('Budget by Source'!G233/10,0))</f>
        <v>24567</v>
      </c>
      <c r="H233" s="22">
        <f t="shared" si="9"/>
        <v>267270</v>
      </c>
      <c r="I233" s="22">
        <f>INDEX(Data[],MATCH($A233,Data[Dist],0),MATCH(I$5,Data[#Headers],0))</f>
        <v>356312</v>
      </c>
      <c r="K233" s="69">
        <f>INDEX('Payment Total'!$A$7:$H$331,MATCH('Payment by Source'!$A233,'Payment Total'!$A$7:$A$331,0),3)-I233</f>
        <v>0</v>
      </c>
      <c r="P233" s="154">
        <f>INDEX('Budget by Source'!$A$6:$I$330,MATCH('Payment by Source'!$A233,'Budget by Source'!$A$6:$A$330,0),MATCH(P$3,'Budget by Source'!$A$5:$I$5,0))-(ROUND(INDEX('Budget by Source'!$A$6:$I$330,MATCH('Payment by Source'!$A233,'Budget by Source'!$A$6:$A$330,0),MATCH(P$3,'Budget by Source'!$A$5:$I$5,0))/10,0)*10)</f>
        <v>1</v>
      </c>
      <c r="Q233" s="154">
        <f>INDEX('Budget by Source'!$A$6:$I$330,MATCH('Payment by Source'!$A233,'Budget by Source'!$A$6:$A$330,0),MATCH(Q$3,'Budget by Source'!$A$5:$I$5,0))-(ROUND(INDEX('Budget by Source'!$A$6:$I$330,MATCH('Payment by Source'!$A233,'Budget by Source'!$A$6:$A$330,0),MATCH(Q$3,'Budget by Source'!$A$5:$I$5,0))/10,0)*10)</f>
        <v>3</v>
      </c>
      <c r="R233" s="154">
        <f>INDEX('Budget by Source'!$A$6:$I$330,MATCH('Payment by Source'!$A233,'Budget by Source'!$A$6:$A$330,0),MATCH(R$3,'Budget by Source'!$A$5:$I$5,0))-(ROUND(INDEX('Budget by Source'!$A$6:$I$330,MATCH('Payment by Source'!$A233,'Budget by Source'!$A$6:$A$330,0),MATCH(R$3,'Budget by Source'!$A$5:$I$5,0))/10,0)*10)</f>
        <v>1</v>
      </c>
      <c r="S233" s="154">
        <f>INDEX('Budget by Source'!$A$6:$I$330,MATCH('Payment by Source'!$A233,'Budget by Source'!$A$6:$A$330,0),MATCH(S$3,'Budget by Source'!$A$5:$I$5,0))-(ROUND(INDEX('Budget by Source'!$A$6:$I$330,MATCH('Payment by Source'!$A233,'Budget by Source'!$A$6:$A$330,0),MATCH(S$3,'Budget by Source'!$A$5:$I$5,0))/10,0)*10)</f>
        <v>-4</v>
      </c>
      <c r="T233" s="154">
        <f>INDEX('Budget by Source'!$A$6:$I$330,MATCH('Payment by Source'!$A233,'Budget by Source'!$A$6:$A$330,0),MATCH(T$3,'Budget by Source'!$A$5:$I$5,0))-(ROUND(INDEX('Budget by Source'!$A$6:$I$330,MATCH('Payment by Source'!$A233,'Budget by Source'!$A$6:$A$330,0),MATCH(T$3,'Budget by Source'!$A$5:$I$5,0))/10,0)*10)</f>
        <v>-5</v>
      </c>
      <c r="U233" s="155">
        <f>INDEX('Budget by Source'!$A$6:$I$330,MATCH('Payment by Source'!$A233,'Budget by Source'!$A$6:$A$330,0),MATCH(U$3,'Budget by Source'!$A$5:$I$5,0))</f>
        <v>2672703</v>
      </c>
      <c r="V233" s="152">
        <f t="shared" si="10"/>
        <v>267270</v>
      </c>
      <c r="W233" s="152">
        <f t="shared" si="11"/>
        <v>2672700</v>
      </c>
    </row>
    <row r="234" spans="1:23" x14ac:dyDescent="0.2">
      <c r="A234" s="23" t="str">
        <f>Data!B230</f>
        <v>5139</v>
      </c>
      <c r="B234" s="21" t="str">
        <f>INDEX(Data[],MATCH($A234,Data[Dist],0),MATCH(B$5,Data[#Headers],0))</f>
        <v>Paton-Churdan</v>
      </c>
      <c r="C234" s="22">
        <f>IF(Notes!$B$2="June",ROUND('Budget by Source'!C234/10,0)+P234,ROUND('Budget by Source'!C234/10,0))</f>
        <v>4181</v>
      </c>
      <c r="D234" s="22">
        <f>IF(Notes!$B$2="June",ROUND('Budget by Source'!D234/10,0)+Q234,ROUND('Budget by Source'!D234/10,0))</f>
        <v>12563</v>
      </c>
      <c r="E234" s="22">
        <f>IF(Notes!$B$2="June",ROUND('Budget by Source'!E234/10,0)+R234,ROUND('Budget by Source'!E234/10,0))</f>
        <v>1514</v>
      </c>
      <c r="F234" s="22">
        <f>IF(Notes!$B$2="June",ROUND('Budget by Source'!F234/10,0)+S234,ROUND('Budget by Source'!F234/10,0))</f>
        <v>1151</v>
      </c>
      <c r="G234" s="22">
        <f>IF(Notes!$B$2="June",ROUND('Budget by Source'!G234/10,0)+T234,ROUND('Budget by Source'!G234/10,0))</f>
        <v>6881</v>
      </c>
      <c r="H234" s="22">
        <f t="shared" si="9"/>
        <v>74698</v>
      </c>
      <c r="I234" s="22">
        <f>INDEX(Data[],MATCH($A234,Data[Dist],0),MATCH(I$5,Data[#Headers],0))</f>
        <v>100988</v>
      </c>
      <c r="K234" s="69">
        <f>INDEX('Payment Total'!$A$7:$H$331,MATCH('Payment by Source'!$A234,'Payment Total'!$A$7:$A$331,0),3)-I234</f>
        <v>0</v>
      </c>
      <c r="P234" s="154">
        <f>INDEX('Budget by Source'!$A$6:$I$330,MATCH('Payment by Source'!$A234,'Budget by Source'!$A$6:$A$330,0),MATCH(P$3,'Budget by Source'!$A$5:$I$5,0))-(ROUND(INDEX('Budget by Source'!$A$6:$I$330,MATCH('Payment by Source'!$A234,'Budget by Source'!$A$6:$A$330,0),MATCH(P$3,'Budget by Source'!$A$5:$I$5,0))/10,0)*10)</f>
        <v>1</v>
      </c>
      <c r="Q234" s="154">
        <f>INDEX('Budget by Source'!$A$6:$I$330,MATCH('Payment by Source'!$A234,'Budget by Source'!$A$6:$A$330,0),MATCH(Q$3,'Budget by Source'!$A$5:$I$5,0))-(ROUND(INDEX('Budget by Source'!$A$6:$I$330,MATCH('Payment by Source'!$A234,'Budget by Source'!$A$6:$A$330,0),MATCH(Q$3,'Budget by Source'!$A$5:$I$5,0))/10,0)*10)</f>
        <v>-1</v>
      </c>
      <c r="R234" s="154">
        <f>INDEX('Budget by Source'!$A$6:$I$330,MATCH('Payment by Source'!$A234,'Budget by Source'!$A$6:$A$330,0),MATCH(R$3,'Budget by Source'!$A$5:$I$5,0))-(ROUND(INDEX('Budget by Source'!$A$6:$I$330,MATCH('Payment by Source'!$A234,'Budget by Source'!$A$6:$A$330,0),MATCH(R$3,'Budget by Source'!$A$5:$I$5,0))/10,0)*10)</f>
        <v>0</v>
      </c>
      <c r="S234" s="154">
        <f>INDEX('Budget by Source'!$A$6:$I$330,MATCH('Payment by Source'!$A234,'Budget by Source'!$A$6:$A$330,0),MATCH(S$3,'Budget by Source'!$A$5:$I$5,0))-(ROUND(INDEX('Budget by Source'!$A$6:$I$330,MATCH('Payment by Source'!$A234,'Budget by Source'!$A$6:$A$330,0),MATCH(S$3,'Budget by Source'!$A$5:$I$5,0))/10,0)*10)</f>
        <v>2</v>
      </c>
      <c r="T234" s="154">
        <f>INDEX('Budget by Source'!$A$6:$I$330,MATCH('Payment by Source'!$A234,'Budget by Source'!$A$6:$A$330,0),MATCH(T$3,'Budget by Source'!$A$5:$I$5,0))-(ROUND(INDEX('Budget by Source'!$A$6:$I$330,MATCH('Payment by Source'!$A234,'Budget by Source'!$A$6:$A$330,0),MATCH(T$3,'Budget by Source'!$A$5:$I$5,0))/10,0)*10)</f>
        <v>-5</v>
      </c>
      <c r="U234" s="155">
        <f>INDEX('Budget by Source'!$A$6:$I$330,MATCH('Payment by Source'!$A234,'Budget by Source'!$A$6:$A$330,0),MATCH(U$3,'Budget by Source'!$A$5:$I$5,0))</f>
        <v>746986</v>
      </c>
      <c r="V234" s="152">
        <f t="shared" si="10"/>
        <v>74699</v>
      </c>
      <c r="W234" s="152">
        <f t="shared" si="11"/>
        <v>746990</v>
      </c>
    </row>
    <row r="235" spans="1:23" x14ac:dyDescent="0.2">
      <c r="A235" s="23" t="str">
        <f>Data!B231</f>
        <v>5157</v>
      </c>
      <c r="B235" s="21" t="str">
        <f>INDEX(Data[],MATCH($A235,Data[Dist],0),MATCH(B$5,Data[#Headers],0))</f>
        <v>South O'Brien</v>
      </c>
      <c r="C235" s="22">
        <f>IF(Notes!$B$2="June",ROUND('Budget by Source'!C235/10,0)+P235,ROUND('Budget by Source'!C235/10,0))</f>
        <v>14444</v>
      </c>
      <c r="D235" s="22">
        <f>IF(Notes!$B$2="June",ROUND('Budget by Source'!D235/10,0)+Q235,ROUND('Budget by Source'!D235/10,0))</f>
        <v>37731</v>
      </c>
      <c r="E235" s="22">
        <f>IF(Notes!$B$2="June",ROUND('Budget by Source'!E235/10,0)+R235,ROUND('Budget by Source'!E235/10,0))</f>
        <v>3880</v>
      </c>
      <c r="F235" s="22">
        <f>IF(Notes!$B$2="June",ROUND('Budget by Source'!F235/10,0)+S235,ROUND('Budget by Source'!F235/10,0))</f>
        <v>4421</v>
      </c>
      <c r="G235" s="22">
        <f>IF(Notes!$B$2="June",ROUND('Budget by Source'!G235/10,0)+T235,ROUND('Budget by Source'!G235/10,0))</f>
        <v>20693</v>
      </c>
      <c r="H235" s="22">
        <f t="shared" si="9"/>
        <v>95971</v>
      </c>
      <c r="I235" s="22">
        <f>INDEX(Data[],MATCH($A235,Data[Dist],0),MATCH(I$5,Data[#Headers],0))</f>
        <v>177140</v>
      </c>
      <c r="K235" s="69">
        <f>INDEX('Payment Total'!$A$7:$H$331,MATCH('Payment by Source'!$A235,'Payment Total'!$A$7:$A$331,0),3)-I235</f>
        <v>0</v>
      </c>
      <c r="P235" s="154">
        <f>INDEX('Budget by Source'!$A$6:$I$330,MATCH('Payment by Source'!$A235,'Budget by Source'!$A$6:$A$330,0),MATCH(P$3,'Budget by Source'!$A$5:$I$5,0))-(ROUND(INDEX('Budget by Source'!$A$6:$I$330,MATCH('Payment by Source'!$A235,'Budget by Source'!$A$6:$A$330,0),MATCH(P$3,'Budget by Source'!$A$5:$I$5,0))/10,0)*10)</f>
        <v>-5</v>
      </c>
      <c r="Q235" s="154">
        <f>INDEX('Budget by Source'!$A$6:$I$330,MATCH('Payment by Source'!$A235,'Budget by Source'!$A$6:$A$330,0),MATCH(Q$3,'Budget by Source'!$A$5:$I$5,0))-(ROUND(INDEX('Budget by Source'!$A$6:$I$330,MATCH('Payment by Source'!$A235,'Budget by Source'!$A$6:$A$330,0),MATCH(Q$3,'Budget by Source'!$A$5:$I$5,0))/10,0)*10)</f>
        <v>1</v>
      </c>
      <c r="R235" s="154">
        <f>INDEX('Budget by Source'!$A$6:$I$330,MATCH('Payment by Source'!$A235,'Budget by Source'!$A$6:$A$330,0),MATCH(R$3,'Budget by Source'!$A$5:$I$5,0))-(ROUND(INDEX('Budget by Source'!$A$6:$I$330,MATCH('Payment by Source'!$A235,'Budget by Source'!$A$6:$A$330,0),MATCH(R$3,'Budget by Source'!$A$5:$I$5,0))/10,0)*10)</f>
        <v>0</v>
      </c>
      <c r="S235" s="154">
        <f>INDEX('Budget by Source'!$A$6:$I$330,MATCH('Payment by Source'!$A235,'Budget by Source'!$A$6:$A$330,0),MATCH(S$3,'Budget by Source'!$A$5:$I$5,0))-(ROUND(INDEX('Budget by Source'!$A$6:$I$330,MATCH('Payment by Source'!$A235,'Budget by Source'!$A$6:$A$330,0),MATCH(S$3,'Budget by Source'!$A$5:$I$5,0))/10,0)*10)</f>
        <v>-3</v>
      </c>
      <c r="T235" s="154">
        <f>INDEX('Budget by Source'!$A$6:$I$330,MATCH('Payment by Source'!$A235,'Budget by Source'!$A$6:$A$330,0),MATCH(T$3,'Budget by Source'!$A$5:$I$5,0))-(ROUND(INDEX('Budget by Source'!$A$6:$I$330,MATCH('Payment by Source'!$A235,'Budget by Source'!$A$6:$A$330,0),MATCH(T$3,'Budget by Source'!$A$5:$I$5,0))/10,0)*10)</f>
        <v>0</v>
      </c>
      <c r="U235" s="155">
        <f>INDEX('Budget by Source'!$A$6:$I$330,MATCH('Payment by Source'!$A235,'Budget by Source'!$A$6:$A$330,0),MATCH(U$3,'Budget by Source'!$A$5:$I$5,0))</f>
        <v>959719</v>
      </c>
      <c r="V235" s="152">
        <f t="shared" si="10"/>
        <v>95972</v>
      </c>
      <c r="W235" s="152">
        <f t="shared" si="11"/>
        <v>959720</v>
      </c>
    </row>
    <row r="236" spans="1:23" x14ac:dyDescent="0.2">
      <c r="A236" s="23" t="str">
        <f>Data!B232</f>
        <v>5163</v>
      </c>
      <c r="B236" s="21" t="str">
        <f>INDEX(Data[],MATCH($A236,Data[Dist],0),MATCH(B$5,Data[#Headers],0))</f>
        <v>Pekin</v>
      </c>
      <c r="C236" s="22">
        <f>IF(Notes!$B$2="June",ROUND('Budget by Source'!C236/10,0)+P236,ROUND('Budget by Source'!C236/10,0))</f>
        <v>14824</v>
      </c>
      <c r="D236" s="22">
        <f>IF(Notes!$B$2="June",ROUND('Budget by Source'!D236/10,0)+Q236,ROUND('Budget by Source'!D236/10,0))</f>
        <v>36444</v>
      </c>
      <c r="E236" s="22">
        <f>IF(Notes!$B$2="June",ROUND('Budget by Source'!E236/10,0)+R236,ROUND('Budget by Source'!E236/10,0))</f>
        <v>4247</v>
      </c>
      <c r="F236" s="22">
        <f>IF(Notes!$B$2="June",ROUND('Budget by Source'!F236/10,0)+S236,ROUND('Budget by Source'!F236/10,0))</f>
        <v>4099</v>
      </c>
      <c r="G236" s="22">
        <f>IF(Notes!$B$2="June",ROUND('Budget by Source'!G236/10,0)+T236,ROUND('Budget by Source'!G236/10,0))</f>
        <v>20584</v>
      </c>
      <c r="H236" s="22">
        <f t="shared" si="9"/>
        <v>247944</v>
      </c>
      <c r="I236" s="22">
        <f>INDEX(Data[],MATCH($A236,Data[Dist],0),MATCH(I$5,Data[#Headers],0))</f>
        <v>328142</v>
      </c>
      <c r="K236" s="69">
        <f>INDEX('Payment Total'!$A$7:$H$331,MATCH('Payment by Source'!$A236,'Payment Total'!$A$7:$A$331,0),3)-I236</f>
        <v>0</v>
      </c>
      <c r="P236" s="154">
        <f>INDEX('Budget by Source'!$A$6:$I$330,MATCH('Payment by Source'!$A236,'Budget by Source'!$A$6:$A$330,0),MATCH(P$3,'Budget by Source'!$A$5:$I$5,0))-(ROUND(INDEX('Budget by Source'!$A$6:$I$330,MATCH('Payment by Source'!$A236,'Budget by Source'!$A$6:$A$330,0),MATCH(P$3,'Budget by Source'!$A$5:$I$5,0))/10,0)*10)</f>
        <v>-4</v>
      </c>
      <c r="Q236" s="154">
        <f>INDEX('Budget by Source'!$A$6:$I$330,MATCH('Payment by Source'!$A236,'Budget by Source'!$A$6:$A$330,0),MATCH(Q$3,'Budget by Source'!$A$5:$I$5,0))-(ROUND(INDEX('Budget by Source'!$A$6:$I$330,MATCH('Payment by Source'!$A236,'Budget by Source'!$A$6:$A$330,0),MATCH(Q$3,'Budget by Source'!$A$5:$I$5,0))/10,0)*10)</f>
        <v>-5</v>
      </c>
      <c r="R236" s="154">
        <f>INDEX('Budget by Source'!$A$6:$I$330,MATCH('Payment by Source'!$A236,'Budget by Source'!$A$6:$A$330,0),MATCH(R$3,'Budget by Source'!$A$5:$I$5,0))-(ROUND(INDEX('Budget by Source'!$A$6:$I$330,MATCH('Payment by Source'!$A236,'Budget by Source'!$A$6:$A$330,0),MATCH(R$3,'Budget by Source'!$A$5:$I$5,0))/10,0)*10)</f>
        <v>4</v>
      </c>
      <c r="S236" s="154">
        <f>INDEX('Budget by Source'!$A$6:$I$330,MATCH('Payment by Source'!$A236,'Budget by Source'!$A$6:$A$330,0),MATCH(S$3,'Budget by Source'!$A$5:$I$5,0))-(ROUND(INDEX('Budget by Source'!$A$6:$I$330,MATCH('Payment by Source'!$A236,'Budget by Source'!$A$6:$A$330,0),MATCH(S$3,'Budget by Source'!$A$5:$I$5,0))/10,0)*10)</f>
        <v>0</v>
      </c>
      <c r="T236" s="154">
        <f>INDEX('Budget by Source'!$A$6:$I$330,MATCH('Payment by Source'!$A236,'Budget by Source'!$A$6:$A$330,0),MATCH(T$3,'Budget by Source'!$A$5:$I$5,0))-(ROUND(INDEX('Budget by Source'!$A$6:$I$330,MATCH('Payment by Source'!$A236,'Budget by Source'!$A$6:$A$330,0),MATCH(T$3,'Budget by Source'!$A$5:$I$5,0))/10,0)*10)</f>
        <v>2</v>
      </c>
      <c r="U236" s="155">
        <f>INDEX('Budget by Source'!$A$6:$I$330,MATCH('Payment by Source'!$A236,'Budget by Source'!$A$6:$A$330,0),MATCH(U$3,'Budget by Source'!$A$5:$I$5,0))</f>
        <v>2479443</v>
      </c>
      <c r="V236" s="152">
        <f t="shared" si="10"/>
        <v>247944</v>
      </c>
      <c r="W236" s="152">
        <f t="shared" si="11"/>
        <v>2479440</v>
      </c>
    </row>
    <row r="237" spans="1:23" x14ac:dyDescent="0.2">
      <c r="A237" s="23" t="str">
        <f>Data!B233</f>
        <v>5166</v>
      </c>
      <c r="B237" s="21" t="str">
        <f>INDEX(Data[],MATCH($A237,Data[Dist],0),MATCH(B$5,Data[#Headers],0))</f>
        <v>Pella</v>
      </c>
      <c r="C237" s="22">
        <f>IF(Notes!$B$2="June",ROUND('Budget by Source'!C237/10,0)+P237,ROUND('Budget by Source'!C237/10,0))</f>
        <v>44091</v>
      </c>
      <c r="D237" s="22">
        <f>IF(Notes!$B$2="June",ROUND('Budget by Source'!D237/10,0)+Q237,ROUND('Budget by Source'!D237/10,0))</f>
        <v>136484</v>
      </c>
      <c r="E237" s="22">
        <f>IF(Notes!$B$2="June",ROUND('Budget by Source'!E237/10,0)+R237,ROUND('Budget by Source'!E237/10,0))</f>
        <v>15912</v>
      </c>
      <c r="F237" s="22">
        <f>IF(Notes!$B$2="June",ROUND('Budget by Source'!F237/10,0)+S237,ROUND('Budget by Source'!F237/10,0))</f>
        <v>14763</v>
      </c>
      <c r="G237" s="22">
        <f>IF(Notes!$B$2="June",ROUND('Budget by Source'!G237/10,0)+T237,ROUND('Budget by Source'!G237/10,0))</f>
        <v>80329</v>
      </c>
      <c r="H237" s="22">
        <f t="shared" si="9"/>
        <v>1080678</v>
      </c>
      <c r="I237" s="22">
        <f>INDEX(Data[],MATCH($A237,Data[Dist],0),MATCH(I$5,Data[#Headers],0))</f>
        <v>1372257</v>
      </c>
      <c r="K237" s="69">
        <f>INDEX('Payment Total'!$A$7:$H$331,MATCH('Payment by Source'!$A237,'Payment Total'!$A$7:$A$331,0),3)-I237</f>
        <v>0</v>
      </c>
      <c r="P237" s="154">
        <f>INDEX('Budget by Source'!$A$6:$I$330,MATCH('Payment by Source'!$A237,'Budget by Source'!$A$6:$A$330,0),MATCH(P$3,'Budget by Source'!$A$5:$I$5,0))-(ROUND(INDEX('Budget by Source'!$A$6:$I$330,MATCH('Payment by Source'!$A237,'Budget by Source'!$A$6:$A$330,0),MATCH(P$3,'Budget by Source'!$A$5:$I$5,0))/10,0)*10)</f>
        <v>-4</v>
      </c>
      <c r="Q237" s="154">
        <f>INDEX('Budget by Source'!$A$6:$I$330,MATCH('Payment by Source'!$A237,'Budget by Source'!$A$6:$A$330,0),MATCH(Q$3,'Budget by Source'!$A$5:$I$5,0))-(ROUND(INDEX('Budget by Source'!$A$6:$I$330,MATCH('Payment by Source'!$A237,'Budget by Source'!$A$6:$A$330,0),MATCH(Q$3,'Budget by Source'!$A$5:$I$5,0))/10,0)*10)</f>
        <v>1</v>
      </c>
      <c r="R237" s="154">
        <f>INDEX('Budget by Source'!$A$6:$I$330,MATCH('Payment by Source'!$A237,'Budget by Source'!$A$6:$A$330,0),MATCH(R$3,'Budget by Source'!$A$5:$I$5,0))-(ROUND(INDEX('Budget by Source'!$A$6:$I$330,MATCH('Payment by Source'!$A237,'Budget by Source'!$A$6:$A$330,0),MATCH(R$3,'Budget by Source'!$A$5:$I$5,0))/10,0)*10)</f>
        <v>-2</v>
      </c>
      <c r="S237" s="154">
        <f>INDEX('Budget by Source'!$A$6:$I$330,MATCH('Payment by Source'!$A237,'Budget by Source'!$A$6:$A$330,0),MATCH(S$3,'Budget by Source'!$A$5:$I$5,0))-(ROUND(INDEX('Budget by Source'!$A$6:$I$330,MATCH('Payment by Source'!$A237,'Budget by Source'!$A$6:$A$330,0),MATCH(S$3,'Budget by Source'!$A$5:$I$5,0))/10,0)*10)</f>
        <v>1</v>
      </c>
      <c r="T237" s="154">
        <f>INDEX('Budget by Source'!$A$6:$I$330,MATCH('Payment by Source'!$A237,'Budget by Source'!$A$6:$A$330,0),MATCH(T$3,'Budget by Source'!$A$5:$I$5,0))-(ROUND(INDEX('Budget by Source'!$A$6:$I$330,MATCH('Payment by Source'!$A237,'Budget by Source'!$A$6:$A$330,0),MATCH(T$3,'Budget by Source'!$A$5:$I$5,0))/10,0)*10)</f>
        <v>-5</v>
      </c>
      <c r="U237" s="155">
        <f>INDEX('Budget by Source'!$A$6:$I$330,MATCH('Payment by Source'!$A237,'Budget by Source'!$A$6:$A$330,0),MATCH(U$3,'Budget by Source'!$A$5:$I$5,0))</f>
        <v>10806790</v>
      </c>
      <c r="V237" s="152">
        <f t="shared" si="10"/>
        <v>1080679</v>
      </c>
      <c r="W237" s="152">
        <f t="shared" si="11"/>
        <v>10806790</v>
      </c>
    </row>
    <row r="238" spans="1:23" x14ac:dyDescent="0.2">
      <c r="A238" s="23" t="str">
        <f>Data!B234</f>
        <v>5184</v>
      </c>
      <c r="B238" s="21" t="str">
        <f>INDEX(Data[],MATCH($A238,Data[Dist],0),MATCH(B$5,Data[#Headers],0))</f>
        <v>Perry</v>
      </c>
      <c r="C238" s="22">
        <f>IF(Notes!$B$2="June",ROUND('Budget by Source'!C238/10,0)+P238,ROUND('Budget by Source'!C238/10,0))</f>
        <v>34588</v>
      </c>
      <c r="D238" s="22">
        <f>IF(Notes!$B$2="June",ROUND('Budget by Source'!D238/10,0)+Q238,ROUND('Budget by Source'!D238/10,0))</f>
        <v>123598</v>
      </c>
      <c r="E238" s="22">
        <f>IF(Notes!$B$2="June",ROUND('Budget by Source'!E238/10,0)+R238,ROUND('Budget by Source'!E238/10,0))</f>
        <v>17972</v>
      </c>
      <c r="F238" s="22">
        <f>IF(Notes!$B$2="June",ROUND('Budget by Source'!F238/10,0)+S238,ROUND('Budget by Source'!F238/10,0))</f>
        <v>13509</v>
      </c>
      <c r="G238" s="22">
        <f>IF(Notes!$B$2="June",ROUND('Budget by Source'!G238/10,0)+T238,ROUND('Budget by Source'!G238/10,0))</f>
        <v>68329</v>
      </c>
      <c r="H238" s="22">
        <f t="shared" si="9"/>
        <v>1332170</v>
      </c>
      <c r="I238" s="22">
        <f>INDEX(Data[],MATCH($A238,Data[Dist],0),MATCH(I$5,Data[#Headers],0))</f>
        <v>1590166</v>
      </c>
      <c r="K238" s="69">
        <f>INDEX('Payment Total'!$A$7:$H$331,MATCH('Payment by Source'!$A238,'Payment Total'!$A$7:$A$331,0),3)-I238</f>
        <v>0</v>
      </c>
      <c r="P238" s="154">
        <f>INDEX('Budget by Source'!$A$6:$I$330,MATCH('Payment by Source'!$A238,'Budget by Source'!$A$6:$A$330,0),MATCH(P$3,'Budget by Source'!$A$5:$I$5,0))-(ROUND(INDEX('Budget by Source'!$A$6:$I$330,MATCH('Payment by Source'!$A238,'Budget by Source'!$A$6:$A$330,0),MATCH(P$3,'Budget by Source'!$A$5:$I$5,0))/10,0)*10)</f>
        <v>4</v>
      </c>
      <c r="Q238" s="154">
        <f>INDEX('Budget by Source'!$A$6:$I$330,MATCH('Payment by Source'!$A238,'Budget by Source'!$A$6:$A$330,0),MATCH(Q$3,'Budget by Source'!$A$5:$I$5,0))-(ROUND(INDEX('Budget by Source'!$A$6:$I$330,MATCH('Payment by Source'!$A238,'Budget by Source'!$A$6:$A$330,0),MATCH(Q$3,'Budget by Source'!$A$5:$I$5,0))/10,0)*10)</f>
        <v>0</v>
      </c>
      <c r="R238" s="154">
        <f>INDEX('Budget by Source'!$A$6:$I$330,MATCH('Payment by Source'!$A238,'Budget by Source'!$A$6:$A$330,0),MATCH(R$3,'Budget by Source'!$A$5:$I$5,0))-(ROUND(INDEX('Budget by Source'!$A$6:$I$330,MATCH('Payment by Source'!$A238,'Budget by Source'!$A$6:$A$330,0),MATCH(R$3,'Budget by Source'!$A$5:$I$5,0))/10,0)*10)</f>
        <v>-2</v>
      </c>
      <c r="S238" s="154">
        <f>INDEX('Budget by Source'!$A$6:$I$330,MATCH('Payment by Source'!$A238,'Budget by Source'!$A$6:$A$330,0),MATCH(S$3,'Budget by Source'!$A$5:$I$5,0))-(ROUND(INDEX('Budget by Source'!$A$6:$I$330,MATCH('Payment by Source'!$A238,'Budget by Source'!$A$6:$A$330,0),MATCH(S$3,'Budget by Source'!$A$5:$I$5,0))/10,0)*10)</f>
        <v>0</v>
      </c>
      <c r="T238" s="154">
        <f>INDEX('Budget by Source'!$A$6:$I$330,MATCH('Payment by Source'!$A238,'Budget by Source'!$A$6:$A$330,0),MATCH(T$3,'Budget by Source'!$A$5:$I$5,0))-(ROUND(INDEX('Budget by Source'!$A$6:$I$330,MATCH('Payment by Source'!$A238,'Budget by Source'!$A$6:$A$330,0),MATCH(T$3,'Budget by Source'!$A$5:$I$5,0))/10,0)*10)</f>
        <v>1</v>
      </c>
      <c r="U238" s="155">
        <f>INDEX('Budget by Source'!$A$6:$I$330,MATCH('Payment by Source'!$A238,'Budget by Source'!$A$6:$A$330,0),MATCH(U$3,'Budget by Source'!$A$5:$I$5,0))</f>
        <v>13321698</v>
      </c>
      <c r="V238" s="152">
        <f t="shared" si="10"/>
        <v>1332170</v>
      </c>
      <c r="W238" s="152">
        <f t="shared" si="11"/>
        <v>13321700</v>
      </c>
    </row>
    <row r="239" spans="1:23" x14ac:dyDescent="0.2">
      <c r="A239" s="23" t="str">
        <f>Data!B235</f>
        <v>5250</v>
      </c>
      <c r="B239" s="21" t="str">
        <f>INDEX(Data[],MATCH($A239,Data[Dist],0),MATCH(B$5,Data[#Headers],0))</f>
        <v>Pleasant Valley</v>
      </c>
      <c r="C239" s="22">
        <f>IF(Notes!$B$2="June",ROUND('Budget by Source'!C239/10,0)+P239,ROUND('Budget by Source'!C239/10,0))</f>
        <v>85483</v>
      </c>
      <c r="D239" s="22">
        <f>IF(Notes!$B$2="June",ROUND('Budget by Source'!D239/10,0)+Q239,ROUND('Budget by Source'!D239/10,0))</f>
        <v>341832</v>
      </c>
      <c r="E239" s="22">
        <f>IF(Notes!$B$2="June",ROUND('Budget by Source'!E239/10,0)+R239,ROUND('Budget by Source'!E239/10,0))</f>
        <v>36658</v>
      </c>
      <c r="F239" s="22">
        <f>IF(Notes!$B$2="June",ROUND('Budget by Source'!F239/10,0)+S239,ROUND('Budget by Source'!F239/10,0))</f>
        <v>39359</v>
      </c>
      <c r="G239" s="22">
        <f>IF(Notes!$B$2="June",ROUND('Budget by Source'!G239/10,0)+T239,ROUND('Budget by Source'!G239/10,0))</f>
        <v>204785</v>
      </c>
      <c r="H239" s="22">
        <f t="shared" si="9"/>
        <v>3003780</v>
      </c>
      <c r="I239" s="22">
        <f>INDEX(Data[],MATCH($A239,Data[Dist],0),MATCH(I$5,Data[#Headers],0))</f>
        <v>3711897</v>
      </c>
      <c r="K239" s="69">
        <f>INDEX('Payment Total'!$A$7:$H$331,MATCH('Payment by Source'!$A239,'Payment Total'!$A$7:$A$331,0),3)-I239</f>
        <v>0</v>
      </c>
      <c r="P239" s="154">
        <f>INDEX('Budget by Source'!$A$6:$I$330,MATCH('Payment by Source'!$A239,'Budget by Source'!$A$6:$A$330,0),MATCH(P$3,'Budget by Source'!$A$5:$I$5,0))-(ROUND(INDEX('Budget by Source'!$A$6:$I$330,MATCH('Payment by Source'!$A239,'Budget by Source'!$A$6:$A$330,0),MATCH(P$3,'Budget by Source'!$A$5:$I$5,0))/10,0)*10)</f>
        <v>-1</v>
      </c>
      <c r="Q239" s="154">
        <f>INDEX('Budget by Source'!$A$6:$I$330,MATCH('Payment by Source'!$A239,'Budget by Source'!$A$6:$A$330,0),MATCH(Q$3,'Budget by Source'!$A$5:$I$5,0))-(ROUND(INDEX('Budget by Source'!$A$6:$I$330,MATCH('Payment by Source'!$A239,'Budget by Source'!$A$6:$A$330,0),MATCH(Q$3,'Budget by Source'!$A$5:$I$5,0))/10,0)*10)</f>
        <v>1</v>
      </c>
      <c r="R239" s="154">
        <f>INDEX('Budget by Source'!$A$6:$I$330,MATCH('Payment by Source'!$A239,'Budget by Source'!$A$6:$A$330,0),MATCH(R$3,'Budget by Source'!$A$5:$I$5,0))-(ROUND(INDEX('Budget by Source'!$A$6:$I$330,MATCH('Payment by Source'!$A239,'Budget by Source'!$A$6:$A$330,0),MATCH(R$3,'Budget by Source'!$A$5:$I$5,0))/10,0)*10)</f>
        <v>2</v>
      </c>
      <c r="S239" s="154">
        <f>INDEX('Budget by Source'!$A$6:$I$330,MATCH('Payment by Source'!$A239,'Budget by Source'!$A$6:$A$330,0),MATCH(S$3,'Budget by Source'!$A$5:$I$5,0))-(ROUND(INDEX('Budget by Source'!$A$6:$I$330,MATCH('Payment by Source'!$A239,'Budget by Source'!$A$6:$A$330,0),MATCH(S$3,'Budget by Source'!$A$5:$I$5,0))/10,0)*10)</f>
        <v>-2</v>
      </c>
      <c r="T239" s="154">
        <f>INDEX('Budget by Source'!$A$6:$I$330,MATCH('Payment by Source'!$A239,'Budget by Source'!$A$6:$A$330,0),MATCH(T$3,'Budget by Source'!$A$5:$I$5,0))-(ROUND(INDEX('Budget by Source'!$A$6:$I$330,MATCH('Payment by Source'!$A239,'Budget by Source'!$A$6:$A$330,0),MATCH(T$3,'Budget by Source'!$A$5:$I$5,0))/10,0)*10)</f>
        <v>-2</v>
      </c>
      <c r="U239" s="155">
        <f>INDEX('Budget by Source'!$A$6:$I$330,MATCH('Payment by Source'!$A239,'Budget by Source'!$A$6:$A$330,0),MATCH(U$3,'Budget by Source'!$A$5:$I$5,0))</f>
        <v>30037805</v>
      </c>
      <c r="V239" s="152">
        <f t="shared" si="10"/>
        <v>3003781</v>
      </c>
      <c r="W239" s="152">
        <f t="shared" si="11"/>
        <v>30037810</v>
      </c>
    </row>
    <row r="240" spans="1:23" x14ac:dyDescent="0.2">
      <c r="A240" s="23" t="str">
        <f>Data!B236</f>
        <v>5256</v>
      </c>
      <c r="B240" s="21" t="str">
        <f>INDEX(Data[],MATCH($A240,Data[Dist],0),MATCH(B$5,Data[#Headers],0))</f>
        <v>Pleasantville</v>
      </c>
      <c r="C240" s="22">
        <f>IF(Notes!$B$2="June",ROUND('Budget by Source'!C240/10,0)+P240,ROUND('Budget by Source'!C240/10,0))</f>
        <v>11023</v>
      </c>
      <c r="D240" s="22">
        <f>IF(Notes!$B$2="June",ROUND('Budget by Source'!D240/10,0)+Q240,ROUND('Budget by Source'!D240/10,0))</f>
        <v>46548</v>
      </c>
      <c r="E240" s="22">
        <f>IF(Notes!$B$2="June",ROUND('Budget by Source'!E240/10,0)+R240,ROUND('Budget by Source'!E240/10,0))</f>
        <v>6102</v>
      </c>
      <c r="F240" s="22">
        <f>IF(Notes!$B$2="June",ROUND('Budget by Source'!F240/10,0)+S240,ROUND('Budget by Source'!F240/10,0))</f>
        <v>4939</v>
      </c>
      <c r="G240" s="22">
        <f>IF(Notes!$B$2="June",ROUND('Budget by Source'!G240/10,0)+T240,ROUND('Budget by Source'!G240/10,0))</f>
        <v>26232</v>
      </c>
      <c r="H240" s="22">
        <f t="shared" si="9"/>
        <v>466699</v>
      </c>
      <c r="I240" s="22">
        <f>INDEX(Data[],MATCH($A240,Data[Dist],0),MATCH(I$5,Data[#Headers],0))</f>
        <v>561543</v>
      </c>
      <c r="K240" s="69">
        <f>INDEX('Payment Total'!$A$7:$H$331,MATCH('Payment by Source'!$A240,'Payment Total'!$A$7:$A$331,0),3)-I240</f>
        <v>0</v>
      </c>
      <c r="P240" s="154">
        <f>INDEX('Budget by Source'!$A$6:$I$330,MATCH('Payment by Source'!$A240,'Budget by Source'!$A$6:$A$330,0),MATCH(P$3,'Budget by Source'!$A$5:$I$5,0))-(ROUND(INDEX('Budget by Source'!$A$6:$I$330,MATCH('Payment by Source'!$A240,'Budget by Source'!$A$6:$A$330,0),MATCH(P$3,'Budget by Source'!$A$5:$I$5,0))/10,0)*10)</f>
        <v>-3</v>
      </c>
      <c r="Q240" s="154">
        <f>INDEX('Budget by Source'!$A$6:$I$330,MATCH('Payment by Source'!$A240,'Budget by Source'!$A$6:$A$330,0),MATCH(Q$3,'Budget by Source'!$A$5:$I$5,0))-(ROUND(INDEX('Budget by Source'!$A$6:$I$330,MATCH('Payment by Source'!$A240,'Budget by Source'!$A$6:$A$330,0),MATCH(Q$3,'Budget by Source'!$A$5:$I$5,0))/10,0)*10)</f>
        <v>2</v>
      </c>
      <c r="R240" s="154">
        <f>INDEX('Budget by Source'!$A$6:$I$330,MATCH('Payment by Source'!$A240,'Budget by Source'!$A$6:$A$330,0),MATCH(R$3,'Budget by Source'!$A$5:$I$5,0))-(ROUND(INDEX('Budget by Source'!$A$6:$I$330,MATCH('Payment by Source'!$A240,'Budget by Source'!$A$6:$A$330,0),MATCH(R$3,'Budget by Source'!$A$5:$I$5,0))/10,0)*10)</f>
        <v>-5</v>
      </c>
      <c r="S240" s="154">
        <f>INDEX('Budget by Source'!$A$6:$I$330,MATCH('Payment by Source'!$A240,'Budget by Source'!$A$6:$A$330,0),MATCH(S$3,'Budget by Source'!$A$5:$I$5,0))-(ROUND(INDEX('Budget by Source'!$A$6:$I$330,MATCH('Payment by Source'!$A240,'Budget by Source'!$A$6:$A$330,0),MATCH(S$3,'Budget by Source'!$A$5:$I$5,0))/10,0)*10)</f>
        <v>2</v>
      </c>
      <c r="T240" s="154">
        <f>INDEX('Budget by Source'!$A$6:$I$330,MATCH('Payment by Source'!$A240,'Budget by Source'!$A$6:$A$330,0),MATCH(T$3,'Budget by Source'!$A$5:$I$5,0))-(ROUND(INDEX('Budget by Source'!$A$6:$I$330,MATCH('Payment by Source'!$A240,'Budget by Source'!$A$6:$A$330,0),MATCH(T$3,'Budget by Source'!$A$5:$I$5,0))/10,0)*10)</f>
        <v>0</v>
      </c>
      <c r="U240" s="155">
        <f>INDEX('Budget by Source'!$A$6:$I$330,MATCH('Payment by Source'!$A240,'Budget by Source'!$A$6:$A$330,0),MATCH(U$3,'Budget by Source'!$A$5:$I$5,0))</f>
        <v>4666993</v>
      </c>
      <c r="V240" s="152">
        <f t="shared" si="10"/>
        <v>466699</v>
      </c>
      <c r="W240" s="152">
        <f t="shared" si="11"/>
        <v>4666990</v>
      </c>
    </row>
    <row r="241" spans="1:23" x14ac:dyDescent="0.2">
      <c r="A241" s="23" t="str">
        <f>Data!B237</f>
        <v>5283</v>
      </c>
      <c r="B241" s="21" t="str">
        <f>INDEX(Data[],MATCH($A241,Data[Dist],0),MATCH(B$5,Data[#Headers],0))</f>
        <v>Pocahontas Area</v>
      </c>
      <c r="C241" s="22">
        <f>IF(Notes!$B$2="June",ROUND('Budget by Source'!C241/10,0)+P241,ROUND('Budget by Source'!C241/10,0))</f>
        <v>14444</v>
      </c>
      <c r="D241" s="22">
        <f>IF(Notes!$B$2="June",ROUND('Budget by Source'!D241/10,0)+Q241,ROUND('Budget by Source'!D241/10,0))</f>
        <v>50701</v>
      </c>
      <c r="E241" s="22">
        <f>IF(Notes!$B$2="June",ROUND('Budget by Source'!E241/10,0)+R241,ROUND('Budget by Source'!E241/10,0))</f>
        <v>4817</v>
      </c>
      <c r="F241" s="22">
        <f>IF(Notes!$B$2="June",ROUND('Budget by Source'!F241/10,0)+S241,ROUND('Budget by Source'!F241/10,0))</f>
        <v>6288</v>
      </c>
      <c r="G241" s="22">
        <f>IF(Notes!$B$2="June",ROUND('Budget by Source'!G241/10,0)+T241,ROUND('Budget by Source'!G241/10,0))</f>
        <v>24684</v>
      </c>
      <c r="H241" s="22">
        <f t="shared" si="9"/>
        <v>159274</v>
      </c>
      <c r="I241" s="22">
        <f>INDEX(Data[],MATCH($A241,Data[Dist],0),MATCH(I$5,Data[#Headers],0))</f>
        <v>260208</v>
      </c>
      <c r="K241" s="69">
        <f>INDEX('Payment Total'!$A$7:$H$331,MATCH('Payment by Source'!$A241,'Payment Total'!$A$7:$A$331,0),3)-I241</f>
        <v>0</v>
      </c>
      <c r="P241" s="154">
        <f>INDEX('Budget by Source'!$A$6:$I$330,MATCH('Payment by Source'!$A241,'Budget by Source'!$A$6:$A$330,0),MATCH(P$3,'Budget by Source'!$A$5:$I$5,0))-(ROUND(INDEX('Budget by Source'!$A$6:$I$330,MATCH('Payment by Source'!$A241,'Budget by Source'!$A$6:$A$330,0),MATCH(P$3,'Budget by Source'!$A$5:$I$5,0))/10,0)*10)</f>
        <v>-5</v>
      </c>
      <c r="Q241" s="154">
        <f>INDEX('Budget by Source'!$A$6:$I$330,MATCH('Payment by Source'!$A241,'Budget by Source'!$A$6:$A$330,0),MATCH(Q$3,'Budget by Source'!$A$5:$I$5,0))-(ROUND(INDEX('Budget by Source'!$A$6:$I$330,MATCH('Payment by Source'!$A241,'Budget by Source'!$A$6:$A$330,0),MATCH(Q$3,'Budget by Source'!$A$5:$I$5,0))/10,0)*10)</f>
        <v>2</v>
      </c>
      <c r="R241" s="154">
        <f>INDEX('Budget by Source'!$A$6:$I$330,MATCH('Payment by Source'!$A241,'Budget by Source'!$A$6:$A$330,0),MATCH(R$3,'Budget by Source'!$A$5:$I$5,0))-(ROUND(INDEX('Budget by Source'!$A$6:$I$330,MATCH('Payment by Source'!$A241,'Budget by Source'!$A$6:$A$330,0),MATCH(R$3,'Budget by Source'!$A$5:$I$5,0))/10,0)*10)</f>
        <v>-5</v>
      </c>
      <c r="S241" s="154">
        <f>INDEX('Budget by Source'!$A$6:$I$330,MATCH('Payment by Source'!$A241,'Budget by Source'!$A$6:$A$330,0),MATCH(S$3,'Budget by Source'!$A$5:$I$5,0))-(ROUND(INDEX('Budget by Source'!$A$6:$I$330,MATCH('Payment by Source'!$A241,'Budget by Source'!$A$6:$A$330,0),MATCH(S$3,'Budget by Source'!$A$5:$I$5,0))/10,0)*10)</f>
        <v>1</v>
      </c>
      <c r="T241" s="154">
        <f>INDEX('Budget by Source'!$A$6:$I$330,MATCH('Payment by Source'!$A241,'Budget by Source'!$A$6:$A$330,0),MATCH(T$3,'Budget by Source'!$A$5:$I$5,0))-(ROUND(INDEX('Budget by Source'!$A$6:$I$330,MATCH('Payment by Source'!$A241,'Budget by Source'!$A$6:$A$330,0),MATCH(T$3,'Budget by Source'!$A$5:$I$5,0))/10,0)*10)</f>
        <v>1</v>
      </c>
      <c r="U241" s="155">
        <f>INDEX('Budget by Source'!$A$6:$I$330,MATCH('Payment by Source'!$A241,'Budget by Source'!$A$6:$A$330,0),MATCH(U$3,'Budget by Source'!$A$5:$I$5,0))</f>
        <v>1592750</v>
      </c>
      <c r="V241" s="152">
        <f t="shared" si="10"/>
        <v>159275</v>
      </c>
      <c r="W241" s="152">
        <f t="shared" si="11"/>
        <v>1592750</v>
      </c>
    </row>
    <row r="242" spans="1:23" x14ac:dyDescent="0.2">
      <c r="A242" s="23" t="str">
        <f>Data!B238</f>
        <v>5310</v>
      </c>
      <c r="B242" s="21" t="str">
        <f>INDEX(Data[],MATCH($A242,Data[Dist],0),MATCH(B$5,Data[#Headers],0))</f>
        <v>Postville</v>
      </c>
      <c r="C242" s="22">
        <f>IF(Notes!$B$2="June",ROUND('Budget by Source'!C242/10,0)+P242,ROUND('Budget by Source'!C242/10,0))</f>
        <v>10263</v>
      </c>
      <c r="D242" s="22">
        <f>IF(Notes!$B$2="June",ROUND('Budget by Source'!D242/10,0)+Q242,ROUND('Budget by Source'!D242/10,0))</f>
        <v>46691</v>
      </c>
      <c r="E242" s="22">
        <f>IF(Notes!$B$2="June",ROUND('Budget by Source'!E242/10,0)+R242,ROUND('Budget by Source'!E242/10,0))</f>
        <v>7002</v>
      </c>
      <c r="F242" s="22">
        <f>IF(Notes!$B$2="June",ROUND('Budget by Source'!F242/10,0)+S242,ROUND('Budget by Source'!F242/10,0))</f>
        <v>4675</v>
      </c>
      <c r="G242" s="22">
        <f>IF(Notes!$B$2="June",ROUND('Budget by Source'!G242/10,0)+T242,ROUND('Budget by Source'!G242/10,0))</f>
        <v>25543</v>
      </c>
      <c r="H242" s="22">
        <f t="shared" si="9"/>
        <v>483733</v>
      </c>
      <c r="I242" s="22">
        <f>INDEX(Data[],MATCH($A242,Data[Dist],0),MATCH(I$5,Data[#Headers],0))</f>
        <v>577907</v>
      </c>
      <c r="K242" s="69">
        <f>INDEX('Payment Total'!$A$7:$H$331,MATCH('Payment by Source'!$A242,'Payment Total'!$A$7:$A$331,0),3)-I242</f>
        <v>0</v>
      </c>
      <c r="P242" s="154">
        <f>INDEX('Budget by Source'!$A$6:$I$330,MATCH('Payment by Source'!$A242,'Budget by Source'!$A$6:$A$330,0),MATCH(P$3,'Budget by Source'!$A$5:$I$5,0))-(ROUND(INDEX('Budget by Source'!$A$6:$I$330,MATCH('Payment by Source'!$A242,'Budget by Source'!$A$6:$A$330,0),MATCH(P$3,'Budget by Source'!$A$5:$I$5,0))/10,0)*10)</f>
        <v>-5</v>
      </c>
      <c r="Q242" s="154">
        <f>INDEX('Budget by Source'!$A$6:$I$330,MATCH('Payment by Source'!$A242,'Budget by Source'!$A$6:$A$330,0),MATCH(Q$3,'Budget by Source'!$A$5:$I$5,0))-(ROUND(INDEX('Budget by Source'!$A$6:$I$330,MATCH('Payment by Source'!$A242,'Budget by Source'!$A$6:$A$330,0),MATCH(Q$3,'Budget by Source'!$A$5:$I$5,0))/10,0)*10)</f>
        <v>4</v>
      </c>
      <c r="R242" s="154">
        <f>INDEX('Budget by Source'!$A$6:$I$330,MATCH('Payment by Source'!$A242,'Budget by Source'!$A$6:$A$330,0),MATCH(R$3,'Budget by Source'!$A$5:$I$5,0))-(ROUND(INDEX('Budget by Source'!$A$6:$I$330,MATCH('Payment by Source'!$A242,'Budget by Source'!$A$6:$A$330,0),MATCH(R$3,'Budget by Source'!$A$5:$I$5,0))/10,0)*10)</f>
        <v>4</v>
      </c>
      <c r="S242" s="154">
        <f>INDEX('Budget by Source'!$A$6:$I$330,MATCH('Payment by Source'!$A242,'Budget by Source'!$A$6:$A$330,0),MATCH(S$3,'Budget by Source'!$A$5:$I$5,0))-(ROUND(INDEX('Budget by Source'!$A$6:$I$330,MATCH('Payment by Source'!$A242,'Budget by Source'!$A$6:$A$330,0),MATCH(S$3,'Budget by Source'!$A$5:$I$5,0))/10,0)*10)</f>
        <v>0</v>
      </c>
      <c r="T242" s="154">
        <f>INDEX('Budget by Source'!$A$6:$I$330,MATCH('Payment by Source'!$A242,'Budget by Source'!$A$6:$A$330,0),MATCH(T$3,'Budget by Source'!$A$5:$I$5,0))-(ROUND(INDEX('Budget by Source'!$A$6:$I$330,MATCH('Payment by Source'!$A242,'Budget by Source'!$A$6:$A$330,0),MATCH(T$3,'Budget by Source'!$A$5:$I$5,0))/10,0)*10)</f>
        <v>-2</v>
      </c>
      <c r="U242" s="155">
        <f>INDEX('Budget by Source'!$A$6:$I$330,MATCH('Payment by Source'!$A242,'Budget by Source'!$A$6:$A$330,0),MATCH(U$3,'Budget by Source'!$A$5:$I$5,0))</f>
        <v>4837328</v>
      </c>
      <c r="V242" s="152">
        <f t="shared" si="10"/>
        <v>483733</v>
      </c>
      <c r="W242" s="152">
        <f t="shared" si="11"/>
        <v>4837330</v>
      </c>
    </row>
    <row r="243" spans="1:23" x14ac:dyDescent="0.2">
      <c r="A243" s="23" t="str">
        <f>Data!B239</f>
        <v>5319</v>
      </c>
      <c r="B243" s="21" t="str">
        <f>INDEX(Data[],MATCH($A243,Data[Dist],0),MATCH(B$5,Data[#Headers],0))</f>
        <v>PCM</v>
      </c>
      <c r="C243" s="22">
        <f>IF(Notes!$B$2="June",ROUND('Budget by Source'!C243/10,0)+P243,ROUND('Budget by Source'!C243/10,0))</f>
        <v>21285</v>
      </c>
      <c r="D243" s="22">
        <f>IF(Notes!$B$2="June",ROUND('Budget by Source'!D243/10,0)+Q243,ROUND('Budget by Source'!D243/10,0))</f>
        <v>66084</v>
      </c>
      <c r="E243" s="22">
        <f>IF(Notes!$B$2="June",ROUND('Budget by Source'!E243/10,0)+R243,ROUND('Budget by Source'!E243/10,0))</f>
        <v>7386</v>
      </c>
      <c r="F243" s="22">
        <f>IF(Notes!$B$2="June",ROUND('Budget by Source'!F243/10,0)+S243,ROUND('Budget by Source'!F243/10,0))</f>
        <v>7154</v>
      </c>
      <c r="G243" s="22">
        <f>IF(Notes!$B$2="June",ROUND('Budget by Source'!G243/10,0)+T243,ROUND('Budget by Source'!G243/10,0))</f>
        <v>38036</v>
      </c>
      <c r="H243" s="22">
        <f t="shared" si="9"/>
        <v>587832</v>
      </c>
      <c r="I243" s="22">
        <f>INDEX(Data[],MATCH($A243,Data[Dist],0),MATCH(I$5,Data[#Headers],0))</f>
        <v>727777</v>
      </c>
      <c r="K243" s="69">
        <f>INDEX('Payment Total'!$A$7:$H$331,MATCH('Payment by Source'!$A243,'Payment Total'!$A$7:$A$331,0),3)-I243</f>
        <v>0</v>
      </c>
      <c r="P243" s="154">
        <f>INDEX('Budget by Source'!$A$6:$I$330,MATCH('Payment by Source'!$A243,'Budget by Source'!$A$6:$A$330,0),MATCH(P$3,'Budget by Source'!$A$5:$I$5,0))-(ROUND(INDEX('Budget by Source'!$A$6:$I$330,MATCH('Payment by Source'!$A243,'Budget by Source'!$A$6:$A$330,0),MATCH(P$3,'Budget by Source'!$A$5:$I$5,0))/10,0)*10)</f>
        <v>1</v>
      </c>
      <c r="Q243" s="154">
        <f>INDEX('Budget by Source'!$A$6:$I$330,MATCH('Payment by Source'!$A243,'Budget by Source'!$A$6:$A$330,0),MATCH(Q$3,'Budget by Source'!$A$5:$I$5,0))-(ROUND(INDEX('Budget by Source'!$A$6:$I$330,MATCH('Payment by Source'!$A243,'Budget by Source'!$A$6:$A$330,0),MATCH(Q$3,'Budget by Source'!$A$5:$I$5,0))/10,0)*10)</f>
        <v>3</v>
      </c>
      <c r="R243" s="154">
        <f>INDEX('Budget by Source'!$A$6:$I$330,MATCH('Payment by Source'!$A243,'Budget by Source'!$A$6:$A$330,0),MATCH(R$3,'Budget by Source'!$A$5:$I$5,0))-(ROUND(INDEX('Budget by Source'!$A$6:$I$330,MATCH('Payment by Source'!$A243,'Budget by Source'!$A$6:$A$330,0),MATCH(R$3,'Budget by Source'!$A$5:$I$5,0))/10,0)*10)</f>
        <v>-3</v>
      </c>
      <c r="S243" s="154">
        <f>INDEX('Budget by Source'!$A$6:$I$330,MATCH('Payment by Source'!$A243,'Budget by Source'!$A$6:$A$330,0),MATCH(S$3,'Budget by Source'!$A$5:$I$5,0))-(ROUND(INDEX('Budget by Source'!$A$6:$I$330,MATCH('Payment by Source'!$A243,'Budget by Source'!$A$6:$A$330,0),MATCH(S$3,'Budget by Source'!$A$5:$I$5,0))/10,0)*10)</f>
        <v>-5</v>
      </c>
      <c r="T243" s="154">
        <f>INDEX('Budget by Source'!$A$6:$I$330,MATCH('Payment by Source'!$A243,'Budget by Source'!$A$6:$A$330,0),MATCH(T$3,'Budget by Source'!$A$5:$I$5,0))-(ROUND(INDEX('Budget by Source'!$A$6:$I$330,MATCH('Payment by Source'!$A243,'Budget by Source'!$A$6:$A$330,0),MATCH(T$3,'Budget by Source'!$A$5:$I$5,0))/10,0)*10)</f>
        <v>0</v>
      </c>
      <c r="U243" s="155">
        <f>INDEX('Budget by Source'!$A$6:$I$330,MATCH('Payment by Source'!$A243,'Budget by Source'!$A$6:$A$330,0),MATCH(U$3,'Budget by Source'!$A$5:$I$5,0))</f>
        <v>5878324</v>
      </c>
      <c r="V243" s="152">
        <f t="shared" si="10"/>
        <v>587832</v>
      </c>
      <c r="W243" s="152">
        <f t="shared" si="11"/>
        <v>5878320</v>
      </c>
    </row>
    <row r="244" spans="1:23" x14ac:dyDescent="0.2">
      <c r="A244" s="23" t="str">
        <f>Data!B240</f>
        <v>5463</v>
      </c>
      <c r="B244" s="21" t="str">
        <f>INDEX(Data[],MATCH($A244,Data[Dist],0),MATCH(B$5,Data[#Headers],0))</f>
        <v>Red Oak</v>
      </c>
      <c r="C244" s="22">
        <f>IF(Notes!$B$2="June",ROUND('Budget by Source'!C244/10,0)+P244,ROUND('Budget by Source'!C244/10,0))</f>
        <v>26226</v>
      </c>
      <c r="D244" s="22">
        <f>IF(Notes!$B$2="June",ROUND('Budget by Source'!D244/10,0)+Q244,ROUND('Budget by Source'!D244/10,0))</f>
        <v>69678</v>
      </c>
      <c r="E244" s="22">
        <f>IF(Notes!$B$2="June",ROUND('Budget by Source'!E244/10,0)+R244,ROUND('Budget by Source'!E244/10,0))</f>
        <v>9275</v>
      </c>
      <c r="F244" s="22">
        <f>IF(Notes!$B$2="June",ROUND('Budget by Source'!F244/10,0)+S244,ROUND('Budget by Source'!F244/10,0))</f>
        <v>7727</v>
      </c>
      <c r="G244" s="22">
        <f>IF(Notes!$B$2="June",ROUND('Budget by Source'!G244/10,0)+T244,ROUND('Budget by Source'!G244/10,0))</f>
        <v>38396</v>
      </c>
      <c r="H244" s="22">
        <f t="shared" si="9"/>
        <v>604195</v>
      </c>
      <c r="I244" s="22">
        <f>INDEX(Data[],MATCH($A244,Data[Dist],0),MATCH(I$5,Data[#Headers],0))</f>
        <v>755497</v>
      </c>
      <c r="K244" s="69">
        <f>INDEX('Payment Total'!$A$7:$H$331,MATCH('Payment by Source'!$A244,'Payment Total'!$A$7:$A$331,0),3)-I244</f>
        <v>0</v>
      </c>
      <c r="P244" s="154">
        <f>INDEX('Budget by Source'!$A$6:$I$330,MATCH('Payment by Source'!$A244,'Budget by Source'!$A$6:$A$330,0),MATCH(P$3,'Budget by Source'!$A$5:$I$5,0))-(ROUND(INDEX('Budget by Source'!$A$6:$I$330,MATCH('Payment by Source'!$A244,'Budget by Source'!$A$6:$A$330,0),MATCH(P$3,'Budget by Source'!$A$5:$I$5,0))/10,0)*10)</f>
        <v>4</v>
      </c>
      <c r="Q244" s="154">
        <f>INDEX('Budget by Source'!$A$6:$I$330,MATCH('Payment by Source'!$A244,'Budget by Source'!$A$6:$A$330,0),MATCH(Q$3,'Budget by Source'!$A$5:$I$5,0))-(ROUND(INDEX('Budget by Source'!$A$6:$I$330,MATCH('Payment by Source'!$A244,'Budget by Source'!$A$6:$A$330,0),MATCH(Q$3,'Budget by Source'!$A$5:$I$5,0))/10,0)*10)</f>
        <v>-5</v>
      </c>
      <c r="R244" s="154">
        <f>INDEX('Budget by Source'!$A$6:$I$330,MATCH('Payment by Source'!$A244,'Budget by Source'!$A$6:$A$330,0),MATCH(R$3,'Budget by Source'!$A$5:$I$5,0))-(ROUND(INDEX('Budget by Source'!$A$6:$I$330,MATCH('Payment by Source'!$A244,'Budget by Source'!$A$6:$A$330,0),MATCH(R$3,'Budget by Source'!$A$5:$I$5,0))/10,0)*10)</f>
        <v>-2</v>
      </c>
      <c r="S244" s="154">
        <f>INDEX('Budget by Source'!$A$6:$I$330,MATCH('Payment by Source'!$A244,'Budget by Source'!$A$6:$A$330,0),MATCH(S$3,'Budget by Source'!$A$5:$I$5,0))-(ROUND(INDEX('Budget by Source'!$A$6:$I$330,MATCH('Payment by Source'!$A244,'Budget by Source'!$A$6:$A$330,0),MATCH(S$3,'Budget by Source'!$A$5:$I$5,0))/10,0)*10)</f>
        <v>4</v>
      </c>
      <c r="T244" s="154">
        <f>INDEX('Budget by Source'!$A$6:$I$330,MATCH('Payment by Source'!$A244,'Budget by Source'!$A$6:$A$330,0),MATCH(T$3,'Budget by Source'!$A$5:$I$5,0))-(ROUND(INDEX('Budget by Source'!$A$6:$I$330,MATCH('Payment by Source'!$A244,'Budget by Source'!$A$6:$A$330,0),MATCH(T$3,'Budget by Source'!$A$5:$I$5,0))/10,0)*10)</f>
        <v>-5</v>
      </c>
      <c r="U244" s="155">
        <f>INDEX('Budget by Source'!$A$6:$I$330,MATCH('Payment by Source'!$A244,'Budget by Source'!$A$6:$A$330,0),MATCH(U$3,'Budget by Source'!$A$5:$I$5,0))</f>
        <v>6041956</v>
      </c>
      <c r="V244" s="152">
        <f t="shared" si="10"/>
        <v>604196</v>
      </c>
      <c r="W244" s="152">
        <f t="shared" si="11"/>
        <v>6041960</v>
      </c>
    </row>
    <row r="245" spans="1:23" x14ac:dyDescent="0.2">
      <c r="A245" s="23" t="str">
        <f>Data!B241</f>
        <v>5486</v>
      </c>
      <c r="B245" s="21" t="str">
        <f>INDEX(Data[],MATCH($A245,Data[Dist],0),MATCH(B$5,Data[#Headers],0))</f>
        <v>Remsen-Union</v>
      </c>
      <c r="C245" s="22">
        <f>IF(Notes!$B$2="June",ROUND('Budget by Source'!C245/10,0)+P245,ROUND('Budget by Source'!C245/10,0))</f>
        <v>5321</v>
      </c>
      <c r="D245" s="22">
        <f>IF(Notes!$B$2="June",ROUND('Budget by Source'!D245/10,0)+Q245,ROUND('Budget by Source'!D245/10,0))</f>
        <v>23032</v>
      </c>
      <c r="E245" s="22">
        <f>IF(Notes!$B$2="June",ROUND('Budget by Source'!E245/10,0)+R245,ROUND('Budget by Source'!E245/10,0))</f>
        <v>2251</v>
      </c>
      <c r="F245" s="22">
        <f>IF(Notes!$B$2="June",ROUND('Budget by Source'!F245/10,0)+S245,ROUND('Budget by Source'!F245/10,0))</f>
        <v>2367</v>
      </c>
      <c r="G245" s="22">
        <f>IF(Notes!$B$2="June",ROUND('Budget by Source'!G245/10,0)+T245,ROUND('Budget by Source'!G245/10,0))</f>
        <v>12309</v>
      </c>
      <c r="H245" s="22">
        <f t="shared" si="9"/>
        <v>103728</v>
      </c>
      <c r="I245" s="22">
        <f>INDEX(Data[],MATCH($A245,Data[Dist],0),MATCH(I$5,Data[#Headers],0))</f>
        <v>149008</v>
      </c>
      <c r="K245" s="69">
        <f>INDEX('Payment Total'!$A$7:$H$331,MATCH('Payment by Source'!$A245,'Payment Total'!$A$7:$A$331,0),3)-I245</f>
        <v>0</v>
      </c>
      <c r="P245" s="154">
        <f>INDEX('Budget by Source'!$A$6:$I$330,MATCH('Payment by Source'!$A245,'Budget by Source'!$A$6:$A$330,0),MATCH(P$3,'Budget by Source'!$A$5:$I$5,0))-(ROUND(INDEX('Budget by Source'!$A$6:$I$330,MATCH('Payment by Source'!$A245,'Budget by Source'!$A$6:$A$330,0),MATCH(P$3,'Budget by Source'!$A$5:$I$5,0))/10,0)*10)</f>
        <v>3</v>
      </c>
      <c r="Q245" s="154">
        <f>INDEX('Budget by Source'!$A$6:$I$330,MATCH('Payment by Source'!$A245,'Budget by Source'!$A$6:$A$330,0),MATCH(Q$3,'Budget by Source'!$A$5:$I$5,0))-(ROUND(INDEX('Budget by Source'!$A$6:$I$330,MATCH('Payment by Source'!$A245,'Budget by Source'!$A$6:$A$330,0),MATCH(Q$3,'Budget by Source'!$A$5:$I$5,0))/10,0)*10)</f>
        <v>0</v>
      </c>
      <c r="R245" s="154">
        <f>INDEX('Budget by Source'!$A$6:$I$330,MATCH('Payment by Source'!$A245,'Budget by Source'!$A$6:$A$330,0),MATCH(R$3,'Budget by Source'!$A$5:$I$5,0))-(ROUND(INDEX('Budget by Source'!$A$6:$I$330,MATCH('Payment by Source'!$A245,'Budget by Source'!$A$6:$A$330,0),MATCH(R$3,'Budget by Source'!$A$5:$I$5,0))/10,0)*10)</f>
        <v>2</v>
      </c>
      <c r="S245" s="154">
        <f>INDEX('Budget by Source'!$A$6:$I$330,MATCH('Payment by Source'!$A245,'Budget by Source'!$A$6:$A$330,0),MATCH(S$3,'Budget by Source'!$A$5:$I$5,0))-(ROUND(INDEX('Budget by Source'!$A$6:$I$330,MATCH('Payment by Source'!$A245,'Budget by Source'!$A$6:$A$330,0),MATCH(S$3,'Budget by Source'!$A$5:$I$5,0))/10,0)*10)</f>
        <v>-3</v>
      </c>
      <c r="T245" s="154">
        <f>INDEX('Budget by Source'!$A$6:$I$330,MATCH('Payment by Source'!$A245,'Budget by Source'!$A$6:$A$330,0),MATCH(T$3,'Budget by Source'!$A$5:$I$5,0))-(ROUND(INDEX('Budget by Source'!$A$6:$I$330,MATCH('Payment by Source'!$A245,'Budget by Source'!$A$6:$A$330,0),MATCH(T$3,'Budget by Source'!$A$5:$I$5,0))/10,0)*10)</f>
        <v>-1</v>
      </c>
      <c r="U245" s="155">
        <f>INDEX('Budget by Source'!$A$6:$I$330,MATCH('Payment by Source'!$A245,'Budget by Source'!$A$6:$A$330,0),MATCH(U$3,'Budget by Source'!$A$5:$I$5,0))</f>
        <v>1037280</v>
      </c>
      <c r="V245" s="152">
        <f t="shared" si="10"/>
        <v>103728</v>
      </c>
      <c r="W245" s="152">
        <f t="shared" si="11"/>
        <v>1037280</v>
      </c>
    </row>
    <row r="246" spans="1:23" x14ac:dyDescent="0.2">
      <c r="A246" s="23" t="str">
        <f>Data!B242</f>
        <v>5508</v>
      </c>
      <c r="B246" s="21" t="str">
        <f>INDEX(Data[],MATCH($A246,Data[Dist],0),MATCH(B$5,Data[#Headers],0))</f>
        <v>Riceville</v>
      </c>
      <c r="C246" s="22">
        <f>IF(Notes!$B$2="June",ROUND('Budget by Source'!C246/10,0)+P246,ROUND('Budget by Source'!C246/10,0))</f>
        <v>11403</v>
      </c>
      <c r="D246" s="22">
        <f>IF(Notes!$B$2="June",ROUND('Budget by Source'!D246/10,0)+Q246,ROUND('Budget by Source'!D246/10,0))</f>
        <v>27150</v>
      </c>
      <c r="E246" s="22">
        <f>IF(Notes!$B$2="June",ROUND('Budget by Source'!E246/10,0)+R246,ROUND('Budget by Source'!E246/10,0))</f>
        <v>2455</v>
      </c>
      <c r="F246" s="22">
        <f>IF(Notes!$B$2="June",ROUND('Budget by Source'!F246/10,0)+S246,ROUND('Budget by Source'!F246/10,0))</f>
        <v>3293</v>
      </c>
      <c r="G246" s="22">
        <f>IF(Notes!$B$2="June",ROUND('Budget by Source'!G246/10,0)+T246,ROUND('Budget by Source'!G246/10,0))</f>
        <v>12217</v>
      </c>
      <c r="H246" s="22">
        <f t="shared" si="9"/>
        <v>97673</v>
      </c>
      <c r="I246" s="22">
        <f>INDEX(Data[],MATCH($A246,Data[Dist],0),MATCH(I$5,Data[#Headers],0))</f>
        <v>154191</v>
      </c>
      <c r="K246" s="69">
        <f>INDEX('Payment Total'!$A$7:$H$331,MATCH('Payment by Source'!$A246,'Payment Total'!$A$7:$A$331,0),3)-I246</f>
        <v>0</v>
      </c>
      <c r="P246" s="154">
        <f>INDEX('Budget by Source'!$A$6:$I$330,MATCH('Payment by Source'!$A246,'Budget by Source'!$A$6:$A$330,0),MATCH(P$3,'Budget by Source'!$A$5:$I$5,0))-(ROUND(INDEX('Budget by Source'!$A$6:$I$330,MATCH('Payment by Source'!$A246,'Budget by Source'!$A$6:$A$330,0),MATCH(P$3,'Budget by Source'!$A$5:$I$5,0))/10,0)*10)</f>
        <v>-3</v>
      </c>
      <c r="Q246" s="154">
        <f>INDEX('Budget by Source'!$A$6:$I$330,MATCH('Payment by Source'!$A246,'Budget by Source'!$A$6:$A$330,0),MATCH(Q$3,'Budget by Source'!$A$5:$I$5,0))-(ROUND(INDEX('Budget by Source'!$A$6:$I$330,MATCH('Payment by Source'!$A246,'Budget by Source'!$A$6:$A$330,0),MATCH(Q$3,'Budget by Source'!$A$5:$I$5,0))/10,0)*10)</f>
        <v>2</v>
      </c>
      <c r="R246" s="154">
        <f>INDEX('Budget by Source'!$A$6:$I$330,MATCH('Payment by Source'!$A246,'Budget by Source'!$A$6:$A$330,0),MATCH(R$3,'Budget by Source'!$A$5:$I$5,0))-(ROUND(INDEX('Budget by Source'!$A$6:$I$330,MATCH('Payment by Source'!$A246,'Budget by Source'!$A$6:$A$330,0),MATCH(R$3,'Budget by Source'!$A$5:$I$5,0))/10,0)*10)</f>
        <v>1</v>
      </c>
      <c r="S246" s="154">
        <f>INDEX('Budget by Source'!$A$6:$I$330,MATCH('Payment by Source'!$A246,'Budget by Source'!$A$6:$A$330,0),MATCH(S$3,'Budget by Source'!$A$5:$I$5,0))-(ROUND(INDEX('Budget by Source'!$A$6:$I$330,MATCH('Payment by Source'!$A246,'Budget by Source'!$A$6:$A$330,0),MATCH(S$3,'Budget by Source'!$A$5:$I$5,0))/10,0)*10)</f>
        <v>-2</v>
      </c>
      <c r="T246" s="154">
        <f>INDEX('Budget by Source'!$A$6:$I$330,MATCH('Payment by Source'!$A246,'Budget by Source'!$A$6:$A$330,0),MATCH(T$3,'Budget by Source'!$A$5:$I$5,0))-(ROUND(INDEX('Budget by Source'!$A$6:$I$330,MATCH('Payment by Source'!$A246,'Budget by Source'!$A$6:$A$330,0),MATCH(T$3,'Budget by Source'!$A$5:$I$5,0))/10,0)*10)</f>
        <v>-2</v>
      </c>
      <c r="U246" s="155">
        <f>INDEX('Budget by Source'!$A$6:$I$330,MATCH('Payment by Source'!$A246,'Budget by Source'!$A$6:$A$330,0),MATCH(U$3,'Budget by Source'!$A$5:$I$5,0))</f>
        <v>976738</v>
      </c>
      <c r="V246" s="152">
        <f t="shared" si="10"/>
        <v>97674</v>
      </c>
      <c r="W246" s="152">
        <f t="shared" si="11"/>
        <v>976740</v>
      </c>
    </row>
    <row r="247" spans="1:23" x14ac:dyDescent="0.2">
      <c r="A247" s="23" t="str">
        <f>Data!B243</f>
        <v>5607</v>
      </c>
      <c r="B247" s="21" t="str">
        <f>INDEX(Data[],MATCH($A247,Data[Dist],0),MATCH(B$5,Data[#Headers],0))</f>
        <v>Rock Valley</v>
      </c>
      <c r="C247" s="22">
        <f>IF(Notes!$B$2="June",ROUND('Budget by Source'!C247/10,0)+P247,ROUND('Budget by Source'!C247/10,0))</f>
        <v>26606</v>
      </c>
      <c r="D247" s="22">
        <f>IF(Notes!$B$2="June",ROUND('Budget by Source'!D247/10,0)+Q247,ROUND('Budget by Source'!D247/10,0))</f>
        <v>56879</v>
      </c>
      <c r="E247" s="22">
        <f>IF(Notes!$B$2="June",ROUND('Budget by Source'!E247/10,0)+R247,ROUND('Budget by Source'!E247/10,0))</f>
        <v>7826</v>
      </c>
      <c r="F247" s="22">
        <f>IF(Notes!$B$2="June",ROUND('Budget by Source'!F247/10,0)+S247,ROUND('Budget by Source'!F247/10,0))</f>
        <v>6070</v>
      </c>
      <c r="G247" s="22">
        <f>IF(Notes!$B$2="June",ROUND('Budget by Source'!G247/10,0)+T247,ROUND('Budget by Source'!G247/10,0))</f>
        <v>31369</v>
      </c>
      <c r="H247" s="22">
        <f t="shared" si="9"/>
        <v>469342</v>
      </c>
      <c r="I247" s="22">
        <f>INDEX(Data[],MATCH($A247,Data[Dist],0),MATCH(I$5,Data[#Headers],0))</f>
        <v>598092</v>
      </c>
      <c r="K247" s="69">
        <f>INDEX('Payment Total'!$A$7:$H$331,MATCH('Payment by Source'!$A247,'Payment Total'!$A$7:$A$331,0),3)-I247</f>
        <v>0</v>
      </c>
      <c r="P247" s="154">
        <f>INDEX('Budget by Source'!$A$6:$I$330,MATCH('Payment by Source'!$A247,'Budget by Source'!$A$6:$A$330,0),MATCH(P$3,'Budget by Source'!$A$5:$I$5,0))-(ROUND(INDEX('Budget by Source'!$A$6:$I$330,MATCH('Payment by Source'!$A247,'Budget by Source'!$A$6:$A$330,0),MATCH(P$3,'Budget by Source'!$A$5:$I$5,0))/10,0)*10)</f>
        <v>4</v>
      </c>
      <c r="Q247" s="154">
        <f>INDEX('Budget by Source'!$A$6:$I$330,MATCH('Payment by Source'!$A247,'Budget by Source'!$A$6:$A$330,0),MATCH(Q$3,'Budget by Source'!$A$5:$I$5,0))-(ROUND(INDEX('Budget by Source'!$A$6:$I$330,MATCH('Payment by Source'!$A247,'Budget by Source'!$A$6:$A$330,0),MATCH(Q$3,'Budget by Source'!$A$5:$I$5,0))/10,0)*10)</f>
        <v>-1</v>
      </c>
      <c r="R247" s="154">
        <f>INDEX('Budget by Source'!$A$6:$I$330,MATCH('Payment by Source'!$A247,'Budget by Source'!$A$6:$A$330,0),MATCH(R$3,'Budget by Source'!$A$5:$I$5,0))-(ROUND(INDEX('Budget by Source'!$A$6:$I$330,MATCH('Payment by Source'!$A247,'Budget by Source'!$A$6:$A$330,0),MATCH(R$3,'Budget by Source'!$A$5:$I$5,0))/10,0)*10)</f>
        <v>-1</v>
      </c>
      <c r="S247" s="154">
        <f>INDEX('Budget by Source'!$A$6:$I$330,MATCH('Payment by Source'!$A247,'Budget by Source'!$A$6:$A$330,0),MATCH(S$3,'Budget by Source'!$A$5:$I$5,0))-(ROUND(INDEX('Budget by Source'!$A$6:$I$330,MATCH('Payment by Source'!$A247,'Budget by Source'!$A$6:$A$330,0),MATCH(S$3,'Budget by Source'!$A$5:$I$5,0))/10,0)*10)</f>
        <v>-1</v>
      </c>
      <c r="T247" s="154">
        <f>INDEX('Budget by Source'!$A$6:$I$330,MATCH('Payment by Source'!$A247,'Budget by Source'!$A$6:$A$330,0),MATCH(T$3,'Budget by Source'!$A$5:$I$5,0))-(ROUND(INDEX('Budget by Source'!$A$6:$I$330,MATCH('Payment by Source'!$A247,'Budget by Source'!$A$6:$A$330,0),MATCH(T$3,'Budget by Source'!$A$5:$I$5,0))/10,0)*10)</f>
        <v>3</v>
      </c>
      <c r="U247" s="155">
        <f>INDEX('Budget by Source'!$A$6:$I$330,MATCH('Payment by Source'!$A247,'Budget by Source'!$A$6:$A$330,0),MATCH(U$3,'Budget by Source'!$A$5:$I$5,0))</f>
        <v>4693419</v>
      </c>
      <c r="V247" s="152">
        <f t="shared" si="10"/>
        <v>469342</v>
      </c>
      <c r="W247" s="152">
        <f t="shared" si="11"/>
        <v>4693420</v>
      </c>
    </row>
    <row r="248" spans="1:23" x14ac:dyDescent="0.2">
      <c r="A248" s="23" t="str">
        <f>Data!B244</f>
        <v>5643</v>
      </c>
      <c r="B248" s="21" t="str">
        <f>INDEX(Data[],MATCH($A248,Data[Dist],0),MATCH(B$5,Data[#Headers],0))</f>
        <v>Roland-Story</v>
      </c>
      <c r="C248" s="22">
        <f>IF(Notes!$B$2="June",ROUND('Budget by Source'!C248/10,0)+P248,ROUND('Budget by Source'!C248/10,0))</f>
        <v>19765</v>
      </c>
      <c r="D248" s="22">
        <f>IF(Notes!$B$2="June",ROUND('Budget by Source'!D248/10,0)+Q248,ROUND('Budget by Source'!D248/10,0))</f>
        <v>64389</v>
      </c>
      <c r="E248" s="22">
        <f>IF(Notes!$B$2="June",ROUND('Budget by Source'!E248/10,0)+R248,ROUND('Budget by Source'!E248/10,0))</f>
        <v>7426</v>
      </c>
      <c r="F248" s="22">
        <f>IF(Notes!$B$2="June",ROUND('Budget by Source'!F248/10,0)+S248,ROUND('Budget by Source'!F248/10,0))</f>
        <v>7925</v>
      </c>
      <c r="G248" s="22">
        <f>IF(Notes!$B$2="June",ROUND('Budget by Source'!G248/10,0)+T248,ROUND('Budget by Source'!G248/10,0))</f>
        <v>37008</v>
      </c>
      <c r="H248" s="22">
        <f t="shared" si="9"/>
        <v>545027</v>
      </c>
      <c r="I248" s="22">
        <f>INDEX(Data[],MATCH($A248,Data[Dist],0),MATCH(I$5,Data[#Headers],0))</f>
        <v>681540</v>
      </c>
      <c r="K248" s="69">
        <f>INDEX('Payment Total'!$A$7:$H$331,MATCH('Payment by Source'!$A248,'Payment Total'!$A$7:$A$331,0),3)-I248</f>
        <v>0</v>
      </c>
      <c r="P248" s="154">
        <f>INDEX('Budget by Source'!$A$6:$I$330,MATCH('Payment by Source'!$A248,'Budget by Source'!$A$6:$A$330,0),MATCH(P$3,'Budget by Source'!$A$5:$I$5,0))-(ROUND(INDEX('Budget by Source'!$A$6:$I$330,MATCH('Payment by Source'!$A248,'Budget by Source'!$A$6:$A$330,0),MATCH(P$3,'Budget by Source'!$A$5:$I$5,0))/10,0)*10)</f>
        <v>-2</v>
      </c>
      <c r="Q248" s="154">
        <f>INDEX('Budget by Source'!$A$6:$I$330,MATCH('Payment by Source'!$A248,'Budget by Source'!$A$6:$A$330,0),MATCH(Q$3,'Budget by Source'!$A$5:$I$5,0))-(ROUND(INDEX('Budget by Source'!$A$6:$I$330,MATCH('Payment by Source'!$A248,'Budget by Source'!$A$6:$A$330,0),MATCH(Q$3,'Budget by Source'!$A$5:$I$5,0))/10,0)*10)</f>
        <v>3</v>
      </c>
      <c r="R248" s="154">
        <f>INDEX('Budget by Source'!$A$6:$I$330,MATCH('Payment by Source'!$A248,'Budget by Source'!$A$6:$A$330,0),MATCH(R$3,'Budget by Source'!$A$5:$I$5,0))-(ROUND(INDEX('Budget by Source'!$A$6:$I$330,MATCH('Payment by Source'!$A248,'Budget by Source'!$A$6:$A$330,0),MATCH(R$3,'Budget by Source'!$A$5:$I$5,0))/10,0)*10)</f>
        <v>1</v>
      </c>
      <c r="S248" s="154">
        <f>INDEX('Budget by Source'!$A$6:$I$330,MATCH('Payment by Source'!$A248,'Budget by Source'!$A$6:$A$330,0),MATCH(S$3,'Budget by Source'!$A$5:$I$5,0))-(ROUND(INDEX('Budget by Source'!$A$6:$I$330,MATCH('Payment by Source'!$A248,'Budget by Source'!$A$6:$A$330,0),MATCH(S$3,'Budget by Source'!$A$5:$I$5,0))/10,0)*10)</f>
        <v>1</v>
      </c>
      <c r="T248" s="154">
        <f>INDEX('Budget by Source'!$A$6:$I$330,MATCH('Payment by Source'!$A248,'Budget by Source'!$A$6:$A$330,0),MATCH(T$3,'Budget by Source'!$A$5:$I$5,0))-(ROUND(INDEX('Budget by Source'!$A$6:$I$330,MATCH('Payment by Source'!$A248,'Budget by Source'!$A$6:$A$330,0),MATCH(T$3,'Budget by Source'!$A$5:$I$5,0))/10,0)*10)</f>
        <v>-2</v>
      </c>
      <c r="U248" s="155">
        <f>INDEX('Budget by Source'!$A$6:$I$330,MATCH('Payment by Source'!$A248,'Budget by Source'!$A$6:$A$330,0),MATCH(U$3,'Budget by Source'!$A$5:$I$5,0))</f>
        <v>5450265</v>
      </c>
      <c r="V248" s="152">
        <f t="shared" si="10"/>
        <v>545027</v>
      </c>
      <c r="W248" s="152">
        <f t="shared" si="11"/>
        <v>5450270</v>
      </c>
    </row>
    <row r="249" spans="1:23" x14ac:dyDescent="0.2">
      <c r="A249" s="23" t="str">
        <f>Data!B245</f>
        <v>5697</v>
      </c>
      <c r="B249" s="21" t="str">
        <f>INDEX(Data[],MATCH($A249,Data[Dist],0),MATCH(B$5,Data[#Headers],0))</f>
        <v>Rudd-Rockford-Marble Rock</v>
      </c>
      <c r="C249" s="22">
        <f>IF(Notes!$B$2="June",ROUND('Budget by Source'!C249/10,0)+P249,ROUND('Budget by Source'!C249/10,0))</f>
        <v>8362</v>
      </c>
      <c r="D249" s="22">
        <f>IF(Notes!$B$2="June",ROUND('Budget by Source'!D249/10,0)+Q249,ROUND('Budget by Source'!D249/10,0))</f>
        <v>28993</v>
      </c>
      <c r="E249" s="22">
        <f>IF(Notes!$B$2="June",ROUND('Budget by Source'!E249/10,0)+R249,ROUND('Budget by Source'!E249/10,0))</f>
        <v>3121</v>
      </c>
      <c r="F249" s="22">
        <f>IF(Notes!$B$2="June",ROUND('Budget by Source'!F249/10,0)+S249,ROUND('Budget by Source'!F249/10,0))</f>
        <v>3274</v>
      </c>
      <c r="G249" s="22">
        <f>IF(Notes!$B$2="June",ROUND('Budget by Source'!G249/10,0)+T249,ROUND('Budget by Source'!G249/10,0))</f>
        <v>15699</v>
      </c>
      <c r="H249" s="22">
        <f t="shared" si="9"/>
        <v>209828</v>
      </c>
      <c r="I249" s="22">
        <f>INDEX(Data[],MATCH($A249,Data[Dist],0),MATCH(I$5,Data[#Headers],0))</f>
        <v>269277</v>
      </c>
      <c r="K249" s="69">
        <f>INDEX('Payment Total'!$A$7:$H$331,MATCH('Payment by Source'!$A249,'Payment Total'!$A$7:$A$331,0),3)-I249</f>
        <v>0</v>
      </c>
      <c r="P249" s="154">
        <f>INDEX('Budget by Source'!$A$6:$I$330,MATCH('Payment by Source'!$A249,'Budget by Source'!$A$6:$A$330,0),MATCH(P$3,'Budget by Source'!$A$5:$I$5,0))-(ROUND(INDEX('Budget by Source'!$A$6:$I$330,MATCH('Payment by Source'!$A249,'Budget by Source'!$A$6:$A$330,0),MATCH(P$3,'Budget by Source'!$A$5:$I$5,0))/10,0)*10)</f>
        <v>0</v>
      </c>
      <c r="Q249" s="154">
        <f>INDEX('Budget by Source'!$A$6:$I$330,MATCH('Payment by Source'!$A249,'Budget by Source'!$A$6:$A$330,0),MATCH(Q$3,'Budget by Source'!$A$5:$I$5,0))-(ROUND(INDEX('Budget by Source'!$A$6:$I$330,MATCH('Payment by Source'!$A249,'Budget by Source'!$A$6:$A$330,0),MATCH(Q$3,'Budget by Source'!$A$5:$I$5,0))/10,0)*10)</f>
        <v>1</v>
      </c>
      <c r="R249" s="154">
        <f>INDEX('Budget by Source'!$A$6:$I$330,MATCH('Payment by Source'!$A249,'Budget by Source'!$A$6:$A$330,0),MATCH(R$3,'Budget by Source'!$A$5:$I$5,0))-(ROUND(INDEX('Budget by Source'!$A$6:$I$330,MATCH('Payment by Source'!$A249,'Budget by Source'!$A$6:$A$330,0),MATCH(R$3,'Budget by Source'!$A$5:$I$5,0))/10,0)*10)</f>
        <v>-5</v>
      </c>
      <c r="S249" s="154">
        <f>INDEX('Budget by Source'!$A$6:$I$330,MATCH('Payment by Source'!$A249,'Budget by Source'!$A$6:$A$330,0),MATCH(S$3,'Budget by Source'!$A$5:$I$5,0))-(ROUND(INDEX('Budget by Source'!$A$6:$I$330,MATCH('Payment by Source'!$A249,'Budget by Source'!$A$6:$A$330,0),MATCH(S$3,'Budget by Source'!$A$5:$I$5,0))/10,0)*10)</f>
        <v>-2</v>
      </c>
      <c r="T249" s="154">
        <f>INDEX('Budget by Source'!$A$6:$I$330,MATCH('Payment by Source'!$A249,'Budget by Source'!$A$6:$A$330,0),MATCH(T$3,'Budget by Source'!$A$5:$I$5,0))-(ROUND(INDEX('Budget by Source'!$A$6:$I$330,MATCH('Payment by Source'!$A249,'Budget by Source'!$A$6:$A$330,0),MATCH(T$3,'Budget by Source'!$A$5:$I$5,0))/10,0)*10)</f>
        <v>4</v>
      </c>
      <c r="U249" s="155">
        <f>INDEX('Budget by Source'!$A$6:$I$330,MATCH('Payment by Source'!$A249,'Budget by Source'!$A$6:$A$330,0),MATCH(U$3,'Budget by Source'!$A$5:$I$5,0))</f>
        <v>2098285</v>
      </c>
      <c r="V249" s="152">
        <f t="shared" si="10"/>
        <v>209829</v>
      </c>
      <c r="W249" s="152">
        <f t="shared" si="11"/>
        <v>2098290</v>
      </c>
    </row>
    <row r="250" spans="1:23" x14ac:dyDescent="0.2">
      <c r="A250" s="23" t="str">
        <f>Data!B246</f>
        <v>5724</v>
      </c>
      <c r="B250" s="21" t="str">
        <f>INDEX(Data[],MATCH($A250,Data[Dist],0),MATCH(B$5,Data[#Headers],0))</f>
        <v>Ruthven-Ayrshire</v>
      </c>
      <c r="C250" s="22">
        <f>IF(Notes!$B$2="June",ROUND('Budget by Source'!C250/10,0)+P250,ROUND('Budget by Source'!C250/10,0))</f>
        <v>3801</v>
      </c>
      <c r="D250" s="22">
        <f>IF(Notes!$B$2="June",ROUND('Budget by Source'!D250/10,0)+Q250,ROUND('Budget by Source'!D250/10,0))</f>
        <v>14004</v>
      </c>
      <c r="E250" s="22">
        <f>IF(Notes!$B$2="June",ROUND('Budget by Source'!E250/10,0)+R250,ROUND('Budget by Source'!E250/10,0))</f>
        <v>1678</v>
      </c>
      <c r="F250" s="22">
        <f>IF(Notes!$B$2="June",ROUND('Budget by Source'!F250/10,0)+S250,ROUND('Budget by Source'!F250/10,0))</f>
        <v>1540</v>
      </c>
      <c r="G250" s="22">
        <f>IF(Notes!$B$2="June",ROUND('Budget by Source'!G250/10,0)+T250,ROUND('Budget by Source'!G250/10,0))</f>
        <v>7156</v>
      </c>
      <c r="H250" s="22">
        <f t="shared" si="9"/>
        <v>98351</v>
      </c>
      <c r="I250" s="22">
        <f>INDEX(Data[],MATCH($A250,Data[Dist],0),MATCH(I$5,Data[#Headers],0))</f>
        <v>126530</v>
      </c>
      <c r="K250" s="69">
        <f>INDEX('Payment Total'!$A$7:$H$331,MATCH('Payment by Source'!$A250,'Payment Total'!$A$7:$A$331,0),3)-I250</f>
        <v>0</v>
      </c>
      <c r="P250" s="154">
        <f>INDEX('Budget by Source'!$A$6:$I$330,MATCH('Payment by Source'!$A250,'Budget by Source'!$A$6:$A$330,0),MATCH(P$3,'Budget by Source'!$A$5:$I$5,0))-(ROUND(INDEX('Budget by Source'!$A$6:$I$330,MATCH('Payment by Source'!$A250,'Budget by Source'!$A$6:$A$330,0),MATCH(P$3,'Budget by Source'!$A$5:$I$5,0))/10,0)*10)</f>
        <v>-1</v>
      </c>
      <c r="Q250" s="154">
        <f>INDEX('Budget by Source'!$A$6:$I$330,MATCH('Payment by Source'!$A250,'Budget by Source'!$A$6:$A$330,0),MATCH(Q$3,'Budget by Source'!$A$5:$I$5,0))-(ROUND(INDEX('Budget by Source'!$A$6:$I$330,MATCH('Payment by Source'!$A250,'Budget by Source'!$A$6:$A$330,0),MATCH(Q$3,'Budget by Source'!$A$5:$I$5,0))/10,0)*10)</f>
        <v>4</v>
      </c>
      <c r="R250" s="154">
        <f>INDEX('Budget by Source'!$A$6:$I$330,MATCH('Payment by Source'!$A250,'Budget by Source'!$A$6:$A$330,0),MATCH(R$3,'Budget by Source'!$A$5:$I$5,0))-(ROUND(INDEX('Budget by Source'!$A$6:$I$330,MATCH('Payment by Source'!$A250,'Budget by Source'!$A$6:$A$330,0),MATCH(R$3,'Budget by Source'!$A$5:$I$5,0))/10,0)*10)</f>
        <v>2</v>
      </c>
      <c r="S250" s="154">
        <f>INDEX('Budget by Source'!$A$6:$I$330,MATCH('Payment by Source'!$A250,'Budget by Source'!$A$6:$A$330,0),MATCH(S$3,'Budget by Source'!$A$5:$I$5,0))-(ROUND(INDEX('Budget by Source'!$A$6:$I$330,MATCH('Payment by Source'!$A250,'Budget by Source'!$A$6:$A$330,0),MATCH(S$3,'Budget by Source'!$A$5:$I$5,0))/10,0)*10)</f>
        <v>4</v>
      </c>
      <c r="T250" s="154">
        <f>INDEX('Budget by Source'!$A$6:$I$330,MATCH('Payment by Source'!$A250,'Budget by Source'!$A$6:$A$330,0),MATCH(T$3,'Budget by Source'!$A$5:$I$5,0))-(ROUND(INDEX('Budget by Source'!$A$6:$I$330,MATCH('Payment by Source'!$A250,'Budget by Source'!$A$6:$A$330,0),MATCH(T$3,'Budget by Source'!$A$5:$I$5,0))/10,0)*10)</f>
        <v>0</v>
      </c>
      <c r="U250" s="155">
        <f>INDEX('Budget by Source'!$A$6:$I$330,MATCH('Payment by Source'!$A250,'Budget by Source'!$A$6:$A$330,0),MATCH(U$3,'Budget by Source'!$A$5:$I$5,0))</f>
        <v>983497</v>
      </c>
      <c r="V250" s="152">
        <f t="shared" si="10"/>
        <v>98350</v>
      </c>
      <c r="W250" s="152">
        <f t="shared" si="11"/>
        <v>983500</v>
      </c>
    </row>
    <row r="251" spans="1:23" x14ac:dyDescent="0.2">
      <c r="A251" s="23" t="str">
        <f>Data!B247</f>
        <v>5751</v>
      </c>
      <c r="B251" s="21" t="str">
        <f>INDEX(Data[],MATCH($A251,Data[Dist],0),MATCH(B$5,Data[#Headers],0))</f>
        <v>St Ansgar</v>
      </c>
      <c r="C251" s="22">
        <f>IF(Notes!$B$2="June",ROUND('Budget by Source'!C251/10,0)+P251,ROUND('Budget by Source'!C251/10,0))</f>
        <v>11783</v>
      </c>
      <c r="D251" s="22">
        <f>IF(Notes!$B$2="June",ROUND('Budget by Source'!D251/10,0)+Q251,ROUND('Budget by Source'!D251/10,0))</f>
        <v>36742</v>
      </c>
      <c r="E251" s="22">
        <f>IF(Notes!$B$2="June",ROUND('Budget by Source'!E251/10,0)+R251,ROUND('Budget by Source'!E251/10,0))</f>
        <v>4144</v>
      </c>
      <c r="F251" s="22">
        <f>IF(Notes!$B$2="June",ROUND('Budget by Source'!F251/10,0)+S251,ROUND('Budget by Source'!F251/10,0))</f>
        <v>4292</v>
      </c>
      <c r="G251" s="22">
        <f>IF(Notes!$B$2="June",ROUND('Budget by Source'!G251/10,0)+T251,ROUND('Budget by Source'!G251/10,0))</f>
        <v>21032</v>
      </c>
      <c r="H251" s="22">
        <f t="shared" si="9"/>
        <v>241109</v>
      </c>
      <c r="I251" s="22">
        <f>INDEX(Data[],MATCH($A251,Data[Dist],0),MATCH(I$5,Data[#Headers],0))</f>
        <v>319102</v>
      </c>
      <c r="K251" s="69">
        <f>INDEX('Payment Total'!$A$7:$H$331,MATCH('Payment by Source'!$A251,'Payment Total'!$A$7:$A$331,0),3)-I251</f>
        <v>0</v>
      </c>
      <c r="P251" s="154">
        <f>INDEX('Budget by Source'!$A$6:$I$330,MATCH('Payment by Source'!$A251,'Budget by Source'!$A$6:$A$330,0),MATCH(P$3,'Budget by Source'!$A$5:$I$5,0))-(ROUND(INDEX('Budget by Source'!$A$6:$I$330,MATCH('Payment by Source'!$A251,'Budget by Source'!$A$6:$A$330,0),MATCH(P$3,'Budget by Source'!$A$5:$I$5,0))/10,0)*10)</f>
        <v>-1</v>
      </c>
      <c r="Q251" s="154">
        <f>INDEX('Budget by Source'!$A$6:$I$330,MATCH('Payment by Source'!$A251,'Budget by Source'!$A$6:$A$330,0),MATCH(Q$3,'Budget by Source'!$A$5:$I$5,0))-(ROUND(INDEX('Budget by Source'!$A$6:$I$330,MATCH('Payment by Source'!$A251,'Budget by Source'!$A$6:$A$330,0),MATCH(Q$3,'Budget by Source'!$A$5:$I$5,0))/10,0)*10)</f>
        <v>2</v>
      </c>
      <c r="R251" s="154">
        <f>INDEX('Budget by Source'!$A$6:$I$330,MATCH('Payment by Source'!$A251,'Budget by Source'!$A$6:$A$330,0),MATCH(R$3,'Budget by Source'!$A$5:$I$5,0))-(ROUND(INDEX('Budget by Source'!$A$6:$I$330,MATCH('Payment by Source'!$A251,'Budget by Source'!$A$6:$A$330,0),MATCH(R$3,'Budget by Source'!$A$5:$I$5,0))/10,0)*10)</f>
        <v>4</v>
      </c>
      <c r="S251" s="154">
        <f>INDEX('Budget by Source'!$A$6:$I$330,MATCH('Payment by Source'!$A251,'Budget by Source'!$A$6:$A$330,0),MATCH(S$3,'Budget by Source'!$A$5:$I$5,0))-(ROUND(INDEX('Budget by Source'!$A$6:$I$330,MATCH('Payment by Source'!$A251,'Budget by Source'!$A$6:$A$330,0),MATCH(S$3,'Budget by Source'!$A$5:$I$5,0))/10,0)*10)</f>
        <v>-3</v>
      </c>
      <c r="T251" s="154">
        <f>INDEX('Budget by Source'!$A$6:$I$330,MATCH('Payment by Source'!$A251,'Budget by Source'!$A$6:$A$330,0),MATCH(T$3,'Budget by Source'!$A$5:$I$5,0))-(ROUND(INDEX('Budget by Source'!$A$6:$I$330,MATCH('Payment by Source'!$A251,'Budget by Source'!$A$6:$A$330,0),MATCH(T$3,'Budget by Source'!$A$5:$I$5,0))/10,0)*10)</f>
        <v>0</v>
      </c>
      <c r="U251" s="155">
        <f>INDEX('Budget by Source'!$A$6:$I$330,MATCH('Payment by Source'!$A251,'Budget by Source'!$A$6:$A$330,0),MATCH(U$3,'Budget by Source'!$A$5:$I$5,0))</f>
        <v>2411087</v>
      </c>
      <c r="V251" s="152">
        <f t="shared" si="10"/>
        <v>241109</v>
      </c>
      <c r="W251" s="152">
        <f t="shared" si="11"/>
        <v>2411090</v>
      </c>
    </row>
    <row r="252" spans="1:23" x14ac:dyDescent="0.2">
      <c r="A252" s="23" t="str">
        <f>Data!B248</f>
        <v>5805</v>
      </c>
      <c r="B252" s="21" t="str">
        <f>INDEX(Data[],MATCH($A252,Data[Dist],0),MATCH(B$5,Data[#Headers],0))</f>
        <v>Saydel</v>
      </c>
      <c r="C252" s="22">
        <f>IF(Notes!$B$2="June",ROUND('Budget by Source'!C252/10,0)+P252,ROUND('Budget by Source'!C252/10,0))</f>
        <v>17864</v>
      </c>
      <c r="D252" s="22">
        <f>IF(Notes!$B$2="June",ROUND('Budget by Source'!D252/10,0)+Q252,ROUND('Budget by Source'!D252/10,0))</f>
        <v>74427</v>
      </c>
      <c r="E252" s="22">
        <f>IF(Notes!$B$2="June",ROUND('Budget by Source'!E252/10,0)+R252,ROUND('Budget by Source'!E252/10,0))</f>
        <v>9521</v>
      </c>
      <c r="F252" s="22">
        <f>IF(Notes!$B$2="June",ROUND('Budget by Source'!F252/10,0)+S252,ROUND('Budget by Source'!F252/10,0))</f>
        <v>8026</v>
      </c>
      <c r="G252" s="22">
        <f>IF(Notes!$B$2="June",ROUND('Budget by Source'!G252/10,0)+T252,ROUND('Budget by Source'!G252/10,0))</f>
        <v>39322</v>
      </c>
      <c r="H252" s="22">
        <f t="shared" si="9"/>
        <v>164209</v>
      </c>
      <c r="I252" s="22">
        <f>INDEX(Data[],MATCH($A252,Data[Dist],0),MATCH(I$5,Data[#Headers],0))</f>
        <v>313369</v>
      </c>
      <c r="K252" s="69">
        <f>INDEX('Payment Total'!$A$7:$H$331,MATCH('Payment by Source'!$A252,'Payment Total'!$A$7:$A$331,0),3)-I252</f>
        <v>0</v>
      </c>
      <c r="P252" s="154">
        <f>INDEX('Budget by Source'!$A$6:$I$330,MATCH('Payment by Source'!$A252,'Budget by Source'!$A$6:$A$330,0),MATCH(P$3,'Budget by Source'!$A$5:$I$5,0))-(ROUND(INDEX('Budget by Source'!$A$6:$I$330,MATCH('Payment by Source'!$A252,'Budget by Source'!$A$6:$A$330,0),MATCH(P$3,'Budget by Source'!$A$5:$I$5,0))/10,0)*10)</f>
        <v>4</v>
      </c>
      <c r="Q252" s="154">
        <f>INDEX('Budget by Source'!$A$6:$I$330,MATCH('Payment by Source'!$A252,'Budget by Source'!$A$6:$A$330,0),MATCH(Q$3,'Budget by Source'!$A$5:$I$5,0))-(ROUND(INDEX('Budget by Source'!$A$6:$I$330,MATCH('Payment by Source'!$A252,'Budget by Source'!$A$6:$A$330,0),MATCH(Q$3,'Budget by Source'!$A$5:$I$5,0))/10,0)*10)</f>
        <v>-5</v>
      </c>
      <c r="R252" s="154">
        <f>INDEX('Budget by Source'!$A$6:$I$330,MATCH('Payment by Source'!$A252,'Budget by Source'!$A$6:$A$330,0),MATCH(R$3,'Budget by Source'!$A$5:$I$5,0))-(ROUND(INDEX('Budget by Source'!$A$6:$I$330,MATCH('Payment by Source'!$A252,'Budget by Source'!$A$6:$A$330,0),MATCH(R$3,'Budget by Source'!$A$5:$I$5,0))/10,0)*10)</f>
        <v>-2</v>
      </c>
      <c r="S252" s="154">
        <f>INDEX('Budget by Source'!$A$6:$I$330,MATCH('Payment by Source'!$A252,'Budget by Source'!$A$6:$A$330,0),MATCH(S$3,'Budget by Source'!$A$5:$I$5,0))-(ROUND(INDEX('Budget by Source'!$A$6:$I$330,MATCH('Payment by Source'!$A252,'Budget by Source'!$A$6:$A$330,0),MATCH(S$3,'Budget by Source'!$A$5:$I$5,0))/10,0)*10)</f>
        <v>0</v>
      </c>
      <c r="T252" s="154">
        <f>INDEX('Budget by Source'!$A$6:$I$330,MATCH('Payment by Source'!$A252,'Budget by Source'!$A$6:$A$330,0),MATCH(T$3,'Budget by Source'!$A$5:$I$5,0))-(ROUND(INDEX('Budget by Source'!$A$6:$I$330,MATCH('Payment by Source'!$A252,'Budget by Source'!$A$6:$A$330,0),MATCH(T$3,'Budget by Source'!$A$5:$I$5,0))/10,0)*10)</f>
        <v>2</v>
      </c>
      <c r="U252" s="155">
        <f>INDEX('Budget by Source'!$A$6:$I$330,MATCH('Payment by Source'!$A252,'Budget by Source'!$A$6:$A$330,0),MATCH(U$3,'Budget by Source'!$A$5:$I$5,0))</f>
        <v>1642088</v>
      </c>
      <c r="V252" s="152">
        <f t="shared" si="10"/>
        <v>164209</v>
      </c>
      <c r="W252" s="152">
        <f t="shared" si="11"/>
        <v>1642090</v>
      </c>
    </row>
    <row r="253" spans="1:23" x14ac:dyDescent="0.2">
      <c r="A253" s="23" t="str">
        <f>Data!B249</f>
        <v>5823</v>
      </c>
      <c r="B253" s="21" t="str">
        <f>INDEX(Data[],MATCH($A253,Data[Dist],0),MATCH(B$5,Data[#Headers],0))</f>
        <v>Schaller-Crestland</v>
      </c>
      <c r="C253" s="22">
        <f>IF(Notes!$B$2="June",ROUND('Budget by Source'!C253/10,0)+P253,ROUND('Budget by Source'!C253/10,0))</f>
        <v>6462</v>
      </c>
      <c r="D253" s="22">
        <f>IF(Notes!$B$2="June",ROUND('Budget by Source'!D253/10,0)+Q253,ROUND('Budget by Source'!D253/10,0))</f>
        <v>25110</v>
      </c>
      <c r="E253" s="22">
        <f>IF(Notes!$B$2="June",ROUND('Budget by Source'!E253/10,0)+R253,ROUND('Budget by Source'!E253/10,0))</f>
        <v>2505</v>
      </c>
      <c r="F253" s="22">
        <f>IF(Notes!$B$2="June",ROUND('Budget by Source'!F253/10,0)+S253,ROUND('Budget by Source'!F253/10,0))</f>
        <v>2828</v>
      </c>
      <c r="G253" s="22">
        <f>IF(Notes!$B$2="June",ROUND('Budget by Source'!G253/10,0)+T253,ROUND('Budget by Source'!G253/10,0))</f>
        <v>13310</v>
      </c>
      <c r="H253" s="22">
        <f t="shared" si="9"/>
        <v>144386</v>
      </c>
      <c r="I253" s="22">
        <f>INDEX(Data[],MATCH($A253,Data[Dist],0),MATCH(I$5,Data[#Headers],0))</f>
        <v>194601</v>
      </c>
      <c r="K253" s="69">
        <f>INDEX('Payment Total'!$A$7:$H$331,MATCH('Payment by Source'!$A253,'Payment Total'!$A$7:$A$331,0),3)-I253</f>
        <v>0</v>
      </c>
      <c r="P253" s="154">
        <f>INDEX('Budget by Source'!$A$6:$I$330,MATCH('Payment by Source'!$A253,'Budget by Source'!$A$6:$A$330,0),MATCH(P$3,'Budget by Source'!$A$5:$I$5,0))-(ROUND(INDEX('Budget by Source'!$A$6:$I$330,MATCH('Payment by Source'!$A253,'Budget by Source'!$A$6:$A$330,0),MATCH(P$3,'Budget by Source'!$A$5:$I$5,0))/10,0)*10)</f>
        <v>-4</v>
      </c>
      <c r="Q253" s="154">
        <f>INDEX('Budget by Source'!$A$6:$I$330,MATCH('Payment by Source'!$A253,'Budget by Source'!$A$6:$A$330,0),MATCH(Q$3,'Budget by Source'!$A$5:$I$5,0))-(ROUND(INDEX('Budget by Source'!$A$6:$I$330,MATCH('Payment by Source'!$A253,'Budget by Source'!$A$6:$A$330,0),MATCH(Q$3,'Budget by Source'!$A$5:$I$5,0))/10,0)*10)</f>
        <v>4</v>
      </c>
      <c r="R253" s="154">
        <f>INDEX('Budget by Source'!$A$6:$I$330,MATCH('Payment by Source'!$A253,'Budget by Source'!$A$6:$A$330,0),MATCH(R$3,'Budget by Source'!$A$5:$I$5,0))-(ROUND(INDEX('Budget by Source'!$A$6:$I$330,MATCH('Payment by Source'!$A253,'Budget by Source'!$A$6:$A$330,0),MATCH(R$3,'Budget by Source'!$A$5:$I$5,0))/10,0)*10)</f>
        <v>4</v>
      </c>
      <c r="S253" s="154">
        <f>INDEX('Budget by Source'!$A$6:$I$330,MATCH('Payment by Source'!$A253,'Budget by Source'!$A$6:$A$330,0),MATCH(S$3,'Budget by Source'!$A$5:$I$5,0))-(ROUND(INDEX('Budget by Source'!$A$6:$I$330,MATCH('Payment by Source'!$A253,'Budget by Source'!$A$6:$A$330,0),MATCH(S$3,'Budget by Source'!$A$5:$I$5,0))/10,0)*10)</f>
        <v>-4</v>
      </c>
      <c r="T253" s="154">
        <f>INDEX('Budget by Source'!$A$6:$I$330,MATCH('Payment by Source'!$A253,'Budget by Source'!$A$6:$A$330,0),MATCH(T$3,'Budget by Source'!$A$5:$I$5,0))-(ROUND(INDEX('Budget by Source'!$A$6:$I$330,MATCH('Payment by Source'!$A253,'Budget by Source'!$A$6:$A$330,0),MATCH(T$3,'Budget by Source'!$A$5:$I$5,0))/10,0)*10)</f>
        <v>2</v>
      </c>
      <c r="U253" s="155">
        <f>INDEX('Budget by Source'!$A$6:$I$330,MATCH('Payment by Source'!$A253,'Budget by Source'!$A$6:$A$330,0),MATCH(U$3,'Budget by Source'!$A$5:$I$5,0))</f>
        <v>1443855</v>
      </c>
      <c r="V253" s="152">
        <f t="shared" si="10"/>
        <v>144386</v>
      </c>
      <c r="W253" s="152">
        <f t="shared" si="11"/>
        <v>1443860</v>
      </c>
    </row>
    <row r="254" spans="1:23" x14ac:dyDescent="0.2">
      <c r="A254" s="23" t="str">
        <f>Data!B250</f>
        <v>5832</v>
      </c>
      <c r="B254" s="21" t="str">
        <f>INDEX(Data[],MATCH($A254,Data[Dist],0),MATCH(B$5,Data[#Headers],0))</f>
        <v>Schleswig</v>
      </c>
      <c r="C254" s="22">
        <f>IF(Notes!$B$2="June",ROUND('Budget by Source'!C254/10,0)+P254,ROUND('Budget by Source'!C254/10,0))</f>
        <v>4941</v>
      </c>
      <c r="D254" s="22">
        <f>IF(Notes!$B$2="June",ROUND('Budget by Source'!D254/10,0)+Q254,ROUND('Budget by Source'!D254/10,0))</f>
        <v>12844</v>
      </c>
      <c r="E254" s="22">
        <f>IF(Notes!$B$2="June",ROUND('Budget by Source'!E254/10,0)+R254,ROUND('Budget by Source'!E254/10,0))</f>
        <v>1540</v>
      </c>
      <c r="F254" s="22">
        <f>IF(Notes!$B$2="June",ROUND('Budget by Source'!F254/10,0)+S254,ROUND('Budget by Source'!F254/10,0))</f>
        <v>1169</v>
      </c>
      <c r="G254" s="22">
        <f>IF(Notes!$B$2="June",ROUND('Budget by Source'!G254/10,0)+T254,ROUND('Budget by Source'!G254/10,0))</f>
        <v>8086</v>
      </c>
      <c r="H254" s="22">
        <f t="shared" si="9"/>
        <v>67872</v>
      </c>
      <c r="I254" s="22">
        <f>INDEX(Data[],MATCH($A254,Data[Dist],0),MATCH(I$5,Data[#Headers],0))</f>
        <v>96452</v>
      </c>
      <c r="K254" s="69">
        <f>INDEX('Payment Total'!$A$7:$H$331,MATCH('Payment by Source'!$A254,'Payment Total'!$A$7:$A$331,0),3)-I254</f>
        <v>0</v>
      </c>
      <c r="P254" s="154">
        <f>INDEX('Budget by Source'!$A$6:$I$330,MATCH('Payment by Source'!$A254,'Budget by Source'!$A$6:$A$330,0),MATCH(P$3,'Budget by Source'!$A$5:$I$5,0))-(ROUND(INDEX('Budget by Source'!$A$6:$I$330,MATCH('Payment by Source'!$A254,'Budget by Source'!$A$6:$A$330,0),MATCH(P$3,'Budget by Source'!$A$5:$I$5,0))/10,0)*10)</f>
        <v>2</v>
      </c>
      <c r="Q254" s="154">
        <f>INDEX('Budget by Source'!$A$6:$I$330,MATCH('Payment by Source'!$A254,'Budget by Source'!$A$6:$A$330,0),MATCH(Q$3,'Budget by Source'!$A$5:$I$5,0))-(ROUND(INDEX('Budget by Source'!$A$6:$I$330,MATCH('Payment by Source'!$A254,'Budget by Source'!$A$6:$A$330,0),MATCH(Q$3,'Budget by Source'!$A$5:$I$5,0))/10,0)*10)</f>
        <v>0</v>
      </c>
      <c r="R254" s="154">
        <f>INDEX('Budget by Source'!$A$6:$I$330,MATCH('Payment by Source'!$A254,'Budget by Source'!$A$6:$A$330,0),MATCH(R$3,'Budget by Source'!$A$5:$I$5,0))-(ROUND(INDEX('Budget by Source'!$A$6:$I$330,MATCH('Payment by Source'!$A254,'Budget by Source'!$A$6:$A$330,0),MATCH(R$3,'Budget by Source'!$A$5:$I$5,0))/10,0)*10)</f>
        <v>-5</v>
      </c>
      <c r="S254" s="154">
        <f>INDEX('Budget by Source'!$A$6:$I$330,MATCH('Payment by Source'!$A254,'Budget by Source'!$A$6:$A$330,0),MATCH(S$3,'Budget by Source'!$A$5:$I$5,0))-(ROUND(INDEX('Budget by Source'!$A$6:$I$330,MATCH('Payment by Source'!$A254,'Budget by Source'!$A$6:$A$330,0),MATCH(S$3,'Budget by Source'!$A$5:$I$5,0))/10,0)*10)</f>
        <v>1</v>
      </c>
      <c r="T254" s="154">
        <f>INDEX('Budget by Source'!$A$6:$I$330,MATCH('Payment by Source'!$A254,'Budget by Source'!$A$6:$A$330,0),MATCH(T$3,'Budget by Source'!$A$5:$I$5,0))-(ROUND(INDEX('Budget by Source'!$A$6:$I$330,MATCH('Payment by Source'!$A254,'Budget by Source'!$A$6:$A$330,0),MATCH(T$3,'Budget by Source'!$A$5:$I$5,0))/10,0)*10)</f>
        <v>3</v>
      </c>
      <c r="U254" s="155">
        <f>INDEX('Budget by Source'!$A$6:$I$330,MATCH('Payment by Source'!$A254,'Budget by Source'!$A$6:$A$330,0),MATCH(U$3,'Budget by Source'!$A$5:$I$5,0))</f>
        <v>678719</v>
      </c>
      <c r="V254" s="152">
        <f t="shared" si="10"/>
        <v>67872</v>
      </c>
      <c r="W254" s="152">
        <f t="shared" si="11"/>
        <v>678720</v>
      </c>
    </row>
    <row r="255" spans="1:23" x14ac:dyDescent="0.2">
      <c r="A255" s="23" t="str">
        <f>Data!B251</f>
        <v>5877</v>
      </c>
      <c r="B255" s="21" t="str">
        <f>INDEX(Data[],MATCH($A255,Data[Dist],0),MATCH(B$5,Data[#Headers],0))</f>
        <v>Sergeant Bluff-Luton</v>
      </c>
      <c r="C255" s="22">
        <f>IF(Notes!$B$2="June",ROUND('Budget by Source'!C255/10,0)+P255,ROUND('Budget by Source'!C255/10,0))</f>
        <v>24706</v>
      </c>
      <c r="D255" s="22">
        <f>IF(Notes!$B$2="June",ROUND('Budget by Source'!D255/10,0)+Q255,ROUND('Budget by Source'!D255/10,0))</f>
        <v>94325</v>
      </c>
      <c r="E255" s="22">
        <f>IF(Notes!$B$2="June",ROUND('Budget by Source'!E255/10,0)+R255,ROUND('Budget by Source'!E255/10,0))</f>
        <v>11171</v>
      </c>
      <c r="F255" s="22">
        <f>IF(Notes!$B$2="June",ROUND('Budget by Source'!F255/10,0)+S255,ROUND('Budget by Source'!F255/10,0))</f>
        <v>11335</v>
      </c>
      <c r="G255" s="22">
        <f>IF(Notes!$B$2="June",ROUND('Budget by Source'!G255/10,0)+T255,ROUND('Budget by Source'!G255/10,0))</f>
        <v>52464</v>
      </c>
      <c r="H255" s="22">
        <f t="shared" si="9"/>
        <v>654167</v>
      </c>
      <c r="I255" s="22">
        <f>INDEX(Data[],MATCH($A255,Data[Dist],0),MATCH(I$5,Data[#Headers],0))</f>
        <v>848168</v>
      </c>
      <c r="K255" s="69">
        <f>INDEX('Payment Total'!$A$7:$H$331,MATCH('Payment by Source'!$A255,'Payment Total'!$A$7:$A$331,0),3)-I255</f>
        <v>0</v>
      </c>
      <c r="P255" s="154">
        <f>INDEX('Budget by Source'!$A$6:$I$330,MATCH('Payment by Source'!$A255,'Budget by Source'!$A$6:$A$330,0),MATCH(P$3,'Budget by Source'!$A$5:$I$5,0))-(ROUND(INDEX('Budget by Source'!$A$6:$I$330,MATCH('Payment by Source'!$A255,'Budget by Source'!$A$6:$A$330,0),MATCH(P$3,'Budget by Source'!$A$5:$I$5,0))/10,0)*10)</f>
        <v>0</v>
      </c>
      <c r="Q255" s="154">
        <f>INDEX('Budget by Source'!$A$6:$I$330,MATCH('Payment by Source'!$A255,'Budget by Source'!$A$6:$A$330,0),MATCH(Q$3,'Budget by Source'!$A$5:$I$5,0))-(ROUND(INDEX('Budget by Source'!$A$6:$I$330,MATCH('Payment by Source'!$A255,'Budget by Source'!$A$6:$A$330,0),MATCH(Q$3,'Budget by Source'!$A$5:$I$5,0))/10,0)*10)</f>
        <v>-1</v>
      </c>
      <c r="R255" s="154">
        <f>INDEX('Budget by Source'!$A$6:$I$330,MATCH('Payment by Source'!$A255,'Budget by Source'!$A$6:$A$330,0),MATCH(R$3,'Budget by Source'!$A$5:$I$5,0))-(ROUND(INDEX('Budget by Source'!$A$6:$I$330,MATCH('Payment by Source'!$A255,'Budget by Source'!$A$6:$A$330,0),MATCH(R$3,'Budget by Source'!$A$5:$I$5,0))/10,0)*10)</f>
        <v>0</v>
      </c>
      <c r="S255" s="154">
        <f>INDEX('Budget by Source'!$A$6:$I$330,MATCH('Payment by Source'!$A255,'Budget by Source'!$A$6:$A$330,0),MATCH(S$3,'Budget by Source'!$A$5:$I$5,0))-(ROUND(INDEX('Budget by Source'!$A$6:$I$330,MATCH('Payment by Source'!$A255,'Budget by Source'!$A$6:$A$330,0),MATCH(S$3,'Budget by Source'!$A$5:$I$5,0))/10,0)*10)</f>
        <v>-3</v>
      </c>
      <c r="T255" s="154">
        <f>INDEX('Budget by Source'!$A$6:$I$330,MATCH('Payment by Source'!$A255,'Budget by Source'!$A$6:$A$330,0),MATCH(T$3,'Budget by Source'!$A$5:$I$5,0))-(ROUND(INDEX('Budget by Source'!$A$6:$I$330,MATCH('Payment by Source'!$A255,'Budget by Source'!$A$6:$A$330,0),MATCH(T$3,'Budget by Source'!$A$5:$I$5,0))/10,0)*10)</f>
        <v>-1</v>
      </c>
      <c r="U255" s="155">
        <f>INDEX('Budget by Source'!$A$6:$I$330,MATCH('Payment by Source'!$A255,'Budget by Source'!$A$6:$A$330,0),MATCH(U$3,'Budget by Source'!$A$5:$I$5,0))</f>
        <v>6541678</v>
      </c>
      <c r="V255" s="152">
        <f t="shared" si="10"/>
        <v>654168</v>
      </c>
      <c r="W255" s="152">
        <f t="shared" si="11"/>
        <v>6541680</v>
      </c>
    </row>
    <row r="256" spans="1:23" x14ac:dyDescent="0.2">
      <c r="A256" s="23" t="str">
        <f>Data!B252</f>
        <v>5895</v>
      </c>
      <c r="B256" s="21" t="str">
        <f>INDEX(Data[],MATCH($A256,Data[Dist],0),MATCH(B$5,Data[#Headers],0))</f>
        <v>Seymour</v>
      </c>
      <c r="C256" s="22">
        <f>IF(Notes!$B$2="June",ROUND('Budget by Source'!C256/10,0)+P256,ROUND('Budget by Source'!C256/10,0))</f>
        <v>4941</v>
      </c>
      <c r="D256" s="22">
        <f>IF(Notes!$B$2="June",ROUND('Budget by Source'!D256/10,0)+Q256,ROUND('Budget by Source'!D256/10,0))</f>
        <v>19633</v>
      </c>
      <c r="E256" s="22">
        <f>IF(Notes!$B$2="June",ROUND('Budget by Source'!E256/10,0)+R256,ROUND('Budget by Source'!E256/10,0))</f>
        <v>2227</v>
      </c>
      <c r="F256" s="22">
        <f>IF(Notes!$B$2="June",ROUND('Budget by Source'!F256/10,0)+S256,ROUND('Budget by Source'!F256/10,0))</f>
        <v>2168</v>
      </c>
      <c r="G256" s="22">
        <f>IF(Notes!$B$2="June",ROUND('Budget by Source'!G256/10,0)+T256,ROUND('Budget by Source'!G256/10,0))</f>
        <v>9110</v>
      </c>
      <c r="H256" s="22">
        <f t="shared" si="9"/>
        <v>112025</v>
      </c>
      <c r="I256" s="22">
        <f>INDEX(Data[],MATCH($A256,Data[Dist],0),MATCH(I$5,Data[#Headers],0))</f>
        <v>150104</v>
      </c>
      <c r="K256" s="69">
        <f>INDEX('Payment Total'!$A$7:$H$331,MATCH('Payment by Source'!$A256,'Payment Total'!$A$7:$A$331,0),3)-I256</f>
        <v>0</v>
      </c>
      <c r="P256" s="154">
        <f>INDEX('Budget by Source'!$A$6:$I$330,MATCH('Payment by Source'!$A256,'Budget by Source'!$A$6:$A$330,0),MATCH(P$3,'Budget by Source'!$A$5:$I$5,0))-(ROUND(INDEX('Budget by Source'!$A$6:$I$330,MATCH('Payment by Source'!$A256,'Budget by Source'!$A$6:$A$330,0),MATCH(P$3,'Budget by Source'!$A$5:$I$5,0))/10,0)*10)</f>
        <v>2</v>
      </c>
      <c r="Q256" s="154">
        <f>INDEX('Budget by Source'!$A$6:$I$330,MATCH('Payment by Source'!$A256,'Budget by Source'!$A$6:$A$330,0),MATCH(Q$3,'Budget by Source'!$A$5:$I$5,0))-(ROUND(INDEX('Budget by Source'!$A$6:$I$330,MATCH('Payment by Source'!$A256,'Budget by Source'!$A$6:$A$330,0),MATCH(Q$3,'Budget by Source'!$A$5:$I$5,0))/10,0)*10)</f>
        <v>-5</v>
      </c>
      <c r="R256" s="154">
        <f>INDEX('Budget by Source'!$A$6:$I$330,MATCH('Payment by Source'!$A256,'Budget by Source'!$A$6:$A$330,0),MATCH(R$3,'Budget by Source'!$A$5:$I$5,0))-(ROUND(INDEX('Budget by Source'!$A$6:$I$330,MATCH('Payment by Source'!$A256,'Budget by Source'!$A$6:$A$330,0),MATCH(R$3,'Budget by Source'!$A$5:$I$5,0))/10,0)*10)</f>
        <v>2</v>
      </c>
      <c r="S256" s="154">
        <f>INDEX('Budget by Source'!$A$6:$I$330,MATCH('Payment by Source'!$A256,'Budget by Source'!$A$6:$A$330,0),MATCH(S$3,'Budget by Source'!$A$5:$I$5,0))-(ROUND(INDEX('Budget by Source'!$A$6:$I$330,MATCH('Payment by Source'!$A256,'Budget by Source'!$A$6:$A$330,0),MATCH(S$3,'Budget by Source'!$A$5:$I$5,0))/10,0)*10)</f>
        <v>-1</v>
      </c>
      <c r="T256" s="154">
        <f>INDEX('Budget by Source'!$A$6:$I$330,MATCH('Payment by Source'!$A256,'Budget by Source'!$A$6:$A$330,0),MATCH(T$3,'Budget by Source'!$A$5:$I$5,0))-(ROUND(INDEX('Budget by Source'!$A$6:$I$330,MATCH('Payment by Source'!$A256,'Budget by Source'!$A$6:$A$330,0),MATCH(T$3,'Budget by Source'!$A$5:$I$5,0))/10,0)*10)</f>
        <v>-4</v>
      </c>
      <c r="U256" s="155">
        <f>INDEX('Budget by Source'!$A$6:$I$330,MATCH('Payment by Source'!$A256,'Budget by Source'!$A$6:$A$330,0),MATCH(U$3,'Budget by Source'!$A$5:$I$5,0))</f>
        <v>1120254</v>
      </c>
      <c r="V256" s="152">
        <f t="shared" si="10"/>
        <v>112025</v>
      </c>
      <c r="W256" s="152">
        <f t="shared" si="11"/>
        <v>1120250</v>
      </c>
    </row>
    <row r="257" spans="1:23" x14ac:dyDescent="0.2">
      <c r="A257" s="23" t="str">
        <f>Data!B253</f>
        <v>5922</v>
      </c>
      <c r="B257" s="21" t="str">
        <f>INDEX(Data[],MATCH($A257,Data[Dist],0),MATCH(B$5,Data[#Headers],0))</f>
        <v>West Fork</v>
      </c>
      <c r="C257" s="22">
        <f>IF(Notes!$B$2="June",ROUND('Budget by Source'!C257/10,0)+P257,ROUND('Budget by Source'!C257/10,0))</f>
        <v>15213</v>
      </c>
      <c r="D257" s="22">
        <f>IF(Notes!$B$2="June",ROUND('Budget by Source'!D257/10,0)+Q257,ROUND('Budget by Source'!D257/10,0))</f>
        <v>54657</v>
      </c>
      <c r="E257" s="22">
        <f>IF(Notes!$B$2="June",ROUND('Budget by Source'!E257/10,0)+R257,ROUND('Budget by Source'!E257/10,0))</f>
        <v>5242</v>
      </c>
      <c r="F257" s="22">
        <f>IF(Notes!$B$2="June",ROUND('Budget by Source'!F257/10,0)+S257,ROUND('Budget by Source'!F257/10,0))</f>
        <v>6262</v>
      </c>
      <c r="G257" s="22">
        <f>IF(Notes!$B$2="June",ROUND('Budget by Source'!G257/10,0)+T257,ROUND('Budget by Source'!G257/10,0))</f>
        <v>28148</v>
      </c>
      <c r="H257" s="22">
        <f t="shared" si="9"/>
        <v>356049</v>
      </c>
      <c r="I257" s="22">
        <f>INDEX(Data[],MATCH($A257,Data[Dist],0),MATCH(I$5,Data[#Headers],0))</f>
        <v>465571</v>
      </c>
      <c r="K257" s="69">
        <f>INDEX('Payment Total'!$A$7:$H$331,MATCH('Payment by Source'!$A257,'Payment Total'!$A$7:$A$331,0),3)-I257</f>
        <v>0</v>
      </c>
      <c r="P257" s="154">
        <f>INDEX('Budget by Source'!$A$6:$I$330,MATCH('Payment by Source'!$A257,'Budget by Source'!$A$6:$A$330,0),MATCH(P$3,'Budget by Source'!$A$5:$I$5,0))-(ROUND(INDEX('Budget by Source'!$A$6:$I$330,MATCH('Payment by Source'!$A257,'Budget by Source'!$A$6:$A$330,0),MATCH(P$3,'Budget by Source'!$A$5:$I$5,0))/10,0)*10)</f>
        <v>1</v>
      </c>
      <c r="Q257" s="154">
        <f>INDEX('Budget by Source'!$A$6:$I$330,MATCH('Payment by Source'!$A257,'Budget by Source'!$A$6:$A$330,0),MATCH(Q$3,'Budget by Source'!$A$5:$I$5,0))-(ROUND(INDEX('Budget by Source'!$A$6:$I$330,MATCH('Payment by Source'!$A257,'Budget by Source'!$A$6:$A$330,0),MATCH(Q$3,'Budget by Source'!$A$5:$I$5,0))/10,0)*10)</f>
        <v>-2</v>
      </c>
      <c r="R257" s="154">
        <f>INDEX('Budget by Source'!$A$6:$I$330,MATCH('Payment by Source'!$A257,'Budget by Source'!$A$6:$A$330,0),MATCH(R$3,'Budget by Source'!$A$5:$I$5,0))-(ROUND(INDEX('Budget by Source'!$A$6:$I$330,MATCH('Payment by Source'!$A257,'Budget by Source'!$A$6:$A$330,0),MATCH(R$3,'Budget by Source'!$A$5:$I$5,0))/10,0)*10)</f>
        <v>0</v>
      </c>
      <c r="S257" s="154">
        <f>INDEX('Budget by Source'!$A$6:$I$330,MATCH('Payment by Source'!$A257,'Budget by Source'!$A$6:$A$330,0),MATCH(S$3,'Budget by Source'!$A$5:$I$5,0))-(ROUND(INDEX('Budget by Source'!$A$6:$I$330,MATCH('Payment by Source'!$A257,'Budget by Source'!$A$6:$A$330,0),MATCH(S$3,'Budget by Source'!$A$5:$I$5,0))/10,0)*10)</f>
        <v>4</v>
      </c>
      <c r="T257" s="154">
        <f>INDEX('Budget by Source'!$A$6:$I$330,MATCH('Payment by Source'!$A257,'Budget by Source'!$A$6:$A$330,0),MATCH(T$3,'Budget by Source'!$A$5:$I$5,0))-(ROUND(INDEX('Budget by Source'!$A$6:$I$330,MATCH('Payment by Source'!$A257,'Budget by Source'!$A$6:$A$330,0),MATCH(T$3,'Budget by Source'!$A$5:$I$5,0))/10,0)*10)</f>
        <v>3</v>
      </c>
      <c r="U257" s="155">
        <f>INDEX('Budget by Source'!$A$6:$I$330,MATCH('Payment by Source'!$A257,'Budget by Source'!$A$6:$A$330,0),MATCH(U$3,'Budget by Source'!$A$5:$I$5,0))</f>
        <v>3560485</v>
      </c>
      <c r="V257" s="152">
        <f t="shared" si="10"/>
        <v>356049</v>
      </c>
      <c r="W257" s="152">
        <f t="shared" si="11"/>
        <v>3560490</v>
      </c>
    </row>
    <row r="258" spans="1:23" x14ac:dyDescent="0.2">
      <c r="A258" s="23" t="str">
        <f>Data!B254</f>
        <v>5949</v>
      </c>
      <c r="B258" s="21" t="str">
        <f>INDEX(Data[],MATCH($A258,Data[Dist],0),MATCH(B$5,Data[#Headers],0))</f>
        <v>Sheldon</v>
      </c>
      <c r="C258" s="22">
        <f>IF(Notes!$B$2="June",ROUND('Budget by Source'!C258/10,0)+P258,ROUND('Budget by Source'!C258/10,0))</f>
        <v>31548</v>
      </c>
      <c r="D258" s="22">
        <f>IF(Notes!$B$2="June",ROUND('Budget by Source'!D258/10,0)+Q258,ROUND('Budget by Source'!D258/10,0))</f>
        <v>69943</v>
      </c>
      <c r="E258" s="22">
        <f>IF(Notes!$B$2="June",ROUND('Budget by Source'!E258/10,0)+R258,ROUND('Budget by Source'!E258/10,0))</f>
        <v>8664</v>
      </c>
      <c r="F258" s="22">
        <f>IF(Notes!$B$2="June",ROUND('Budget by Source'!F258/10,0)+S258,ROUND('Budget by Source'!F258/10,0))</f>
        <v>7458</v>
      </c>
      <c r="G258" s="22">
        <f>IF(Notes!$B$2="June",ROUND('Budget by Source'!G258/10,0)+T258,ROUND('Budget by Source'!G258/10,0))</f>
        <v>40634</v>
      </c>
      <c r="H258" s="22">
        <f t="shared" si="9"/>
        <v>633519</v>
      </c>
      <c r="I258" s="22">
        <f>INDEX(Data[],MATCH($A258,Data[Dist],0),MATCH(I$5,Data[#Headers],0))</f>
        <v>791766</v>
      </c>
      <c r="K258" s="69">
        <f>INDEX('Payment Total'!$A$7:$H$331,MATCH('Payment by Source'!$A258,'Payment Total'!$A$7:$A$331,0),3)-I258</f>
        <v>0</v>
      </c>
      <c r="P258" s="154">
        <f>INDEX('Budget by Source'!$A$6:$I$330,MATCH('Payment by Source'!$A258,'Budget by Source'!$A$6:$A$330,0),MATCH(P$3,'Budget by Source'!$A$5:$I$5,0))-(ROUND(INDEX('Budget by Source'!$A$6:$I$330,MATCH('Payment by Source'!$A258,'Budget by Source'!$A$6:$A$330,0),MATCH(P$3,'Budget by Source'!$A$5:$I$5,0))/10,0)*10)</f>
        <v>-4</v>
      </c>
      <c r="Q258" s="154">
        <f>INDEX('Budget by Source'!$A$6:$I$330,MATCH('Payment by Source'!$A258,'Budget by Source'!$A$6:$A$330,0),MATCH(Q$3,'Budget by Source'!$A$5:$I$5,0))-(ROUND(INDEX('Budget by Source'!$A$6:$I$330,MATCH('Payment by Source'!$A258,'Budget by Source'!$A$6:$A$330,0),MATCH(Q$3,'Budget by Source'!$A$5:$I$5,0))/10,0)*10)</f>
        <v>4</v>
      </c>
      <c r="R258" s="154">
        <f>INDEX('Budget by Source'!$A$6:$I$330,MATCH('Payment by Source'!$A258,'Budget by Source'!$A$6:$A$330,0),MATCH(R$3,'Budget by Source'!$A$5:$I$5,0))-(ROUND(INDEX('Budget by Source'!$A$6:$I$330,MATCH('Payment by Source'!$A258,'Budget by Source'!$A$6:$A$330,0),MATCH(R$3,'Budget by Source'!$A$5:$I$5,0))/10,0)*10)</f>
        <v>2</v>
      </c>
      <c r="S258" s="154">
        <f>INDEX('Budget by Source'!$A$6:$I$330,MATCH('Payment by Source'!$A258,'Budget by Source'!$A$6:$A$330,0),MATCH(S$3,'Budget by Source'!$A$5:$I$5,0))-(ROUND(INDEX('Budget by Source'!$A$6:$I$330,MATCH('Payment by Source'!$A258,'Budget by Source'!$A$6:$A$330,0),MATCH(S$3,'Budget by Source'!$A$5:$I$5,0))/10,0)*10)</f>
        <v>0</v>
      </c>
      <c r="T258" s="154">
        <f>INDEX('Budget by Source'!$A$6:$I$330,MATCH('Payment by Source'!$A258,'Budget by Source'!$A$6:$A$330,0),MATCH(T$3,'Budget by Source'!$A$5:$I$5,0))-(ROUND(INDEX('Budget by Source'!$A$6:$I$330,MATCH('Payment by Source'!$A258,'Budget by Source'!$A$6:$A$330,0),MATCH(T$3,'Budget by Source'!$A$5:$I$5,0))/10,0)*10)</f>
        <v>1</v>
      </c>
      <c r="U258" s="155">
        <f>INDEX('Budget by Source'!$A$6:$I$330,MATCH('Payment by Source'!$A258,'Budget by Source'!$A$6:$A$330,0),MATCH(U$3,'Budget by Source'!$A$5:$I$5,0))</f>
        <v>6335191</v>
      </c>
      <c r="V258" s="152">
        <f t="shared" si="10"/>
        <v>633519</v>
      </c>
      <c r="W258" s="152">
        <f t="shared" si="11"/>
        <v>6335190</v>
      </c>
    </row>
    <row r="259" spans="1:23" x14ac:dyDescent="0.2">
      <c r="A259" s="23" t="str">
        <f>Data!B255</f>
        <v>5976</v>
      </c>
      <c r="B259" s="21" t="str">
        <f>INDEX(Data[],MATCH($A259,Data[Dist],0),MATCH(B$5,Data[#Headers],0))</f>
        <v>Shenandoah</v>
      </c>
      <c r="C259" s="22">
        <f>IF(Notes!$B$2="June",ROUND('Budget by Source'!C259/10,0)+P259,ROUND('Budget by Source'!C259/10,0))</f>
        <v>13303</v>
      </c>
      <c r="D259" s="22">
        <f>IF(Notes!$B$2="June",ROUND('Budget by Source'!D259/10,0)+Q259,ROUND('Budget by Source'!D259/10,0))</f>
        <v>72051</v>
      </c>
      <c r="E259" s="22">
        <f>IF(Notes!$B$2="June",ROUND('Budget by Source'!E259/10,0)+R259,ROUND('Budget by Source'!E259/10,0))</f>
        <v>9124</v>
      </c>
      <c r="F259" s="22">
        <f>IF(Notes!$B$2="June",ROUND('Budget by Source'!F259/10,0)+S259,ROUND('Budget by Source'!F259/10,0))</f>
        <v>7835</v>
      </c>
      <c r="G259" s="22">
        <f>IF(Notes!$B$2="June",ROUND('Budget by Source'!G259/10,0)+T259,ROUND('Budget by Source'!G259/10,0))</f>
        <v>38707</v>
      </c>
      <c r="H259" s="22">
        <f t="shared" si="9"/>
        <v>568585</v>
      </c>
      <c r="I259" s="22">
        <f>INDEX(Data[],MATCH($A259,Data[Dist],0),MATCH(I$5,Data[#Headers],0))</f>
        <v>709605</v>
      </c>
      <c r="K259" s="69">
        <f>INDEX('Payment Total'!$A$7:$H$331,MATCH('Payment by Source'!$A259,'Payment Total'!$A$7:$A$331,0),3)-I259</f>
        <v>0</v>
      </c>
      <c r="P259" s="154">
        <f>INDEX('Budget by Source'!$A$6:$I$330,MATCH('Payment by Source'!$A259,'Budget by Source'!$A$6:$A$330,0),MATCH(P$3,'Budget by Source'!$A$5:$I$5,0))-(ROUND(INDEX('Budget by Source'!$A$6:$I$330,MATCH('Payment by Source'!$A259,'Budget by Source'!$A$6:$A$330,0),MATCH(P$3,'Budget by Source'!$A$5:$I$5,0))/10,0)*10)</f>
        <v>3</v>
      </c>
      <c r="Q259" s="154">
        <f>INDEX('Budget by Source'!$A$6:$I$330,MATCH('Payment by Source'!$A259,'Budget by Source'!$A$6:$A$330,0),MATCH(Q$3,'Budget by Source'!$A$5:$I$5,0))-(ROUND(INDEX('Budget by Source'!$A$6:$I$330,MATCH('Payment by Source'!$A259,'Budget by Source'!$A$6:$A$330,0),MATCH(Q$3,'Budget by Source'!$A$5:$I$5,0))/10,0)*10)</f>
        <v>-4</v>
      </c>
      <c r="R259" s="154">
        <f>INDEX('Budget by Source'!$A$6:$I$330,MATCH('Payment by Source'!$A259,'Budget by Source'!$A$6:$A$330,0),MATCH(R$3,'Budget by Source'!$A$5:$I$5,0))-(ROUND(INDEX('Budget by Source'!$A$6:$I$330,MATCH('Payment by Source'!$A259,'Budget by Source'!$A$6:$A$330,0),MATCH(R$3,'Budget by Source'!$A$5:$I$5,0))/10,0)*10)</f>
        <v>0</v>
      </c>
      <c r="S259" s="154">
        <f>INDEX('Budget by Source'!$A$6:$I$330,MATCH('Payment by Source'!$A259,'Budget by Source'!$A$6:$A$330,0),MATCH(S$3,'Budget by Source'!$A$5:$I$5,0))-(ROUND(INDEX('Budget by Source'!$A$6:$I$330,MATCH('Payment by Source'!$A259,'Budget by Source'!$A$6:$A$330,0),MATCH(S$3,'Budget by Source'!$A$5:$I$5,0))/10,0)*10)</f>
        <v>2</v>
      </c>
      <c r="T259" s="154">
        <f>INDEX('Budget by Source'!$A$6:$I$330,MATCH('Payment by Source'!$A259,'Budget by Source'!$A$6:$A$330,0),MATCH(T$3,'Budget by Source'!$A$5:$I$5,0))-(ROUND(INDEX('Budget by Source'!$A$6:$I$330,MATCH('Payment by Source'!$A259,'Budget by Source'!$A$6:$A$330,0),MATCH(T$3,'Budget by Source'!$A$5:$I$5,0))/10,0)*10)</f>
        <v>-3</v>
      </c>
      <c r="U259" s="155">
        <f>INDEX('Budget by Source'!$A$6:$I$330,MATCH('Payment by Source'!$A259,'Budget by Source'!$A$6:$A$330,0),MATCH(U$3,'Budget by Source'!$A$5:$I$5,0))</f>
        <v>5685856</v>
      </c>
      <c r="V259" s="152">
        <f t="shared" si="10"/>
        <v>568586</v>
      </c>
      <c r="W259" s="152">
        <f t="shared" si="11"/>
        <v>5685860</v>
      </c>
    </row>
    <row r="260" spans="1:23" x14ac:dyDescent="0.2">
      <c r="A260" s="23" t="str">
        <f>Data!B256</f>
        <v>5994</v>
      </c>
      <c r="B260" s="21" t="str">
        <f>INDEX(Data[],MATCH($A260,Data[Dist],0),MATCH(B$5,Data[#Headers],0))</f>
        <v>Sibley-Ocheyedan</v>
      </c>
      <c r="C260" s="22">
        <f>IF(Notes!$B$2="June",ROUND('Budget by Source'!C260/10,0)+P260,ROUND('Budget by Source'!C260/10,0))</f>
        <v>15584</v>
      </c>
      <c r="D260" s="22">
        <f>IF(Notes!$B$2="June",ROUND('Budget by Source'!D260/10,0)+Q260,ROUND('Budget by Source'!D260/10,0))</f>
        <v>47094</v>
      </c>
      <c r="E260" s="22">
        <f>IF(Notes!$B$2="June",ROUND('Budget by Source'!E260/10,0)+R260,ROUND('Budget by Source'!E260/10,0))</f>
        <v>5526</v>
      </c>
      <c r="F260" s="22">
        <f>IF(Notes!$B$2="June",ROUND('Budget by Source'!F260/10,0)+S260,ROUND('Budget by Source'!F260/10,0))</f>
        <v>4848</v>
      </c>
      <c r="G260" s="22">
        <f>IF(Notes!$B$2="June",ROUND('Budget by Source'!G260/10,0)+T260,ROUND('Budget by Source'!G260/10,0))</f>
        <v>25404</v>
      </c>
      <c r="H260" s="22">
        <f t="shared" si="9"/>
        <v>346637</v>
      </c>
      <c r="I260" s="22">
        <f>INDEX(Data[],MATCH($A260,Data[Dist],0),MATCH(I$5,Data[#Headers],0))</f>
        <v>445093</v>
      </c>
      <c r="K260" s="69">
        <f>INDEX('Payment Total'!$A$7:$H$331,MATCH('Payment by Source'!$A260,'Payment Total'!$A$7:$A$331,0),3)-I260</f>
        <v>0</v>
      </c>
      <c r="P260" s="154">
        <f>INDEX('Budget by Source'!$A$6:$I$330,MATCH('Payment by Source'!$A260,'Budget by Source'!$A$6:$A$330,0),MATCH(P$3,'Budget by Source'!$A$5:$I$5,0))-(ROUND(INDEX('Budget by Source'!$A$6:$I$330,MATCH('Payment by Source'!$A260,'Budget by Source'!$A$6:$A$330,0),MATCH(P$3,'Budget by Source'!$A$5:$I$5,0))/10,0)*10)</f>
        <v>-2</v>
      </c>
      <c r="Q260" s="154">
        <f>INDEX('Budget by Source'!$A$6:$I$330,MATCH('Payment by Source'!$A260,'Budget by Source'!$A$6:$A$330,0),MATCH(Q$3,'Budget by Source'!$A$5:$I$5,0))-(ROUND(INDEX('Budget by Source'!$A$6:$I$330,MATCH('Payment by Source'!$A260,'Budget by Source'!$A$6:$A$330,0),MATCH(Q$3,'Budget by Source'!$A$5:$I$5,0))/10,0)*10)</f>
        <v>-4</v>
      </c>
      <c r="R260" s="154">
        <f>INDEX('Budget by Source'!$A$6:$I$330,MATCH('Payment by Source'!$A260,'Budget by Source'!$A$6:$A$330,0),MATCH(R$3,'Budget by Source'!$A$5:$I$5,0))-(ROUND(INDEX('Budget by Source'!$A$6:$I$330,MATCH('Payment by Source'!$A260,'Budget by Source'!$A$6:$A$330,0),MATCH(R$3,'Budget by Source'!$A$5:$I$5,0))/10,0)*10)</f>
        <v>-1</v>
      </c>
      <c r="S260" s="154">
        <f>INDEX('Budget by Source'!$A$6:$I$330,MATCH('Payment by Source'!$A260,'Budget by Source'!$A$6:$A$330,0),MATCH(S$3,'Budget by Source'!$A$5:$I$5,0))-(ROUND(INDEX('Budget by Source'!$A$6:$I$330,MATCH('Payment by Source'!$A260,'Budget by Source'!$A$6:$A$330,0),MATCH(S$3,'Budget by Source'!$A$5:$I$5,0))/10,0)*10)</f>
        <v>-2</v>
      </c>
      <c r="T260" s="154">
        <f>INDEX('Budget by Source'!$A$6:$I$330,MATCH('Payment by Source'!$A260,'Budget by Source'!$A$6:$A$330,0),MATCH(T$3,'Budget by Source'!$A$5:$I$5,0))-(ROUND(INDEX('Budget by Source'!$A$6:$I$330,MATCH('Payment by Source'!$A260,'Budget by Source'!$A$6:$A$330,0),MATCH(T$3,'Budget by Source'!$A$5:$I$5,0))/10,0)*10)</f>
        <v>-2</v>
      </c>
      <c r="U260" s="155">
        <f>INDEX('Budget by Source'!$A$6:$I$330,MATCH('Payment by Source'!$A260,'Budget by Source'!$A$6:$A$330,0),MATCH(U$3,'Budget by Source'!$A$5:$I$5,0))</f>
        <v>3466378</v>
      </c>
      <c r="V260" s="152">
        <f t="shared" si="10"/>
        <v>346638</v>
      </c>
      <c r="W260" s="152">
        <f t="shared" si="11"/>
        <v>3466380</v>
      </c>
    </row>
    <row r="261" spans="1:23" x14ac:dyDescent="0.2">
      <c r="A261" s="23" t="str">
        <f>Data!B257</f>
        <v>6003</v>
      </c>
      <c r="B261" s="21" t="str">
        <f>INDEX(Data[],MATCH($A261,Data[Dist],0),MATCH(B$5,Data[#Headers],0))</f>
        <v>Sidney</v>
      </c>
      <c r="C261" s="22">
        <f>IF(Notes!$B$2="June",ROUND('Budget by Source'!C261/10,0)+P261,ROUND('Budget by Source'!C261/10,0))</f>
        <v>9122</v>
      </c>
      <c r="D261" s="22">
        <f>IF(Notes!$B$2="June",ROUND('Budget by Source'!D261/10,0)+Q261,ROUND('Budget by Source'!D261/10,0))</f>
        <v>28018</v>
      </c>
      <c r="E261" s="22">
        <f>IF(Notes!$B$2="June",ROUND('Budget by Source'!E261/10,0)+R261,ROUND('Budget by Source'!E261/10,0))</f>
        <v>3176</v>
      </c>
      <c r="F261" s="22">
        <f>IF(Notes!$B$2="June",ROUND('Budget by Source'!F261/10,0)+S261,ROUND('Budget by Source'!F261/10,0))</f>
        <v>2978</v>
      </c>
      <c r="G261" s="22">
        <f>IF(Notes!$B$2="June",ROUND('Budget by Source'!G261/10,0)+T261,ROUND('Budget by Source'!G261/10,0))</f>
        <v>14225</v>
      </c>
      <c r="H261" s="22">
        <f t="shared" si="9"/>
        <v>215730</v>
      </c>
      <c r="I261" s="22">
        <f>INDEX(Data[],MATCH($A261,Data[Dist],0),MATCH(I$5,Data[#Headers],0))</f>
        <v>273249</v>
      </c>
      <c r="K261" s="69">
        <f>INDEX('Payment Total'!$A$7:$H$331,MATCH('Payment by Source'!$A261,'Payment Total'!$A$7:$A$331,0),3)-I261</f>
        <v>0</v>
      </c>
      <c r="P261" s="154">
        <f>INDEX('Budget by Source'!$A$6:$I$330,MATCH('Payment by Source'!$A261,'Budget by Source'!$A$6:$A$330,0),MATCH(P$3,'Budget by Source'!$A$5:$I$5,0))-(ROUND(INDEX('Budget by Source'!$A$6:$I$330,MATCH('Payment by Source'!$A261,'Budget by Source'!$A$6:$A$330,0),MATCH(P$3,'Budget by Source'!$A$5:$I$5,0))/10,0)*10)</f>
        <v>2</v>
      </c>
      <c r="Q261" s="154">
        <f>INDEX('Budget by Source'!$A$6:$I$330,MATCH('Payment by Source'!$A261,'Budget by Source'!$A$6:$A$330,0),MATCH(Q$3,'Budget by Source'!$A$5:$I$5,0))-(ROUND(INDEX('Budget by Source'!$A$6:$I$330,MATCH('Payment by Source'!$A261,'Budget by Source'!$A$6:$A$330,0),MATCH(Q$3,'Budget by Source'!$A$5:$I$5,0))/10,0)*10)</f>
        <v>-2</v>
      </c>
      <c r="R261" s="154">
        <f>INDEX('Budget by Source'!$A$6:$I$330,MATCH('Payment by Source'!$A261,'Budget by Source'!$A$6:$A$330,0),MATCH(R$3,'Budget by Source'!$A$5:$I$5,0))-(ROUND(INDEX('Budget by Source'!$A$6:$I$330,MATCH('Payment by Source'!$A261,'Budget by Source'!$A$6:$A$330,0),MATCH(R$3,'Budget by Source'!$A$5:$I$5,0))/10,0)*10)</f>
        <v>0</v>
      </c>
      <c r="S261" s="154">
        <f>INDEX('Budget by Source'!$A$6:$I$330,MATCH('Payment by Source'!$A261,'Budget by Source'!$A$6:$A$330,0),MATCH(S$3,'Budget by Source'!$A$5:$I$5,0))-(ROUND(INDEX('Budget by Source'!$A$6:$I$330,MATCH('Payment by Source'!$A261,'Budget by Source'!$A$6:$A$330,0),MATCH(S$3,'Budget by Source'!$A$5:$I$5,0))/10,0)*10)</f>
        <v>0</v>
      </c>
      <c r="T261" s="154">
        <f>INDEX('Budget by Source'!$A$6:$I$330,MATCH('Payment by Source'!$A261,'Budget by Source'!$A$6:$A$330,0),MATCH(T$3,'Budget by Source'!$A$5:$I$5,0))-(ROUND(INDEX('Budget by Source'!$A$6:$I$330,MATCH('Payment by Source'!$A261,'Budget by Source'!$A$6:$A$330,0),MATCH(T$3,'Budget by Source'!$A$5:$I$5,0))/10,0)*10)</f>
        <v>3</v>
      </c>
      <c r="U261" s="155">
        <f>INDEX('Budget by Source'!$A$6:$I$330,MATCH('Payment by Source'!$A261,'Budget by Source'!$A$6:$A$330,0),MATCH(U$3,'Budget by Source'!$A$5:$I$5,0))</f>
        <v>2157299</v>
      </c>
      <c r="V261" s="152">
        <f t="shared" si="10"/>
        <v>215730</v>
      </c>
      <c r="W261" s="152">
        <f t="shared" si="11"/>
        <v>2157300</v>
      </c>
    </row>
    <row r="262" spans="1:23" x14ac:dyDescent="0.2">
      <c r="A262" s="23" t="str">
        <f>Data!B258</f>
        <v>6012</v>
      </c>
      <c r="B262" s="21" t="str">
        <f>INDEX(Data[],MATCH($A262,Data[Dist],0),MATCH(B$5,Data[#Headers],0))</f>
        <v>Sigourney</v>
      </c>
      <c r="C262" s="22">
        <f>IF(Notes!$B$2="June",ROUND('Budget by Source'!C262/10,0)+P262,ROUND('Budget by Source'!C262/10,0))</f>
        <v>11783</v>
      </c>
      <c r="D262" s="22">
        <f>IF(Notes!$B$2="June",ROUND('Budget by Source'!D262/10,0)+Q262,ROUND('Budget by Source'!D262/10,0))</f>
        <v>38526</v>
      </c>
      <c r="E262" s="22">
        <f>IF(Notes!$B$2="June",ROUND('Budget by Source'!E262/10,0)+R262,ROUND('Budget by Source'!E262/10,0))</f>
        <v>4248</v>
      </c>
      <c r="F262" s="22">
        <f>IF(Notes!$B$2="June",ROUND('Budget by Source'!F262/10,0)+S262,ROUND('Budget by Source'!F262/10,0))</f>
        <v>4065</v>
      </c>
      <c r="G262" s="22">
        <f>IF(Notes!$B$2="June",ROUND('Budget by Source'!G262/10,0)+T262,ROUND('Budget by Source'!G262/10,0))</f>
        <v>20354</v>
      </c>
      <c r="H262" s="22">
        <f t="shared" si="9"/>
        <v>321391</v>
      </c>
      <c r="I262" s="22">
        <f>INDEX(Data[],MATCH($A262,Data[Dist],0),MATCH(I$5,Data[#Headers],0))</f>
        <v>400367</v>
      </c>
      <c r="K262" s="69">
        <f>INDEX('Payment Total'!$A$7:$H$331,MATCH('Payment by Source'!$A262,'Payment Total'!$A$7:$A$331,0),3)-I262</f>
        <v>0</v>
      </c>
      <c r="P262" s="154">
        <f>INDEX('Budget by Source'!$A$6:$I$330,MATCH('Payment by Source'!$A262,'Budget by Source'!$A$6:$A$330,0),MATCH(P$3,'Budget by Source'!$A$5:$I$5,0))-(ROUND(INDEX('Budget by Source'!$A$6:$I$330,MATCH('Payment by Source'!$A262,'Budget by Source'!$A$6:$A$330,0),MATCH(P$3,'Budget by Source'!$A$5:$I$5,0))/10,0)*10)</f>
        <v>-1</v>
      </c>
      <c r="Q262" s="154">
        <f>INDEX('Budget by Source'!$A$6:$I$330,MATCH('Payment by Source'!$A262,'Budget by Source'!$A$6:$A$330,0),MATCH(Q$3,'Budget by Source'!$A$5:$I$5,0))-(ROUND(INDEX('Budget by Source'!$A$6:$I$330,MATCH('Payment by Source'!$A262,'Budget by Source'!$A$6:$A$330,0),MATCH(Q$3,'Budget by Source'!$A$5:$I$5,0))/10,0)*10)</f>
        <v>-3</v>
      </c>
      <c r="R262" s="154">
        <f>INDEX('Budget by Source'!$A$6:$I$330,MATCH('Payment by Source'!$A262,'Budget by Source'!$A$6:$A$330,0),MATCH(R$3,'Budget by Source'!$A$5:$I$5,0))-(ROUND(INDEX('Budget by Source'!$A$6:$I$330,MATCH('Payment by Source'!$A262,'Budget by Source'!$A$6:$A$330,0),MATCH(R$3,'Budget by Source'!$A$5:$I$5,0))/10,0)*10)</f>
        <v>-3</v>
      </c>
      <c r="S262" s="154">
        <f>INDEX('Budget by Source'!$A$6:$I$330,MATCH('Payment by Source'!$A262,'Budget by Source'!$A$6:$A$330,0),MATCH(S$3,'Budget by Source'!$A$5:$I$5,0))-(ROUND(INDEX('Budget by Source'!$A$6:$I$330,MATCH('Payment by Source'!$A262,'Budget by Source'!$A$6:$A$330,0),MATCH(S$3,'Budget by Source'!$A$5:$I$5,0))/10,0)*10)</f>
        <v>-1</v>
      </c>
      <c r="T262" s="154">
        <f>INDEX('Budget by Source'!$A$6:$I$330,MATCH('Payment by Source'!$A262,'Budget by Source'!$A$6:$A$330,0),MATCH(T$3,'Budget by Source'!$A$5:$I$5,0))-(ROUND(INDEX('Budget by Source'!$A$6:$I$330,MATCH('Payment by Source'!$A262,'Budget by Source'!$A$6:$A$330,0),MATCH(T$3,'Budget by Source'!$A$5:$I$5,0))/10,0)*10)</f>
        <v>-1</v>
      </c>
      <c r="U262" s="155">
        <f>INDEX('Budget by Source'!$A$6:$I$330,MATCH('Payment by Source'!$A262,'Budget by Source'!$A$6:$A$330,0),MATCH(U$3,'Budget by Source'!$A$5:$I$5,0))</f>
        <v>3213920</v>
      </c>
      <c r="V262" s="152">
        <f t="shared" si="10"/>
        <v>321392</v>
      </c>
      <c r="W262" s="152">
        <f t="shared" si="11"/>
        <v>3213920</v>
      </c>
    </row>
    <row r="263" spans="1:23" x14ac:dyDescent="0.2">
      <c r="A263" s="23" t="str">
        <f>Data!B259</f>
        <v>6030</v>
      </c>
      <c r="B263" s="21" t="str">
        <f>INDEX(Data[],MATCH($A263,Data[Dist],0),MATCH(B$5,Data[#Headers],0))</f>
        <v>Sioux Center</v>
      </c>
      <c r="C263" s="22">
        <f>IF(Notes!$B$2="June",ROUND('Budget by Source'!C263/10,0)+P263,ROUND('Budget by Source'!C263/10,0))</f>
        <v>51312</v>
      </c>
      <c r="D263" s="22">
        <f>IF(Notes!$B$2="June",ROUND('Budget by Source'!D263/10,0)+Q263,ROUND('Budget by Source'!D263/10,0))</f>
        <v>99053</v>
      </c>
      <c r="E263" s="22">
        <f>IF(Notes!$B$2="June",ROUND('Budget by Source'!E263/10,0)+R263,ROUND('Budget by Source'!E263/10,0))</f>
        <v>13262</v>
      </c>
      <c r="F263" s="22">
        <f>IF(Notes!$B$2="June",ROUND('Budget by Source'!F263/10,0)+S263,ROUND('Budget by Source'!F263/10,0))</f>
        <v>12569</v>
      </c>
      <c r="G263" s="22">
        <f>IF(Notes!$B$2="June",ROUND('Budget by Source'!G263/10,0)+T263,ROUND('Budget by Source'!G263/10,0))</f>
        <v>55294</v>
      </c>
      <c r="H263" s="22">
        <f t="shared" ref="H263:H326" si="12">I263-SUM(C263:G263)</f>
        <v>876587</v>
      </c>
      <c r="I263" s="22">
        <f>INDEX(Data[],MATCH($A263,Data[Dist],0),MATCH(I$5,Data[#Headers],0))</f>
        <v>1108077</v>
      </c>
      <c r="K263" s="69">
        <f>INDEX('Payment Total'!$A$7:$H$331,MATCH('Payment by Source'!$A263,'Payment Total'!$A$7:$A$331,0),3)-I263</f>
        <v>0</v>
      </c>
      <c r="P263" s="154">
        <f>INDEX('Budget by Source'!$A$6:$I$330,MATCH('Payment by Source'!$A263,'Budget by Source'!$A$6:$A$330,0),MATCH(P$3,'Budget by Source'!$A$5:$I$5,0))-(ROUND(INDEX('Budget by Source'!$A$6:$I$330,MATCH('Payment by Source'!$A263,'Budget by Source'!$A$6:$A$330,0),MATCH(P$3,'Budget by Source'!$A$5:$I$5,0))/10,0)*10)</f>
        <v>4</v>
      </c>
      <c r="Q263" s="154">
        <f>INDEX('Budget by Source'!$A$6:$I$330,MATCH('Payment by Source'!$A263,'Budget by Source'!$A$6:$A$330,0),MATCH(Q$3,'Budget by Source'!$A$5:$I$5,0))-(ROUND(INDEX('Budget by Source'!$A$6:$I$330,MATCH('Payment by Source'!$A263,'Budget by Source'!$A$6:$A$330,0),MATCH(Q$3,'Budget by Source'!$A$5:$I$5,0))/10,0)*10)</f>
        <v>4</v>
      </c>
      <c r="R263" s="154">
        <f>INDEX('Budget by Source'!$A$6:$I$330,MATCH('Payment by Source'!$A263,'Budget by Source'!$A$6:$A$330,0),MATCH(R$3,'Budget by Source'!$A$5:$I$5,0))-(ROUND(INDEX('Budget by Source'!$A$6:$I$330,MATCH('Payment by Source'!$A263,'Budget by Source'!$A$6:$A$330,0),MATCH(R$3,'Budget by Source'!$A$5:$I$5,0))/10,0)*10)</f>
        <v>0</v>
      </c>
      <c r="S263" s="154">
        <f>INDEX('Budget by Source'!$A$6:$I$330,MATCH('Payment by Source'!$A263,'Budget by Source'!$A$6:$A$330,0),MATCH(S$3,'Budget by Source'!$A$5:$I$5,0))-(ROUND(INDEX('Budget by Source'!$A$6:$I$330,MATCH('Payment by Source'!$A263,'Budget by Source'!$A$6:$A$330,0),MATCH(S$3,'Budget by Source'!$A$5:$I$5,0))/10,0)*10)</f>
        <v>-1</v>
      </c>
      <c r="T263" s="154">
        <f>INDEX('Budget by Source'!$A$6:$I$330,MATCH('Payment by Source'!$A263,'Budget by Source'!$A$6:$A$330,0),MATCH(T$3,'Budget by Source'!$A$5:$I$5,0))-(ROUND(INDEX('Budget by Source'!$A$6:$I$330,MATCH('Payment by Source'!$A263,'Budget by Source'!$A$6:$A$330,0),MATCH(T$3,'Budget by Source'!$A$5:$I$5,0))/10,0)*10)</f>
        <v>2</v>
      </c>
      <c r="U263" s="155">
        <f>INDEX('Budget by Source'!$A$6:$I$330,MATCH('Payment by Source'!$A263,'Budget by Source'!$A$6:$A$330,0),MATCH(U$3,'Budget by Source'!$A$5:$I$5,0))</f>
        <v>8765862</v>
      </c>
      <c r="V263" s="152">
        <f t="shared" ref="V263:V326" si="13">ROUND(U263/10,0)</f>
        <v>876586</v>
      </c>
      <c r="W263" s="152">
        <f t="shared" ref="W263:W326" si="14">V263*10</f>
        <v>8765860</v>
      </c>
    </row>
    <row r="264" spans="1:23" x14ac:dyDescent="0.2">
      <c r="A264" s="23" t="str">
        <f>Data!B260</f>
        <v>6039</v>
      </c>
      <c r="B264" s="21" t="str">
        <f>INDEX(Data[],MATCH($A264,Data[Dist],0),MATCH(B$5,Data[#Headers],0))</f>
        <v>Sioux City</v>
      </c>
      <c r="C264" s="22">
        <f>IF(Notes!$B$2="June",ROUND('Budget by Source'!C264/10,0)+P264,ROUND('Budget by Source'!C264/10,0))</f>
        <v>231096</v>
      </c>
      <c r="D264" s="22">
        <f>IF(Notes!$B$2="June",ROUND('Budget by Source'!D264/10,0)+Q264,ROUND('Budget by Source'!D264/10,0))</f>
        <v>946834</v>
      </c>
      <c r="E264" s="22">
        <f>IF(Notes!$B$2="June",ROUND('Budget by Source'!E264/10,0)+R264,ROUND('Budget by Source'!E264/10,0))</f>
        <v>138512</v>
      </c>
      <c r="F264" s="22">
        <f>IF(Notes!$B$2="June",ROUND('Budget by Source'!F264/10,0)+S264,ROUND('Budget by Source'!F264/10,0))</f>
        <v>112246</v>
      </c>
      <c r="G264" s="22">
        <f>IF(Notes!$B$2="June",ROUND('Budget by Source'!G264/10,0)+T264,ROUND('Budget by Source'!G264/10,0))</f>
        <v>546880</v>
      </c>
      <c r="H264" s="22">
        <f t="shared" si="12"/>
        <v>11009249</v>
      </c>
      <c r="I264" s="22">
        <f>INDEX(Data[],MATCH($A264,Data[Dist],0),MATCH(I$5,Data[#Headers],0))</f>
        <v>12984817</v>
      </c>
      <c r="K264" s="69">
        <f>INDEX('Payment Total'!$A$7:$H$331,MATCH('Payment by Source'!$A264,'Payment Total'!$A$7:$A$331,0),3)-I264</f>
        <v>0</v>
      </c>
      <c r="P264" s="154">
        <f>INDEX('Budget by Source'!$A$6:$I$330,MATCH('Payment by Source'!$A264,'Budget by Source'!$A$6:$A$330,0),MATCH(P$3,'Budget by Source'!$A$5:$I$5,0))-(ROUND(INDEX('Budget by Source'!$A$6:$I$330,MATCH('Payment by Source'!$A264,'Budget by Source'!$A$6:$A$330,0),MATCH(P$3,'Budget by Source'!$A$5:$I$5,0))/10,0)*10)</f>
        <v>-4</v>
      </c>
      <c r="Q264" s="154">
        <f>INDEX('Budget by Source'!$A$6:$I$330,MATCH('Payment by Source'!$A264,'Budget by Source'!$A$6:$A$330,0),MATCH(Q$3,'Budget by Source'!$A$5:$I$5,0))-(ROUND(INDEX('Budget by Source'!$A$6:$I$330,MATCH('Payment by Source'!$A264,'Budget by Source'!$A$6:$A$330,0),MATCH(Q$3,'Budget by Source'!$A$5:$I$5,0))/10,0)*10)</f>
        <v>3</v>
      </c>
      <c r="R264" s="154">
        <f>INDEX('Budget by Source'!$A$6:$I$330,MATCH('Payment by Source'!$A264,'Budget by Source'!$A$6:$A$330,0),MATCH(R$3,'Budget by Source'!$A$5:$I$5,0))-(ROUND(INDEX('Budget by Source'!$A$6:$I$330,MATCH('Payment by Source'!$A264,'Budget by Source'!$A$6:$A$330,0),MATCH(R$3,'Budget by Source'!$A$5:$I$5,0))/10,0)*10)</f>
        <v>-1</v>
      </c>
      <c r="S264" s="154">
        <f>INDEX('Budget by Source'!$A$6:$I$330,MATCH('Payment by Source'!$A264,'Budget by Source'!$A$6:$A$330,0),MATCH(S$3,'Budget by Source'!$A$5:$I$5,0))-(ROUND(INDEX('Budget by Source'!$A$6:$I$330,MATCH('Payment by Source'!$A264,'Budget by Source'!$A$6:$A$330,0),MATCH(S$3,'Budget by Source'!$A$5:$I$5,0))/10,0)*10)</f>
        <v>0</v>
      </c>
      <c r="T264" s="154">
        <f>INDEX('Budget by Source'!$A$6:$I$330,MATCH('Payment by Source'!$A264,'Budget by Source'!$A$6:$A$330,0),MATCH(T$3,'Budget by Source'!$A$5:$I$5,0))-(ROUND(INDEX('Budget by Source'!$A$6:$I$330,MATCH('Payment by Source'!$A264,'Budget by Source'!$A$6:$A$330,0),MATCH(T$3,'Budget by Source'!$A$5:$I$5,0))/10,0)*10)</f>
        <v>1</v>
      </c>
      <c r="U264" s="155">
        <f>INDEX('Budget by Source'!$A$6:$I$330,MATCH('Payment by Source'!$A264,'Budget by Source'!$A$6:$A$330,0),MATCH(U$3,'Budget by Source'!$A$5:$I$5,0))</f>
        <v>110092494</v>
      </c>
      <c r="V264" s="152">
        <f t="shared" si="13"/>
        <v>11009249</v>
      </c>
      <c r="W264" s="152">
        <f t="shared" si="14"/>
        <v>110092490</v>
      </c>
    </row>
    <row r="265" spans="1:23" x14ac:dyDescent="0.2">
      <c r="A265" s="23" t="str">
        <f>Data!B261</f>
        <v>6048</v>
      </c>
      <c r="B265" s="21" t="str">
        <f>INDEX(Data[],MATCH($A265,Data[Dist],0),MATCH(B$5,Data[#Headers],0))</f>
        <v>Sioux Central</v>
      </c>
      <c r="C265" s="22">
        <f>IF(Notes!$B$2="June",ROUND('Budget by Source'!C265/10,0)+P265,ROUND('Budget by Source'!C265/10,0))</f>
        <v>12923</v>
      </c>
      <c r="D265" s="22">
        <f>IF(Notes!$B$2="June",ROUND('Budget by Source'!D265/10,0)+Q265,ROUND('Budget by Source'!D265/10,0))</f>
        <v>34204</v>
      </c>
      <c r="E265" s="22">
        <f>IF(Notes!$B$2="June",ROUND('Budget by Source'!E265/10,0)+R265,ROUND('Budget by Source'!E265/10,0))</f>
        <v>3625</v>
      </c>
      <c r="F265" s="22">
        <f>IF(Notes!$B$2="June",ROUND('Budget by Source'!F265/10,0)+S265,ROUND('Budget by Source'!F265/10,0))</f>
        <v>3914</v>
      </c>
      <c r="G265" s="22">
        <f>IF(Notes!$B$2="June",ROUND('Budget by Source'!G265/10,0)+T265,ROUND('Budget by Source'!G265/10,0))</f>
        <v>16263</v>
      </c>
      <c r="H265" s="22">
        <f t="shared" si="12"/>
        <v>199900</v>
      </c>
      <c r="I265" s="22">
        <f>INDEX(Data[],MATCH($A265,Data[Dist],0),MATCH(I$5,Data[#Headers],0))</f>
        <v>270829</v>
      </c>
      <c r="K265" s="69">
        <f>INDEX('Payment Total'!$A$7:$H$331,MATCH('Payment by Source'!$A265,'Payment Total'!$A$7:$A$331,0),3)-I265</f>
        <v>0</v>
      </c>
      <c r="P265" s="154">
        <f>INDEX('Budget by Source'!$A$6:$I$330,MATCH('Payment by Source'!$A265,'Budget by Source'!$A$6:$A$330,0),MATCH(P$3,'Budget by Source'!$A$5:$I$5,0))-(ROUND(INDEX('Budget by Source'!$A$6:$I$330,MATCH('Payment by Source'!$A265,'Budget by Source'!$A$6:$A$330,0),MATCH(P$3,'Budget by Source'!$A$5:$I$5,0))/10,0)*10)</f>
        <v>1</v>
      </c>
      <c r="Q265" s="154">
        <f>INDEX('Budget by Source'!$A$6:$I$330,MATCH('Payment by Source'!$A265,'Budget by Source'!$A$6:$A$330,0),MATCH(Q$3,'Budget by Source'!$A$5:$I$5,0))-(ROUND(INDEX('Budget by Source'!$A$6:$I$330,MATCH('Payment by Source'!$A265,'Budget by Source'!$A$6:$A$330,0),MATCH(Q$3,'Budget by Source'!$A$5:$I$5,0))/10,0)*10)</f>
        <v>3</v>
      </c>
      <c r="R265" s="154">
        <f>INDEX('Budget by Source'!$A$6:$I$330,MATCH('Payment by Source'!$A265,'Budget by Source'!$A$6:$A$330,0),MATCH(R$3,'Budget by Source'!$A$5:$I$5,0))-(ROUND(INDEX('Budget by Source'!$A$6:$I$330,MATCH('Payment by Source'!$A265,'Budget by Source'!$A$6:$A$330,0),MATCH(R$3,'Budget by Source'!$A$5:$I$5,0))/10,0)*10)</f>
        <v>-2</v>
      </c>
      <c r="S265" s="154">
        <f>INDEX('Budget by Source'!$A$6:$I$330,MATCH('Payment by Source'!$A265,'Budget by Source'!$A$6:$A$330,0),MATCH(S$3,'Budget by Source'!$A$5:$I$5,0))-(ROUND(INDEX('Budget by Source'!$A$6:$I$330,MATCH('Payment by Source'!$A265,'Budget by Source'!$A$6:$A$330,0),MATCH(S$3,'Budget by Source'!$A$5:$I$5,0))/10,0)*10)</f>
        <v>-1</v>
      </c>
      <c r="T265" s="154">
        <f>INDEX('Budget by Source'!$A$6:$I$330,MATCH('Payment by Source'!$A265,'Budget by Source'!$A$6:$A$330,0),MATCH(T$3,'Budget by Source'!$A$5:$I$5,0))-(ROUND(INDEX('Budget by Source'!$A$6:$I$330,MATCH('Payment by Source'!$A265,'Budget by Source'!$A$6:$A$330,0),MATCH(T$3,'Budget by Source'!$A$5:$I$5,0))/10,0)*10)</f>
        <v>2</v>
      </c>
      <c r="U265" s="155">
        <f>INDEX('Budget by Source'!$A$6:$I$330,MATCH('Payment by Source'!$A265,'Budget by Source'!$A$6:$A$330,0),MATCH(U$3,'Budget by Source'!$A$5:$I$5,0))</f>
        <v>1999001</v>
      </c>
      <c r="V265" s="152">
        <f t="shared" si="13"/>
        <v>199900</v>
      </c>
      <c r="W265" s="152">
        <f t="shared" si="14"/>
        <v>1999000</v>
      </c>
    </row>
    <row r="266" spans="1:23" x14ac:dyDescent="0.2">
      <c r="A266" s="23" t="str">
        <f>Data!B262</f>
        <v>6091</v>
      </c>
      <c r="B266" s="21" t="str">
        <f>INDEX(Data[],MATCH($A266,Data[Dist],0),MATCH(B$5,Data[#Headers],0))</f>
        <v>South Central Calhoun</v>
      </c>
      <c r="C266" s="22">
        <f>IF(Notes!$B$2="June",ROUND('Budget by Source'!C266/10,0)+P266,ROUND('Budget by Source'!C266/10,0))</f>
        <v>19385</v>
      </c>
      <c r="D266" s="22">
        <f>IF(Notes!$B$2="June",ROUND('Budget by Source'!D266/10,0)+Q266,ROUND('Budget by Source'!D266/10,0))</f>
        <v>66722</v>
      </c>
      <c r="E266" s="22">
        <f>IF(Notes!$B$2="June",ROUND('Budget by Source'!E266/10,0)+R266,ROUND('Budget by Source'!E266/10,0))</f>
        <v>7302</v>
      </c>
      <c r="F266" s="22">
        <f>IF(Notes!$B$2="June",ROUND('Budget by Source'!F266/10,0)+S266,ROUND('Budget by Source'!F266/10,0))</f>
        <v>6891</v>
      </c>
      <c r="G266" s="22">
        <f>IF(Notes!$B$2="June",ROUND('Budget by Source'!G266/10,0)+T266,ROUND('Budget by Source'!G266/10,0))</f>
        <v>34218</v>
      </c>
      <c r="H266" s="22">
        <f t="shared" si="12"/>
        <v>391031</v>
      </c>
      <c r="I266" s="22">
        <f>INDEX(Data[],MATCH($A266,Data[Dist],0),MATCH(I$5,Data[#Headers],0))</f>
        <v>525549</v>
      </c>
      <c r="K266" s="69">
        <f>INDEX('Payment Total'!$A$7:$H$331,MATCH('Payment by Source'!$A266,'Payment Total'!$A$7:$A$331,0),3)-I266</f>
        <v>0</v>
      </c>
      <c r="P266" s="154">
        <f>INDEX('Budget by Source'!$A$6:$I$330,MATCH('Payment by Source'!$A266,'Budget by Source'!$A$6:$A$330,0),MATCH(P$3,'Budget by Source'!$A$5:$I$5,0))-(ROUND(INDEX('Budget by Source'!$A$6:$I$330,MATCH('Payment by Source'!$A266,'Budget by Source'!$A$6:$A$330,0),MATCH(P$3,'Budget by Source'!$A$5:$I$5,0))/10,0)*10)</f>
        <v>-3</v>
      </c>
      <c r="Q266" s="154">
        <f>INDEX('Budget by Source'!$A$6:$I$330,MATCH('Payment by Source'!$A266,'Budget by Source'!$A$6:$A$330,0),MATCH(Q$3,'Budget by Source'!$A$5:$I$5,0))-(ROUND(INDEX('Budget by Source'!$A$6:$I$330,MATCH('Payment by Source'!$A266,'Budget by Source'!$A$6:$A$330,0),MATCH(Q$3,'Budget by Source'!$A$5:$I$5,0))/10,0)*10)</f>
        <v>0</v>
      </c>
      <c r="R266" s="154">
        <f>INDEX('Budget by Source'!$A$6:$I$330,MATCH('Payment by Source'!$A266,'Budget by Source'!$A$6:$A$330,0),MATCH(R$3,'Budget by Source'!$A$5:$I$5,0))-(ROUND(INDEX('Budget by Source'!$A$6:$I$330,MATCH('Payment by Source'!$A266,'Budget by Source'!$A$6:$A$330,0),MATCH(R$3,'Budget by Source'!$A$5:$I$5,0))/10,0)*10)</f>
        <v>-3</v>
      </c>
      <c r="S266" s="154">
        <f>INDEX('Budget by Source'!$A$6:$I$330,MATCH('Payment by Source'!$A266,'Budget by Source'!$A$6:$A$330,0),MATCH(S$3,'Budget by Source'!$A$5:$I$5,0))-(ROUND(INDEX('Budget by Source'!$A$6:$I$330,MATCH('Payment by Source'!$A266,'Budget by Source'!$A$6:$A$330,0),MATCH(S$3,'Budget by Source'!$A$5:$I$5,0))/10,0)*10)</f>
        <v>3</v>
      </c>
      <c r="T266" s="154">
        <f>INDEX('Budget by Source'!$A$6:$I$330,MATCH('Payment by Source'!$A266,'Budget by Source'!$A$6:$A$330,0),MATCH(T$3,'Budget by Source'!$A$5:$I$5,0))-(ROUND(INDEX('Budget by Source'!$A$6:$I$330,MATCH('Payment by Source'!$A266,'Budget by Source'!$A$6:$A$330,0),MATCH(T$3,'Budget by Source'!$A$5:$I$5,0))/10,0)*10)</f>
        <v>0</v>
      </c>
      <c r="U266" s="155">
        <f>INDEX('Budget by Source'!$A$6:$I$330,MATCH('Payment by Source'!$A266,'Budget by Source'!$A$6:$A$330,0),MATCH(U$3,'Budget by Source'!$A$5:$I$5,0))</f>
        <v>3910313</v>
      </c>
      <c r="V266" s="152">
        <f t="shared" si="13"/>
        <v>391031</v>
      </c>
      <c r="W266" s="152">
        <f t="shared" si="14"/>
        <v>3910310</v>
      </c>
    </row>
    <row r="267" spans="1:23" x14ac:dyDescent="0.2">
      <c r="A267" s="23" t="str">
        <f>Data!B263</f>
        <v>6093</v>
      </c>
      <c r="B267" s="21" t="str">
        <f>INDEX(Data[],MATCH($A267,Data[Dist],0),MATCH(B$5,Data[#Headers],0))</f>
        <v>Solon</v>
      </c>
      <c r="C267" s="22">
        <f>IF(Notes!$B$2="June",ROUND('Budget by Source'!C267/10,0)+P267,ROUND('Budget by Source'!C267/10,0))</f>
        <v>23566</v>
      </c>
      <c r="D267" s="22">
        <f>IF(Notes!$B$2="June",ROUND('Budget by Source'!D267/10,0)+Q267,ROUND('Budget by Source'!D267/10,0))</f>
        <v>91364</v>
      </c>
      <c r="E267" s="22">
        <f>IF(Notes!$B$2="June",ROUND('Budget by Source'!E267/10,0)+R267,ROUND('Budget by Source'!E267/10,0))</f>
        <v>8939</v>
      </c>
      <c r="F267" s="22">
        <f>IF(Notes!$B$2="June",ROUND('Budget by Source'!F267/10,0)+S267,ROUND('Budget by Source'!F267/10,0))</f>
        <v>9558</v>
      </c>
      <c r="G267" s="22">
        <f>IF(Notes!$B$2="June",ROUND('Budget by Source'!G267/10,0)+T267,ROUND('Budget by Source'!G267/10,0))</f>
        <v>53485</v>
      </c>
      <c r="H267" s="22">
        <f t="shared" si="12"/>
        <v>755337</v>
      </c>
      <c r="I267" s="22">
        <f>INDEX(Data[],MATCH($A267,Data[Dist],0),MATCH(I$5,Data[#Headers],0))</f>
        <v>942249</v>
      </c>
      <c r="K267" s="69">
        <f>INDEX('Payment Total'!$A$7:$H$331,MATCH('Payment by Source'!$A267,'Payment Total'!$A$7:$A$331,0),3)-I267</f>
        <v>0</v>
      </c>
      <c r="P267" s="154">
        <f>INDEX('Budget by Source'!$A$6:$I$330,MATCH('Payment by Source'!$A267,'Budget by Source'!$A$6:$A$330,0),MATCH(P$3,'Budget by Source'!$A$5:$I$5,0))-(ROUND(INDEX('Budget by Source'!$A$6:$I$330,MATCH('Payment by Source'!$A267,'Budget by Source'!$A$6:$A$330,0),MATCH(P$3,'Budget by Source'!$A$5:$I$5,0))/10,0)*10)</f>
        <v>-3</v>
      </c>
      <c r="Q267" s="154">
        <f>INDEX('Budget by Source'!$A$6:$I$330,MATCH('Payment by Source'!$A267,'Budget by Source'!$A$6:$A$330,0),MATCH(Q$3,'Budget by Source'!$A$5:$I$5,0))-(ROUND(INDEX('Budget by Source'!$A$6:$I$330,MATCH('Payment by Source'!$A267,'Budget by Source'!$A$6:$A$330,0),MATCH(Q$3,'Budget by Source'!$A$5:$I$5,0))/10,0)*10)</f>
        <v>-3</v>
      </c>
      <c r="R267" s="154">
        <f>INDEX('Budget by Source'!$A$6:$I$330,MATCH('Payment by Source'!$A267,'Budget by Source'!$A$6:$A$330,0),MATCH(R$3,'Budget by Source'!$A$5:$I$5,0))-(ROUND(INDEX('Budget by Source'!$A$6:$I$330,MATCH('Payment by Source'!$A267,'Budget by Source'!$A$6:$A$330,0),MATCH(R$3,'Budget by Source'!$A$5:$I$5,0))/10,0)*10)</f>
        <v>-4</v>
      </c>
      <c r="S267" s="154">
        <f>INDEX('Budget by Source'!$A$6:$I$330,MATCH('Payment by Source'!$A267,'Budget by Source'!$A$6:$A$330,0),MATCH(S$3,'Budget by Source'!$A$5:$I$5,0))-(ROUND(INDEX('Budget by Source'!$A$6:$I$330,MATCH('Payment by Source'!$A267,'Budget by Source'!$A$6:$A$330,0),MATCH(S$3,'Budget by Source'!$A$5:$I$5,0))/10,0)*10)</f>
        <v>3</v>
      </c>
      <c r="T267" s="154">
        <f>INDEX('Budget by Source'!$A$6:$I$330,MATCH('Payment by Source'!$A267,'Budget by Source'!$A$6:$A$330,0),MATCH(T$3,'Budget by Source'!$A$5:$I$5,0))-(ROUND(INDEX('Budget by Source'!$A$6:$I$330,MATCH('Payment by Source'!$A267,'Budget by Source'!$A$6:$A$330,0),MATCH(T$3,'Budget by Source'!$A$5:$I$5,0))/10,0)*10)</f>
        <v>-2</v>
      </c>
      <c r="U267" s="155">
        <f>INDEX('Budget by Source'!$A$6:$I$330,MATCH('Payment by Source'!$A267,'Budget by Source'!$A$6:$A$330,0),MATCH(U$3,'Budget by Source'!$A$5:$I$5,0))</f>
        <v>7553377</v>
      </c>
      <c r="V267" s="152">
        <f t="shared" si="13"/>
        <v>755338</v>
      </c>
      <c r="W267" s="152">
        <f t="shared" si="14"/>
        <v>7553380</v>
      </c>
    </row>
    <row r="268" spans="1:23" x14ac:dyDescent="0.2">
      <c r="A268" s="23" t="str">
        <f>Data!B264</f>
        <v>6094</v>
      </c>
      <c r="B268" s="21" t="str">
        <f>INDEX(Data[],MATCH($A268,Data[Dist],0),MATCH(B$5,Data[#Headers],0))</f>
        <v>Southeast Warren</v>
      </c>
      <c r="C268" s="22">
        <f>IF(Notes!$B$2="June",ROUND('Budget by Source'!C268/10,0)+P268,ROUND('Budget by Source'!C268/10,0))</f>
        <v>7982</v>
      </c>
      <c r="D268" s="22">
        <f>IF(Notes!$B$2="June",ROUND('Budget by Source'!D268/10,0)+Q268,ROUND('Budget by Source'!D268/10,0))</f>
        <v>34406</v>
      </c>
      <c r="E268" s="22">
        <f>IF(Notes!$B$2="June",ROUND('Budget by Source'!E268/10,0)+R268,ROUND('Budget by Source'!E268/10,0))</f>
        <v>3563</v>
      </c>
      <c r="F268" s="22">
        <f>IF(Notes!$B$2="June",ROUND('Budget by Source'!F268/10,0)+S268,ROUND('Budget by Source'!F268/10,0))</f>
        <v>3656</v>
      </c>
      <c r="G268" s="22">
        <f>IF(Notes!$B$2="June",ROUND('Budget by Source'!G268/10,0)+T268,ROUND('Budget by Source'!G268/10,0))</f>
        <v>19017</v>
      </c>
      <c r="H268" s="22">
        <f t="shared" si="12"/>
        <v>308248</v>
      </c>
      <c r="I268" s="22">
        <f>INDEX(Data[],MATCH($A268,Data[Dist],0),MATCH(I$5,Data[#Headers],0))</f>
        <v>376872</v>
      </c>
      <c r="K268" s="69">
        <f>INDEX('Payment Total'!$A$7:$H$331,MATCH('Payment by Source'!$A268,'Payment Total'!$A$7:$A$331,0),3)-I268</f>
        <v>0</v>
      </c>
      <c r="P268" s="154">
        <f>INDEX('Budget by Source'!$A$6:$I$330,MATCH('Payment by Source'!$A268,'Budget by Source'!$A$6:$A$330,0),MATCH(P$3,'Budget by Source'!$A$5:$I$5,0))-(ROUND(INDEX('Budget by Source'!$A$6:$I$330,MATCH('Payment by Source'!$A268,'Budget by Source'!$A$6:$A$330,0),MATCH(P$3,'Budget by Source'!$A$5:$I$5,0))/10,0)*10)</f>
        <v>0</v>
      </c>
      <c r="Q268" s="154">
        <f>INDEX('Budget by Source'!$A$6:$I$330,MATCH('Payment by Source'!$A268,'Budget by Source'!$A$6:$A$330,0),MATCH(Q$3,'Budget by Source'!$A$5:$I$5,0))-(ROUND(INDEX('Budget by Source'!$A$6:$I$330,MATCH('Payment by Source'!$A268,'Budget by Source'!$A$6:$A$330,0),MATCH(Q$3,'Budget by Source'!$A$5:$I$5,0))/10,0)*10)</f>
        <v>1</v>
      </c>
      <c r="R268" s="154">
        <f>INDEX('Budget by Source'!$A$6:$I$330,MATCH('Payment by Source'!$A268,'Budget by Source'!$A$6:$A$330,0),MATCH(R$3,'Budget by Source'!$A$5:$I$5,0))-(ROUND(INDEX('Budget by Source'!$A$6:$I$330,MATCH('Payment by Source'!$A268,'Budget by Source'!$A$6:$A$330,0),MATCH(R$3,'Budget by Source'!$A$5:$I$5,0))/10,0)*10)</f>
        <v>-4</v>
      </c>
      <c r="S268" s="154">
        <f>INDEX('Budget by Source'!$A$6:$I$330,MATCH('Payment by Source'!$A268,'Budget by Source'!$A$6:$A$330,0),MATCH(S$3,'Budget by Source'!$A$5:$I$5,0))-(ROUND(INDEX('Budget by Source'!$A$6:$I$330,MATCH('Payment by Source'!$A268,'Budget by Source'!$A$6:$A$330,0),MATCH(S$3,'Budget by Source'!$A$5:$I$5,0))/10,0)*10)</f>
        <v>2</v>
      </c>
      <c r="T268" s="154">
        <f>INDEX('Budget by Source'!$A$6:$I$330,MATCH('Payment by Source'!$A268,'Budget by Source'!$A$6:$A$330,0),MATCH(T$3,'Budget by Source'!$A$5:$I$5,0))-(ROUND(INDEX('Budget by Source'!$A$6:$I$330,MATCH('Payment by Source'!$A268,'Budget by Source'!$A$6:$A$330,0),MATCH(T$3,'Budget by Source'!$A$5:$I$5,0))/10,0)*10)</f>
        <v>1</v>
      </c>
      <c r="U268" s="155">
        <f>INDEX('Budget by Source'!$A$6:$I$330,MATCH('Payment by Source'!$A268,'Budget by Source'!$A$6:$A$330,0),MATCH(U$3,'Budget by Source'!$A$5:$I$5,0))</f>
        <v>3082476</v>
      </c>
      <c r="V268" s="152">
        <f t="shared" si="13"/>
        <v>308248</v>
      </c>
      <c r="W268" s="152">
        <f t="shared" si="14"/>
        <v>3082480</v>
      </c>
    </row>
    <row r="269" spans="1:23" x14ac:dyDescent="0.2">
      <c r="A269" s="23" t="str">
        <f>Data!B265</f>
        <v>6095</v>
      </c>
      <c r="B269" s="21" t="str">
        <f>INDEX(Data[],MATCH($A269,Data[Dist],0),MATCH(B$5,Data[#Headers],0))</f>
        <v>South Hamilton</v>
      </c>
      <c r="C269" s="22">
        <f>IF(Notes!$B$2="June",ROUND('Budget by Source'!C269/10,0)+P269,ROUND('Budget by Source'!C269/10,0))</f>
        <v>13303</v>
      </c>
      <c r="D269" s="22">
        <f>IF(Notes!$B$2="June",ROUND('Budget by Source'!D269/10,0)+Q269,ROUND('Budget by Source'!D269/10,0))</f>
        <v>45111</v>
      </c>
      <c r="E269" s="22">
        <f>IF(Notes!$B$2="June",ROUND('Budget by Source'!E269/10,0)+R269,ROUND('Budget by Source'!E269/10,0))</f>
        <v>5128</v>
      </c>
      <c r="F269" s="22">
        <f>IF(Notes!$B$2="June",ROUND('Budget by Source'!F269/10,0)+S269,ROUND('Budget by Source'!F269/10,0))</f>
        <v>5311</v>
      </c>
      <c r="G269" s="22">
        <f>IF(Notes!$B$2="June",ROUND('Budget by Source'!G269/10,0)+T269,ROUND('Budget by Source'!G269/10,0))</f>
        <v>23096</v>
      </c>
      <c r="H269" s="22">
        <f t="shared" si="12"/>
        <v>273699</v>
      </c>
      <c r="I269" s="22">
        <f>INDEX(Data[],MATCH($A269,Data[Dist],0),MATCH(I$5,Data[#Headers],0))</f>
        <v>365648</v>
      </c>
      <c r="K269" s="69">
        <f>INDEX('Payment Total'!$A$7:$H$331,MATCH('Payment by Source'!$A269,'Payment Total'!$A$7:$A$331,0),3)-I269</f>
        <v>0</v>
      </c>
      <c r="P269" s="154">
        <f>INDEX('Budget by Source'!$A$6:$I$330,MATCH('Payment by Source'!$A269,'Budget by Source'!$A$6:$A$330,0),MATCH(P$3,'Budget by Source'!$A$5:$I$5,0))-(ROUND(INDEX('Budget by Source'!$A$6:$I$330,MATCH('Payment by Source'!$A269,'Budget by Source'!$A$6:$A$330,0),MATCH(P$3,'Budget by Source'!$A$5:$I$5,0))/10,0)*10)</f>
        <v>3</v>
      </c>
      <c r="Q269" s="154">
        <f>INDEX('Budget by Source'!$A$6:$I$330,MATCH('Payment by Source'!$A269,'Budget by Source'!$A$6:$A$330,0),MATCH(Q$3,'Budget by Source'!$A$5:$I$5,0))-(ROUND(INDEX('Budget by Source'!$A$6:$I$330,MATCH('Payment by Source'!$A269,'Budget by Source'!$A$6:$A$330,0),MATCH(Q$3,'Budget by Source'!$A$5:$I$5,0))/10,0)*10)</f>
        <v>-5</v>
      </c>
      <c r="R269" s="154">
        <f>INDEX('Budget by Source'!$A$6:$I$330,MATCH('Payment by Source'!$A269,'Budget by Source'!$A$6:$A$330,0),MATCH(R$3,'Budget by Source'!$A$5:$I$5,0))-(ROUND(INDEX('Budget by Source'!$A$6:$I$330,MATCH('Payment by Source'!$A269,'Budget by Source'!$A$6:$A$330,0),MATCH(R$3,'Budget by Source'!$A$5:$I$5,0))/10,0)*10)</f>
        <v>3</v>
      </c>
      <c r="S269" s="154">
        <f>INDEX('Budget by Source'!$A$6:$I$330,MATCH('Payment by Source'!$A269,'Budget by Source'!$A$6:$A$330,0),MATCH(S$3,'Budget by Source'!$A$5:$I$5,0))-(ROUND(INDEX('Budget by Source'!$A$6:$I$330,MATCH('Payment by Source'!$A269,'Budget by Source'!$A$6:$A$330,0),MATCH(S$3,'Budget by Source'!$A$5:$I$5,0))/10,0)*10)</f>
        <v>-3</v>
      </c>
      <c r="T269" s="154">
        <f>INDEX('Budget by Source'!$A$6:$I$330,MATCH('Payment by Source'!$A269,'Budget by Source'!$A$6:$A$330,0),MATCH(T$3,'Budget by Source'!$A$5:$I$5,0))-(ROUND(INDEX('Budget by Source'!$A$6:$I$330,MATCH('Payment by Source'!$A269,'Budget by Source'!$A$6:$A$330,0),MATCH(T$3,'Budget by Source'!$A$5:$I$5,0))/10,0)*10)</f>
        <v>-2</v>
      </c>
      <c r="U269" s="155">
        <f>INDEX('Budget by Source'!$A$6:$I$330,MATCH('Payment by Source'!$A269,'Budget by Source'!$A$6:$A$330,0),MATCH(U$3,'Budget by Source'!$A$5:$I$5,0))</f>
        <v>2736991</v>
      </c>
      <c r="V269" s="152">
        <f t="shared" si="13"/>
        <v>273699</v>
      </c>
      <c r="W269" s="152">
        <f t="shared" si="14"/>
        <v>2736990</v>
      </c>
    </row>
    <row r="270" spans="1:23" x14ac:dyDescent="0.2">
      <c r="A270" s="23" t="str">
        <f>Data!B266</f>
        <v>6096</v>
      </c>
      <c r="B270" s="21" t="str">
        <f>INDEX(Data[],MATCH($A270,Data[Dist],0),MATCH(B$5,Data[#Headers],0))</f>
        <v>Southeast Valley</v>
      </c>
      <c r="C270" s="22">
        <f>IF(Notes!$B$2="June",ROUND('Budget by Source'!C270/10,0)+P270,ROUND('Budget by Source'!C270/10,0))</f>
        <v>18244</v>
      </c>
      <c r="D270" s="22">
        <f>IF(Notes!$B$2="June",ROUND('Budget by Source'!D270/10,0)+Q270,ROUND('Budget by Source'!D270/10,0))</f>
        <v>78326</v>
      </c>
      <c r="E270" s="22">
        <f>IF(Notes!$B$2="June",ROUND('Budget by Source'!E270/10,0)+R270,ROUND('Budget by Source'!E270/10,0))</f>
        <v>8939</v>
      </c>
      <c r="F270" s="22">
        <f>IF(Notes!$B$2="June",ROUND('Budget by Source'!F270/10,0)+S270,ROUND('Budget by Source'!F270/10,0))</f>
        <v>9224</v>
      </c>
      <c r="G270" s="22">
        <f>IF(Notes!$B$2="June",ROUND('Budget by Source'!G270/10,0)+T270,ROUND('Budget by Source'!G270/10,0))</f>
        <v>40306</v>
      </c>
      <c r="H270" s="22">
        <f t="shared" si="12"/>
        <v>546021</v>
      </c>
      <c r="I270" s="22">
        <f>INDEX(Data[],MATCH($A270,Data[Dist],0),MATCH(I$5,Data[#Headers],0))</f>
        <v>701060</v>
      </c>
      <c r="K270" s="69">
        <f>INDEX('Payment Total'!$A$7:$H$331,MATCH('Payment by Source'!$A270,'Payment Total'!$A$7:$A$331,0),3)-I270</f>
        <v>0</v>
      </c>
      <c r="P270" s="154">
        <f>INDEX('Budget by Source'!$A$6:$I$330,MATCH('Payment by Source'!$A270,'Budget by Source'!$A$6:$A$330,0),MATCH(P$3,'Budget by Source'!$A$5:$I$5,0))-(ROUND(INDEX('Budget by Source'!$A$6:$I$330,MATCH('Payment by Source'!$A270,'Budget by Source'!$A$6:$A$330,0),MATCH(P$3,'Budget by Source'!$A$5:$I$5,0))/10,0)*10)</f>
        <v>4</v>
      </c>
      <c r="Q270" s="154">
        <f>INDEX('Budget by Source'!$A$6:$I$330,MATCH('Payment by Source'!$A270,'Budget by Source'!$A$6:$A$330,0),MATCH(Q$3,'Budget by Source'!$A$5:$I$5,0))-(ROUND(INDEX('Budget by Source'!$A$6:$I$330,MATCH('Payment by Source'!$A270,'Budget by Source'!$A$6:$A$330,0),MATCH(Q$3,'Budget by Source'!$A$5:$I$5,0))/10,0)*10)</f>
        <v>4</v>
      </c>
      <c r="R270" s="154">
        <f>INDEX('Budget by Source'!$A$6:$I$330,MATCH('Payment by Source'!$A270,'Budget by Source'!$A$6:$A$330,0),MATCH(R$3,'Budget by Source'!$A$5:$I$5,0))-(ROUND(INDEX('Budget by Source'!$A$6:$I$330,MATCH('Payment by Source'!$A270,'Budget by Source'!$A$6:$A$330,0),MATCH(R$3,'Budget by Source'!$A$5:$I$5,0))/10,0)*10)</f>
        <v>-2</v>
      </c>
      <c r="S270" s="154">
        <f>INDEX('Budget by Source'!$A$6:$I$330,MATCH('Payment by Source'!$A270,'Budget by Source'!$A$6:$A$330,0),MATCH(S$3,'Budget by Source'!$A$5:$I$5,0))-(ROUND(INDEX('Budget by Source'!$A$6:$I$330,MATCH('Payment by Source'!$A270,'Budget by Source'!$A$6:$A$330,0),MATCH(S$3,'Budget by Source'!$A$5:$I$5,0))/10,0)*10)</f>
        <v>3</v>
      </c>
      <c r="T270" s="154">
        <f>INDEX('Budget by Source'!$A$6:$I$330,MATCH('Payment by Source'!$A270,'Budget by Source'!$A$6:$A$330,0),MATCH(T$3,'Budget by Source'!$A$5:$I$5,0))-(ROUND(INDEX('Budget by Source'!$A$6:$I$330,MATCH('Payment by Source'!$A270,'Budget by Source'!$A$6:$A$330,0),MATCH(T$3,'Budget by Source'!$A$5:$I$5,0))/10,0)*10)</f>
        <v>1</v>
      </c>
      <c r="U270" s="155">
        <f>INDEX('Budget by Source'!$A$6:$I$330,MATCH('Payment by Source'!$A270,'Budget by Source'!$A$6:$A$330,0),MATCH(U$3,'Budget by Source'!$A$5:$I$5,0))</f>
        <v>5460200</v>
      </c>
      <c r="V270" s="152">
        <f t="shared" si="13"/>
        <v>546020</v>
      </c>
      <c r="W270" s="152">
        <f t="shared" si="14"/>
        <v>5460200</v>
      </c>
    </row>
    <row r="271" spans="1:23" x14ac:dyDescent="0.2">
      <c r="A271" s="23" t="str">
        <f>Data!B267</f>
        <v>6097</v>
      </c>
      <c r="B271" s="21" t="str">
        <f>INDEX(Data[],MATCH($A271,Data[Dist],0),MATCH(B$5,Data[#Headers],0))</f>
        <v>South Page</v>
      </c>
      <c r="C271" s="22">
        <f>IF(Notes!$B$2="June",ROUND('Budget by Source'!C271/10,0)+P271,ROUND('Budget by Source'!C271/10,0))</f>
        <v>760</v>
      </c>
      <c r="D271" s="22">
        <f>IF(Notes!$B$2="June",ROUND('Budget by Source'!D271/10,0)+Q271,ROUND('Budget by Source'!D271/10,0))</f>
        <v>14849</v>
      </c>
      <c r="E271" s="22">
        <f>IF(Notes!$B$2="June",ROUND('Budget by Source'!E271/10,0)+R271,ROUND('Budget by Source'!E271/10,0))</f>
        <v>1277</v>
      </c>
      <c r="F271" s="22">
        <f>IF(Notes!$B$2="June",ROUND('Budget by Source'!F271/10,0)+S271,ROUND('Budget by Source'!F271/10,0))</f>
        <v>1509</v>
      </c>
      <c r="G271" s="22">
        <f>IF(Notes!$B$2="June",ROUND('Budget by Source'!G271/10,0)+T271,ROUND('Budget by Source'!G271/10,0))</f>
        <v>7267</v>
      </c>
      <c r="H271" s="22">
        <f t="shared" si="12"/>
        <v>97378</v>
      </c>
      <c r="I271" s="22">
        <f>INDEX(Data[],MATCH($A271,Data[Dist],0),MATCH(I$5,Data[#Headers],0))</f>
        <v>123040</v>
      </c>
      <c r="K271" s="69">
        <f>INDEX('Payment Total'!$A$7:$H$331,MATCH('Payment by Source'!$A271,'Payment Total'!$A$7:$A$331,0),3)-I271</f>
        <v>0</v>
      </c>
      <c r="P271" s="154">
        <f>INDEX('Budget by Source'!$A$6:$I$330,MATCH('Payment by Source'!$A271,'Budget by Source'!$A$6:$A$330,0),MATCH(P$3,'Budget by Source'!$A$5:$I$5,0))-(ROUND(INDEX('Budget by Source'!$A$6:$I$330,MATCH('Payment by Source'!$A271,'Budget by Source'!$A$6:$A$330,0),MATCH(P$3,'Budget by Source'!$A$5:$I$5,0))/10,0)*10)</f>
        <v>2</v>
      </c>
      <c r="Q271" s="154">
        <f>INDEX('Budget by Source'!$A$6:$I$330,MATCH('Payment by Source'!$A271,'Budget by Source'!$A$6:$A$330,0),MATCH(Q$3,'Budget by Source'!$A$5:$I$5,0))-(ROUND(INDEX('Budget by Source'!$A$6:$I$330,MATCH('Payment by Source'!$A271,'Budget by Source'!$A$6:$A$330,0),MATCH(Q$3,'Budget by Source'!$A$5:$I$5,0))/10,0)*10)</f>
        <v>0</v>
      </c>
      <c r="R271" s="154">
        <f>INDEX('Budget by Source'!$A$6:$I$330,MATCH('Payment by Source'!$A271,'Budget by Source'!$A$6:$A$330,0),MATCH(R$3,'Budget by Source'!$A$5:$I$5,0))-(ROUND(INDEX('Budget by Source'!$A$6:$I$330,MATCH('Payment by Source'!$A271,'Budget by Source'!$A$6:$A$330,0),MATCH(R$3,'Budget by Source'!$A$5:$I$5,0))/10,0)*10)</f>
        <v>-1</v>
      </c>
      <c r="S271" s="154">
        <f>INDEX('Budget by Source'!$A$6:$I$330,MATCH('Payment by Source'!$A271,'Budget by Source'!$A$6:$A$330,0),MATCH(S$3,'Budget by Source'!$A$5:$I$5,0))-(ROUND(INDEX('Budget by Source'!$A$6:$I$330,MATCH('Payment by Source'!$A271,'Budget by Source'!$A$6:$A$330,0),MATCH(S$3,'Budget by Source'!$A$5:$I$5,0))/10,0)*10)</f>
        <v>-2</v>
      </c>
      <c r="T271" s="154">
        <f>INDEX('Budget by Source'!$A$6:$I$330,MATCH('Payment by Source'!$A271,'Budget by Source'!$A$6:$A$330,0),MATCH(T$3,'Budget by Source'!$A$5:$I$5,0))-(ROUND(INDEX('Budget by Source'!$A$6:$I$330,MATCH('Payment by Source'!$A271,'Budget by Source'!$A$6:$A$330,0),MATCH(T$3,'Budget by Source'!$A$5:$I$5,0))/10,0)*10)</f>
        <v>-1</v>
      </c>
      <c r="U271" s="155">
        <f>INDEX('Budget by Source'!$A$6:$I$330,MATCH('Payment by Source'!$A271,'Budget by Source'!$A$6:$A$330,0),MATCH(U$3,'Budget by Source'!$A$5:$I$5,0))</f>
        <v>973782</v>
      </c>
      <c r="V271" s="152">
        <f t="shared" si="13"/>
        <v>97378</v>
      </c>
      <c r="W271" s="152">
        <f t="shared" si="14"/>
        <v>973780</v>
      </c>
    </row>
    <row r="272" spans="1:23" x14ac:dyDescent="0.2">
      <c r="A272" s="23" t="str">
        <f>Data!B268</f>
        <v>6098</v>
      </c>
      <c r="B272" s="21" t="str">
        <f>INDEX(Data[],MATCH($A272,Data[Dist],0),MATCH(B$5,Data[#Headers],0))</f>
        <v>South Tama</v>
      </c>
      <c r="C272" s="22">
        <f>IF(Notes!$B$2="June",ROUND('Budget by Source'!C272/10,0)+P272,ROUND('Budget by Source'!C272/10,0))</f>
        <v>26226</v>
      </c>
      <c r="D272" s="22">
        <f>IF(Notes!$B$2="June",ROUND('Budget by Source'!D272/10,0)+Q272,ROUND('Budget by Source'!D272/10,0))</f>
        <v>97490</v>
      </c>
      <c r="E272" s="22">
        <f>IF(Notes!$B$2="June",ROUND('Budget by Source'!E272/10,0)+R272,ROUND('Budget by Source'!E272/10,0))</f>
        <v>12643</v>
      </c>
      <c r="F272" s="22">
        <f>IF(Notes!$B$2="June",ROUND('Budget by Source'!F272/10,0)+S272,ROUND('Budget by Source'!F272/10,0))</f>
        <v>10253</v>
      </c>
      <c r="G272" s="22">
        <f>IF(Notes!$B$2="June",ROUND('Budget by Source'!G272/10,0)+T272,ROUND('Budget by Source'!G272/10,0))</f>
        <v>53341</v>
      </c>
      <c r="H272" s="22">
        <f t="shared" si="12"/>
        <v>970103</v>
      </c>
      <c r="I272" s="22">
        <f>INDEX(Data[],MATCH($A272,Data[Dist],0),MATCH(I$5,Data[#Headers],0))</f>
        <v>1170056</v>
      </c>
      <c r="K272" s="69">
        <f>INDEX('Payment Total'!$A$7:$H$331,MATCH('Payment by Source'!$A272,'Payment Total'!$A$7:$A$331,0),3)-I272</f>
        <v>0</v>
      </c>
      <c r="P272" s="154">
        <f>INDEX('Budget by Source'!$A$6:$I$330,MATCH('Payment by Source'!$A272,'Budget by Source'!$A$6:$A$330,0),MATCH(P$3,'Budget by Source'!$A$5:$I$5,0))-(ROUND(INDEX('Budget by Source'!$A$6:$I$330,MATCH('Payment by Source'!$A272,'Budget by Source'!$A$6:$A$330,0),MATCH(P$3,'Budget by Source'!$A$5:$I$5,0))/10,0)*10)</f>
        <v>4</v>
      </c>
      <c r="Q272" s="154">
        <f>INDEX('Budget by Source'!$A$6:$I$330,MATCH('Payment by Source'!$A272,'Budget by Source'!$A$6:$A$330,0),MATCH(Q$3,'Budget by Source'!$A$5:$I$5,0))-(ROUND(INDEX('Budget by Source'!$A$6:$I$330,MATCH('Payment by Source'!$A272,'Budget by Source'!$A$6:$A$330,0),MATCH(Q$3,'Budget by Source'!$A$5:$I$5,0))/10,0)*10)</f>
        <v>-4</v>
      </c>
      <c r="R272" s="154">
        <f>INDEX('Budget by Source'!$A$6:$I$330,MATCH('Payment by Source'!$A272,'Budget by Source'!$A$6:$A$330,0),MATCH(R$3,'Budget by Source'!$A$5:$I$5,0))-(ROUND(INDEX('Budget by Source'!$A$6:$I$330,MATCH('Payment by Source'!$A272,'Budget by Source'!$A$6:$A$330,0),MATCH(R$3,'Budget by Source'!$A$5:$I$5,0))/10,0)*10)</f>
        <v>0</v>
      </c>
      <c r="S272" s="154">
        <f>INDEX('Budget by Source'!$A$6:$I$330,MATCH('Payment by Source'!$A272,'Budget by Source'!$A$6:$A$330,0),MATCH(S$3,'Budget by Source'!$A$5:$I$5,0))-(ROUND(INDEX('Budget by Source'!$A$6:$I$330,MATCH('Payment by Source'!$A272,'Budget by Source'!$A$6:$A$330,0),MATCH(S$3,'Budget by Source'!$A$5:$I$5,0))/10,0)*10)</f>
        <v>4</v>
      </c>
      <c r="T272" s="154">
        <f>INDEX('Budget by Source'!$A$6:$I$330,MATCH('Payment by Source'!$A272,'Budget by Source'!$A$6:$A$330,0),MATCH(T$3,'Budget by Source'!$A$5:$I$5,0))-(ROUND(INDEX('Budget by Source'!$A$6:$I$330,MATCH('Payment by Source'!$A272,'Budget by Source'!$A$6:$A$330,0),MATCH(T$3,'Budget by Source'!$A$5:$I$5,0))/10,0)*10)</f>
        <v>0</v>
      </c>
      <c r="U272" s="155">
        <f>INDEX('Budget by Source'!$A$6:$I$330,MATCH('Payment by Source'!$A272,'Budget by Source'!$A$6:$A$330,0),MATCH(U$3,'Budget by Source'!$A$5:$I$5,0))</f>
        <v>9701021</v>
      </c>
      <c r="V272" s="152">
        <f t="shared" si="13"/>
        <v>970102</v>
      </c>
      <c r="W272" s="152">
        <f t="shared" si="14"/>
        <v>9701020</v>
      </c>
    </row>
    <row r="273" spans="1:23" x14ac:dyDescent="0.2">
      <c r="A273" s="23" t="str">
        <f>Data!B269</f>
        <v>6100</v>
      </c>
      <c r="B273" s="21" t="str">
        <f>INDEX(Data[],MATCH($A273,Data[Dist],0),MATCH(B$5,Data[#Headers],0))</f>
        <v>South Winneshiek</v>
      </c>
      <c r="C273" s="22">
        <f>IF(Notes!$B$2="June",ROUND('Budget by Source'!C273/10,0)+P273,ROUND('Budget by Source'!C273/10,0))</f>
        <v>19765</v>
      </c>
      <c r="D273" s="22">
        <f>IF(Notes!$B$2="June",ROUND('Budget by Source'!D273/10,0)+Q273,ROUND('Budget by Source'!D273/10,0))</f>
        <v>34861</v>
      </c>
      <c r="E273" s="22">
        <f>IF(Notes!$B$2="June",ROUND('Budget by Source'!E273/10,0)+R273,ROUND('Budget by Source'!E273/10,0))</f>
        <v>3184</v>
      </c>
      <c r="F273" s="22">
        <f>IF(Notes!$B$2="June",ROUND('Budget by Source'!F273/10,0)+S273,ROUND('Budget by Source'!F273/10,0))</f>
        <v>4006</v>
      </c>
      <c r="G273" s="22">
        <f>IF(Notes!$B$2="June",ROUND('Budget by Source'!G273/10,0)+T273,ROUND('Budget by Source'!G273/10,0))</f>
        <v>19042</v>
      </c>
      <c r="H273" s="22">
        <f t="shared" si="12"/>
        <v>272138</v>
      </c>
      <c r="I273" s="22">
        <f>INDEX(Data[],MATCH($A273,Data[Dist],0),MATCH(I$5,Data[#Headers],0))</f>
        <v>352996</v>
      </c>
      <c r="K273" s="69">
        <f>INDEX('Payment Total'!$A$7:$H$331,MATCH('Payment by Source'!$A273,'Payment Total'!$A$7:$A$331,0),3)-I273</f>
        <v>0</v>
      </c>
      <c r="P273" s="154">
        <f>INDEX('Budget by Source'!$A$6:$I$330,MATCH('Payment by Source'!$A273,'Budget by Source'!$A$6:$A$330,0),MATCH(P$3,'Budget by Source'!$A$5:$I$5,0))-(ROUND(INDEX('Budget by Source'!$A$6:$I$330,MATCH('Payment by Source'!$A273,'Budget by Source'!$A$6:$A$330,0),MATCH(P$3,'Budget by Source'!$A$5:$I$5,0))/10,0)*10)</f>
        <v>-2</v>
      </c>
      <c r="Q273" s="154">
        <f>INDEX('Budget by Source'!$A$6:$I$330,MATCH('Payment by Source'!$A273,'Budget by Source'!$A$6:$A$330,0),MATCH(Q$3,'Budget by Source'!$A$5:$I$5,0))-(ROUND(INDEX('Budget by Source'!$A$6:$I$330,MATCH('Payment by Source'!$A273,'Budget by Source'!$A$6:$A$330,0),MATCH(Q$3,'Budget by Source'!$A$5:$I$5,0))/10,0)*10)</f>
        <v>2</v>
      </c>
      <c r="R273" s="154">
        <f>INDEX('Budget by Source'!$A$6:$I$330,MATCH('Payment by Source'!$A273,'Budget by Source'!$A$6:$A$330,0),MATCH(R$3,'Budget by Source'!$A$5:$I$5,0))-(ROUND(INDEX('Budget by Source'!$A$6:$I$330,MATCH('Payment by Source'!$A273,'Budget by Source'!$A$6:$A$330,0),MATCH(R$3,'Budget by Source'!$A$5:$I$5,0))/10,0)*10)</f>
        <v>-1</v>
      </c>
      <c r="S273" s="154">
        <f>INDEX('Budget by Source'!$A$6:$I$330,MATCH('Payment by Source'!$A273,'Budget by Source'!$A$6:$A$330,0),MATCH(S$3,'Budget by Source'!$A$5:$I$5,0))-(ROUND(INDEX('Budget by Source'!$A$6:$I$330,MATCH('Payment by Source'!$A273,'Budget by Source'!$A$6:$A$330,0),MATCH(S$3,'Budget by Source'!$A$5:$I$5,0))/10,0)*10)</f>
        <v>0</v>
      </c>
      <c r="T273" s="154">
        <f>INDEX('Budget by Source'!$A$6:$I$330,MATCH('Payment by Source'!$A273,'Budget by Source'!$A$6:$A$330,0),MATCH(T$3,'Budget by Source'!$A$5:$I$5,0))-(ROUND(INDEX('Budget by Source'!$A$6:$I$330,MATCH('Payment by Source'!$A273,'Budget by Source'!$A$6:$A$330,0),MATCH(T$3,'Budget by Source'!$A$5:$I$5,0))/10,0)*10)</f>
        <v>-1</v>
      </c>
      <c r="U273" s="155">
        <f>INDEX('Budget by Source'!$A$6:$I$330,MATCH('Payment by Source'!$A273,'Budget by Source'!$A$6:$A$330,0),MATCH(U$3,'Budget by Source'!$A$5:$I$5,0))</f>
        <v>2721381</v>
      </c>
      <c r="V273" s="152">
        <f t="shared" si="13"/>
        <v>272138</v>
      </c>
      <c r="W273" s="152">
        <f t="shared" si="14"/>
        <v>2721380</v>
      </c>
    </row>
    <row r="274" spans="1:23" x14ac:dyDescent="0.2">
      <c r="A274" s="23" t="str">
        <f>Data!B270</f>
        <v>6101</v>
      </c>
      <c r="B274" s="21" t="str">
        <f>INDEX(Data[],MATCH($A274,Data[Dist],0),MATCH(B$5,Data[#Headers],0))</f>
        <v>Southeast Polk</v>
      </c>
      <c r="C274" s="22">
        <f>IF(Notes!$B$2="June",ROUND('Budget by Source'!C274/10,0)+P274,ROUND('Budget by Source'!C274/10,0))</f>
        <v>105285</v>
      </c>
      <c r="D274" s="22">
        <f>IF(Notes!$B$2="June",ROUND('Budget by Source'!D274/10,0)+Q274,ROUND('Budget by Source'!D274/10,0))</f>
        <v>447673</v>
      </c>
      <c r="E274" s="22">
        <f>IF(Notes!$B$2="June",ROUND('Budget by Source'!E274/10,0)+R274,ROUND('Budget by Source'!E274/10,0))</f>
        <v>51371</v>
      </c>
      <c r="F274" s="22">
        <f>IF(Notes!$B$2="June",ROUND('Budget by Source'!F274/10,0)+S274,ROUND('Budget by Source'!F274/10,0))</f>
        <v>51191</v>
      </c>
      <c r="G274" s="22">
        <f>IF(Notes!$B$2="June",ROUND('Budget by Source'!G274/10,0)+T274,ROUND('Budget by Source'!G274/10,0))</f>
        <v>265747</v>
      </c>
      <c r="H274" s="22">
        <f t="shared" si="12"/>
        <v>4463472</v>
      </c>
      <c r="I274" s="22">
        <f>INDEX(Data[],MATCH($A274,Data[Dist],0),MATCH(I$5,Data[#Headers],0))</f>
        <v>5384739</v>
      </c>
      <c r="K274" s="69">
        <f>INDEX('Payment Total'!$A$7:$H$331,MATCH('Payment by Source'!$A274,'Payment Total'!$A$7:$A$331,0),3)-I274</f>
        <v>0</v>
      </c>
      <c r="P274" s="154">
        <f>INDEX('Budget by Source'!$A$6:$I$330,MATCH('Payment by Source'!$A274,'Budget by Source'!$A$6:$A$330,0),MATCH(P$3,'Budget by Source'!$A$5:$I$5,0))-(ROUND(INDEX('Budget by Source'!$A$6:$I$330,MATCH('Payment by Source'!$A274,'Budget by Source'!$A$6:$A$330,0),MATCH(P$3,'Budget by Source'!$A$5:$I$5,0))/10,0)*10)</f>
        <v>4</v>
      </c>
      <c r="Q274" s="154">
        <f>INDEX('Budget by Source'!$A$6:$I$330,MATCH('Payment by Source'!$A274,'Budget by Source'!$A$6:$A$330,0),MATCH(Q$3,'Budget by Source'!$A$5:$I$5,0))-(ROUND(INDEX('Budget by Source'!$A$6:$I$330,MATCH('Payment by Source'!$A274,'Budget by Source'!$A$6:$A$330,0),MATCH(Q$3,'Budget by Source'!$A$5:$I$5,0))/10,0)*10)</f>
        <v>3</v>
      </c>
      <c r="R274" s="154">
        <f>INDEX('Budget by Source'!$A$6:$I$330,MATCH('Payment by Source'!$A274,'Budget by Source'!$A$6:$A$330,0),MATCH(R$3,'Budget by Source'!$A$5:$I$5,0))-(ROUND(INDEX('Budget by Source'!$A$6:$I$330,MATCH('Payment by Source'!$A274,'Budget by Source'!$A$6:$A$330,0),MATCH(R$3,'Budget by Source'!$A$5:$I$5,0))/10,0)*10)</f>
        <v>2</v>
      </c>
      <c r="S274" s="154">
        <f>INDEX('Budget by Source'!$A$6:$I$330,MATCH('Payment by Source'!$A274,'Budget by Source'!$A$6:$A$330,0),MATCH(S$3,'Budget by Source'!$A$5:$I$5,0))-(ROUND(INDEX('Budget by Source'!$A$6:$I$330,MATCH('Payment by Source'!$A274,'Budget by Source'!$A$6:$A$330,0),MATCH(S$3,'Budget by Source'!$A$5:$I$5,0))/10,0)*10)</f>
        <v>-1</v>
      </c>
      <c r="T274" s="154">
        <f>INDEX('Budget by Source'!$A$6:$I$330,MATCH('Payment by Source'!$A274,'Budget by Source'!$A$6:$A$330,0),MATCH(T$3,'Budget by Source'!$A$5:$I$5,0))-(ROUND(INDEX('Budget by Source'!$A$6:$I$330,MATCH('Payment by Source'!$A274,'Budget by Source'!$A$6:$A$330,0),MATCH(T$3,'Budget by Source'!$A$5:$I$5,0))/10,0)*10)</f>
        <v>0</v>
      </c>
      <c r="U274" s="155">
        <f>INDEX('Budget by Source'!$A$6:$I$330,MATCH('Payment by Source'!$A274,'Budget by Source'!$A$6:$A$330,0),MATCH(U$3,'Budget by Source'!$A$5:$I$5,0))</f>
        <v>44634711</v>
      </c>
      <c r="V274" s="152">
        <f t="shared" si="13"/>
        <v>4463471</v>
      </c>
      <c r="W274" s="152">
        <f t="shared" si="14"/>
        <v>44634710</v>
      </c>
    </row>
    <row r="275" spans="1:23" x14ac:dyDescent="0.2">
      <c r="A275" s="23" t="str">
        <f>Data!B271</f>
        <v>6102</v>
      </c>
      <c r="B275" s="21" t="str">
        <f>INDEX(Data[],MATCH($A275,Data[Dist],0),MATCH(B$5,Data[#Headers],0))</f>
        <v>Spencer</v>
      </c>
      <c r="C275" s="22">
        <f>IF(Notes!$B$2="June",ROUND('Budget by Source'!C275/10,0)+P275,ROUND('Budget by Source'!C275/10,0))</f>
        <v>61575</v>
      </c>
      <c r="D275" s="22">
        <f>IF(Notes!$B$2="June",ROUND('Budget by Source'!D275/10,0)+Q275,ROUND('Budget by Source'!D275/10,0))</f>
        <v>134243</v>
      </c>
      <c r="E275" s="22">
        <f>IF(Notes!$B$2="June",ROUND('Budget by Source'!E275/10,0)+R275,ROUND('Budget by Source'!E275/10,0))</f>
        <v>15978</v>
      </c>
      <c r="F275" s="22">
        <f>IF(Notes!$B$2="June",ROUND('Budget by Source'!F275/10,0)+S275,ROUND('Budget by Source'!F275/10,0))</f>
        <v>16107</v>
      </c>
      <c r="G275" s="22">
        <f>IF(Notes!$B$2="June",ROUND('Budget by Source'!G275/10,0)+T275,ROUND('Budget by Source'!G275/10,0))</f>
        <v>74638</v>
      </c>
      <c r="H275" s="22">
        <f t="shared" si="12"/>
        <v>1263436</v>
      </c>
      <c r="I275" s="22">
        <f>INDEX(Data[],MATCH($A275,Data[Dist],0),MATCH(I$5,Data[#Headers],0))</f>
        <v>1565977</v>
      </c>
      <c r="K275" s="69">
        <f>INDEX('Payment Total'!$A$7:$H$331,MATCH('Payment by Source'!$A275,'Payment Total'!$A$7:$A$331,0),3)-I275</f>
        <v>0</v>
      </c>
      <c r="P275" s="154">
        <f>INDEX('Budget by Source'!$A$6:$I$330,MATCH('Payment by Source'!$A275,'Budget by Source'!$A$6:$A$330,0),MATCH(P$3,'Budget by Source'!$A$5:$I$5,0))-(ROUND(INDEX('Budget by Source'!$A$6:$I$330,MATCH('Payment by Source'!$A275,'Budget by Source'!$A$6:$A$330,0),MATCH(P$3,'Budget by Source'!$A$5:$I$5,0))/10,0)*10)</f>
        <v>-2</v>
      </c>
      <c r="Q275" s="154">
        <f>INDEX('Budget by Source'!$A$6:$I$330,MATCH('Payment by Source'!$A275,'Budget by Source'!$A$6:$A$330,0),MATCH(Q$3,'Budget by Source'!$A$5:$I$5,0))-(ROUND(INDEX('Budget by Source'!$A$6:$I$330,MATCH('Payment by Source'!$A275,'Budget by Source'!$A$6:$A$330,0),MATCH(Q$3,'Budget by Source'!$A$5:$I$5,0))/10,0)*10)</f>
        <v>0</v>
      </c>
      <c r="R275" s="154">
        <f>INDEX('Budget by Source'!$A$6:$I$330,MATCH('Payment by Source'!$A275,'Budget by Source'!$A$6:$A$330,0),MATCH(R$3,'Budget by Source'!$A$5:$I$5,0))-(ROUND(INDEX('Budget by Source'!$A$6:$I$330,MATCH('Payment by Source'!$A275,'Budget by Source'!$A$6:$A$330,0),MATCH(R$3,'Budget by Source'!$A$5:$I$5,0))/10,0)*10)</f>
        <v>-4</v>
      </c>
      <c r="S275" s="154">
        <f>INDEX('Budget by Source'!$A$6:$I$330,MATCH('Payment by Source'!$A275,'Budget by Source'!$A$6:$A$330,0),MATCH(S$3,'Budget by Source'!$A$5:$I$5,0))-(ROUND(INDEX('Budget by Source'!$A$6:$I$330,MATCH('Payment by Source'!$A275,'Budget by Source'!$A$6:$A$330,0),MATCH(S$3,'Budget by Source'!$A$5:$I$5,0))/10,0)*10)</f>
        <v>2</v>
      </c>
      <c r="T275" s="154">
        <f>INDEX('Budget by Source'!$A$6:$I$330,MATCH('Payment by Source'!$A275,'Budget by Source'!$A$6:$A$330,0),MATCH(T$3,'Budget by Source'!$A$5:$I$5,0))-(ROUND(INDEX('Budget by Source'!$A$6:$I$330,MATCH('Payment by Source'!$A275,'Budget by Source'!$A$6:$A$330,0),MATCH(T$3,'Budget by Source'!$A$5:$I$5,0))/10,0)*10)</f>
        <v>4</v>
      </c>
      <c r="U275" s="155">
        <f>INDEX('Budget by Source'!$A$6:$I$330,MATCH('Payment by Source'!$A275,'Budget by Source'!$A$6:$A$330,0),MATCH(U$3,'Budget by Source'!$A$5:$I$5,0))</f>
        <v>12634362</v>
      </c>
      <c r="V275" s="152">
        <f t="shared" si="13"/>
        <v>1263436</v>
      </c>
      <c r="W275" s="152">
        <f t="shared" si="14"/>
        <v>12634360</v>
      </c>
    </row>
    <row r="276" spans="1:23" x14ac:dyDescent="0.2">
      <c r="A276" s="23" t="str">
        <f>Data!B272</f>
        <v>6120</v>
      </c>
      <c r="B276" s="21" t="str">
        <f>INDEX(Data[],MATCH($A276,Data[Dist],0),MATCH(B$5,Data[#Headers],0))</f>
        <v>Spirit Lake</v>
      </c>
      <c r="C276" s="22">
        <f>IF(Notes!$B$2="June",ROUND('Budget by Source'!C276/10,0)+P276,ROUND('Budget by Source'!C276/10,0))</f>
        <v>28507</v>
      </c>
      <c r="D276" s="22">
        <f>IF(Notes!$B$2="June",ROUND('Budget by Source'!D276/10,0)+Q276,ROUND('Budget by Source'!D276/10,0))</f>
        <v>76802</v>
      </c>
      <c r="E276" s="22">
        <f>IF(Notes!$B$2="June",ROUND('Budget by Source'!E276/10,0)+R276,ROUND('Budget by Source'!E276/10,0))</f>
        <v>8787</v>
      </c>
      <c r="F276" s="22">
        <f>IF(Notes!$B$2="June",ROUND('Budget by Source'!F276/10,0)+S276,ROUND('Budget by Source'!F276/10,0))</f>
        <v>9066</v>
      </c>
      <c r="G276" s="22">
        <f>IF(Notes!$B$2="June",ROUND('Budget by Source'!G276/10,0)+T276,ROUND('Budget by Source'!G276/10,0))</f>
        <v>43041</v>
      </c>
      <c r="H276" s="22">
        <f t="shared" si="12"/>
        <v>143350</v>
      </c>
      <c r="I276" s="22">
        <f>INDEX(Data[],MATCH($A276,Data[Dist],0),MATCH(I$5,Data[#Headers],0))</f>
        <v>309553</v>
      </c>
      <c r="K276" s="69">
        <f>INDEX('Payment Total'!$A$7:$H$331,MATCH('Payment by Source'!$A276,'Payment Total'!$A$7:$A$331,0),3)-I276</f>
        <v>0</v>
      </c>
      <c r="P276" s="154">
        <f>INDEX('Budget by Source'!$A$6:$I$330,MATCH('Payment by Source'!$A276,'Budget by Source'!$A$6:$A$330,0),MATCH(P$3,'Budget by Source'!$A$5:$I$5,0))-(ROUND(INDEX('Budget by Source'!$A$6:$I$330,MATCH('Payment by Source'!$A276,'Budget by Source'!$A$6:$A$330,0),MATCH(P$3,'Budget by Source'!$A$5:$I$5,0))/10,0)*10)</f>
        <v>-1</v>
      </c>
      <c r="Q276" s="154">
        <f>INDEX('Budget by Source'!$A$6:$I$330,MATCH('Payment by Source'!$A276,'Budget by Source'!$A$6:$A$330,0),MATCH(Q$3,'Budget by Source'!$A$5:$I$5,0))-(ROUND(INDEX('Budget by Source'!$A$6:$I$330,MATCH('Payment by Source'!$A276,'Budget by Source'!$A$6:$A$330,0),MATCH(Q$3,'Budget by Source'!$A$5:$I$5,0))/10,0)*10)</f>
        <v>3</v>
      </c>
      <c r="R276" s="154">
        <f>INDEX('Budget by Source'!$A$6:$I$330,MATCH('Payment by Source'!$A276,'Budget by Source'!$A$6:$A$330,0),MATCH(R$3,'Budget by Source'!$A$5:$I$5,0))-(ROUND(INDEX('Budget by Source'!$A$6:$I$330,MATCH('Payment by Source'!$A276,'Budget by Source'!$A$6:$A$330,0),MATCH(R$3,'Budget by Source'!$A$5:$I$5,0))/10,0)*10)</f>
        <v>3</v>
      </c>
      <c r="S276" s="154">
        <f>INDEX('Budget by Source'!$A$6:$I$330,MATCH('Payment by Source'!$A276,'Budget by Source'!$A$6:$A$330,0),MATCH(S$3,'Budget by Source'!$A$5:$I$5,0))-(ROUND(INDEX('Budget by Source'!$A$6:$I$330,MATCH('Payment by Source'!$A276,'Budget by Source'!$A$6:$A$330,0),MATCH(S$3,'Budget by Source'!$A$5:$I$5,0))/10,0)*10)</f>
        <v>4</v>
      </c>
      <c r="T276" s="154">
        <f>INDEX('Budget by Source'!$A$6:$I$330,MATCH('Payment by Source'!$A276,'Budget by Source'!$A$6:$A$330,0),MATCH(T$3,'Budget by Source'!$A$5:$I$5,0))-(ROUND(INDEX('Budget by Source'!$A$6:$I$330,MATCH('Payment by Source'!$A276,'Budget by Source'!$A$6:$A$330,0),MATCH(T$3,'Budget by Source'!$A$5:$I$5,0))/10,0)*10)</f>
        <v>-4</v>
      </c>
      <c r="U276" s="155">
        <f>INDEX('Budget by Source'!$A$6:$I$330,MATCH('Payment by Source'!$A276,'Budget by Source'!$A$6:$A$330,0),MATCH(U$3,'Budget by Source'!$A$5:$I$5,0))</f>
        <v>1433491</v>
      </c>
      <c r="V276" s="152">
        <f t="shared" si="13"/>
        <v>143349</v>
      </c>
      <c r="W276" s="152">
        <f t="shared" si="14"/>
        <v>1433490</v>
      </c>
    </row>
    <row r="277" spans="1:23" x14ac:dyDescent="0.2">
      <c r="A277" s="23" t="str">
        <f>Data!B273</f>
        <v>6138</v>
      </c>
      <c r="B277" s="21" t="str">
        <f>INDEX(Data[],MATCH($A277,Data[Dist],0),MATCH(B$5,Data[#Headers],0))</f>
        <v>Springville</v>
      </c>
      <c r="C277" s="22">
        <f>IF(Notes!$B$2="June",ROUND('Budget by Source'!C277/10,0)+P277,ROUND('Budget by Source'!C277/10,0))</f>
        <v>9882</v>
      </c>
      <c r="D277" s="22">
        <f>IF(Notes!$B$2="June",ROUND('Budget by Source'!D277/10,0)+Q277,ROUND('Budget by Source'!D277/10,0))</f>
        <v>28544</v>
      </c>
      <c r="E277" s="22">
        <f>IF(Notes!$B$2="June",ROUND('Budget by Source'!E277/10,0)+R277,ROUND('Budget by Source'!E277/10,0))</f>
        <v>2625</v>
      </c>
      <c r="F277" s="22">
        <f>IF(Notes!$B$2="June",ROUND('Budget by Source'!F277/10,0)+S277,ROUND('Budget by Source'!F277/10,0))</f>
        <v>2785</v>
      </c>
      <c r="G277" s="22">
        <f>IF(Notes!$B$2="June",ROUND('Budget by Source'!G277/10,0)+T277,ROUND('Budget by Source'!G277/10,0))</f>
        <v>14988</v>
      </c>
      <c r="H277" s="22">
        <f t="shared" si="12"/>
        <v>226678</v>
      </c>
      <c r="I277" s="22">
        <f>INDEX(Data[],MATCH($A277,Data[Dist],0),MATCH(I$5,Data[#Headers],0))</f>
        <v>285502</v>
      </c>
      <c r="K277" s="69">
        <f>INDEX('Payment Total'!$A$7:$H$331,MATCH('Payment by Source'!$A277,'Payment Total'!$A$7:$A$331,0),3)-I277</f>
        <v>0</v>
      </c>
      <c r="P277" s="154">
        <f>INDEX('Budget by Source'!$A$6:$I$330,MATCH('Payment by Source'!$A277,'Budget by Source'!$A$6:$A$330,0),MATCH(P$3,'Budget by Source'!$A$5:$I$5,0))-(ROUND(INDEX('Budget by Source'!$A$6:$I$330,MATCH('Payment by Source'!$A277,'Budget by Source'!$A$6:$A$330,0),MATCH(P$3,'Budget by Source'!$A$5:$I$5,0))/10,0)*10)</f>
        <v>4</v>
      </c>
      <c r="Q277" s="154">
        <f>INDEX('Budget by Source'!$A$6:$I$330,MATCH('Payment by Source'!$A277,'Budget by Source'!$A$6:$A$330,0),MATCH(Q$3,'Budget by Source'!$A$5:$I$5,0))-(ROUND(INDEX('Budget by Source'!$A$6:$I$330,MATCH('Payment by Source'!$A277,'Budget by Source'!$A$6:$A$330,0),MATCH(Q$3,'Budget by Source'!$A$5:$I$5,0))/10,0)*10)</f>
        <v>-2</v>
      </c>
      <c r="R277" s="154">
        <f>INDEX('Budget by Source'!$A$6:$I$330,MATCH('Payment by Source'!$A277,'Budget by Source'!$A$6:$A$330,0),MATCH(R$3,'Budget by Source'!$A$5:$I$5,0))-(ROUND(INDEX('Budget by Source'!$A$6:$I$330,MATCH('Payment by Source'!$A277,'Budget by Source'!$A$6:$A$330,0),MATCH(R$3,'Budget by Source'!$A$5:$I$5,0))/10,0)*10)</f>
        <v>-2</v>
      </c>
      <c r="S277" s="154">
        <f>INDEX('Budget by Source'!$A$6:$I$330,MATCH('Payment by Source'!$A277,'Budget by Source'!$A$6:$A$330,0),MATCH(S$3,'Budget by Source'!$A$5:$I$5,0))-(ROUND(INDEX('Budget by Source'!$A$6:$I$330,MATCH('Payment by Source'!$A277,'Budget by Source'!$A$6:$A$330,0),MATCH(S$3,'Budget by Source'!$A$5:$I$5,0))/10,0)*10)</f>
        <v>1</v>
      </c>
      <c r="T277" s="154">
        <f>INDEX('Budget by Source'!$A$6:$I$330,MATCH('Payment by Source'!$A277,'Budget by Source'!$A$6:$A$330,0),MATCH(T$3,'Budget by Source'!$A$5:$I$5,0))-(ROUND(INDEX('Budget by Source'!$A$6:$I$330,MATCH('Payment by Source'!$A277,'Budget by Source'!$A$6:$A$330,0),MATCH(T$3,'Budget by Source'!$A$5:$I$5,0))/10,0)*10)</f>
        <v>1</v>
      </c>
      <c r="U277" s="155">
        <f>INDEX('Budget by Source'!$A$6:$I$330,MATCH('Payment by Source'!$A277,'Budget by Source'!$A$6:$A$330,0),MATCH(U$3,'Budget by Source'!$A$5:$I$5,0))</f>
        <v>2266777</v>
      </c>
      <c r="V277" s="152">
        <f t="shared" si="13"/>
        <v>226678</v>
      </c>
      <c r="W277" s="152">
        <f t="shared" si="14"/>
        <v>2266780</v>
      </c>
    </row>
    <row r="278" spans="1:23" x14ac:dyDescent="0.2">
      <c r="A278" s="23" t="str">
        <f>Data!B274</f>
        <v>6165</v>
      </c>
      <c r="B278" s="21" t="str">
        <f>INDEX(Data[],MATCH($A278,Data[Dist],0),MATCH(B$5,Data[#Headers],0))</f>
        <v>Stanton</v>
      </c>
      <c r="C278" s="22">
        <f>IF(Notes!$B$2="June",ROUND('Budget by Source'!C278/10,0)+P278,ROUND('Budget by Source'!C278/10,0))</f>
        <v>8742</v>
      </c>
      <c r="D278" s="22">
        <f>IF(Notes!$B$2="June",ROUND('Budget by Source'!D278/10,0)+Q278,ROUND('Budget by Source'!D278/10,0))</f>
        <v>14698</v>
      </c>
      <c r="E278" s="22">
        <f>IF(Notes!$B$2="June",ROUND('Budget by Source'!E278/10,0)+R278,ROUND('Budget by Source'!E278/10,0))</f>
        <v>1503</v>
      </c>
      <c r="F278" s="22">
        <f>IF(Notes!$B$2="June",ROUND('Budget by Source'!F278/10,0)+S278,ROUND('Budget by Source'!F278/10,0))</f>
        <v>1804</v>
      </c>
      <c r="G278" s="22">
        <f>IF(Notes!$B$2="June",ROUND('Budget by Source'!G278/10,0)+T278,ROUND('Budget by Source'!G278/10,0))</f>
        <v>7260</v>
      </c>
      <c r="H278" s="22">
        <f t="shared" si="12"/>
        <v>117146</v>
      </c>
      <c r="I278" s="22">
        <f>INDEX(Data[],MATCH($A278,Data[Dist],0),MATCH(I$5,Data[#Headers],0))</f>
        <v>151153</v>
      </c>
      <c r="K278" s="69">
        <f>INDEX('Payment Total'!$A$7:$H$331,MATCH('Payment by Source'!$A278,'Payment Total'!$A$7:$A$331,0),3)-I278</f>
        <v>0</v>
      </c>
      <c r="P278" s="154">
        <f>INDEX('Budget by Source'!$A$6:$I$330,MATCH('Payment by Source'!$A278,'Budget by Source'!$A$6:$A$330,0),MATCH(P$3,'Budget by Source'!$A$5:$I$5,0))-(ROUND(INDEX('Budget by Source'!$A$6:$I$330,MATCH('Payment by Source'!$A278,'Budget by Source'!$A$6:$A$330,0),MATCH(P$3,'Budget by Source'!$A$5:$I$5,0))/10,0)*10)</f>
        <v>2</v>
      </c>
      <c r="Q278" s="154">
        <f>INDEX('Budget by Source'!$A$6:$I$330,MATCH('Payment by Source'!$A278,'Budget by Source'!$A$6:$A$330,0),MATCH(Q$3,'Budget by Source'!$A$5:$I$5,0))-(ROUND(INDEX('Budget by Source'!$A$6:$I$330,MATCH('Payment by Source'!$A278,'Budget by Source'!$A$6:$A$330,0),MATCH(Q$3,'Budget by Source'!$A$5:$I$5,0))/10,0)*10)</f>
        <v>2</v>
      </c>
      <c r="R278" s="154">
        <f>INDEX('Budget by Source'!$A$6:$I$330,MATCH('Payment by Source'!$A278,'Budget by Source'!$A$6:$A$330,0),MATCH(R$3,'Budget by Source'!$A$5:$I$5,0))-(ROUND(INDEX('Budget by Source'!$A$6:$I$330,MATCH('Payment by Source'!$A278,'Budget by Source'!$A$6:$A$330,0),MATCH(R$3,'Budget by Source'!$A$5:$I$5,0))/10,0)*10)</f>
        <v>-5</v>
      </c>
      <c r="S278" s="154">
        <f>INDEX('Budget by Source'!$A$6:$I$330,MATCH('Payment by Source'!$A278,'Budget by Source'!$A$6:$A$330,0),MATCH(S$3,'Budget by Source'!$A$5:$I$5,0))-(ROUND(INDEX('Budget by Source'!$A$6:$I$330,MATCH('Payment by Source'!$A278,'Budget by Source'!$A$6:$A$330,0),MATCH(S$3,'Budget by Source'!$A$5:$I$5,0))/10,0)*10)</f>
        <v>-1</v>
      </c>
      <c r="T278" s="154">
        <f>INDEX('Budget by Source'!$A$6:$I$330,MATCH('Payment by Source'!$A278,'Budget by Source'!$A$6:$A$330,0),MATCH(T$3,'Budget by Source'!$A$5:$I$5,0))-(ROUND(INDEX('Budget by Source'!$A$6:$I$330,MATCH('Payment by Source'!$A278,'Budget by Source'!$A$6:$A$330,0),MATCH(T$3,'Budget by Source'!$A$5:$I$5,0))/10,0)*10)</f>
        <v>0</v>
      </c>
      <c r="U278" s="155">
        <f>INDEX('Budget by Source'!$A$6:$I$330,MATCH('Payment by Source'!$A278,'Budget by Source'!$A$6:$A$330,0),MATCH(U$3,'Budget by Source'!$A$5:$I$5,0))</f>
        <v>1171457</v>
      </c>
      <c r="V278" s="152">
        <f t="shared" si="13"/>
        <v>117146</v>
      </c>
      <c r="W278" s="152">
        <f t="shared" si="14"/>
        <v>1171460</v>
      </c>
    </row>
    <row r="279" spans="1:23" x14ac:dyDescent="0.2">
      <c r="A279" s="23" t="str">
        <f>Data!B275</f>
        <v>6175</v>
      </c>
      <c r="B279" s="21" t="str">
        <f>INDEX(Data[],MATCH($A279,Data[Dist],0),MATCH(B$5,Data[#Headers],0))</f>
        <v>Starmont</v>
      </c>
      <c r="C279" s="22">
        <f>IF(Notes!$B$2="June",ROUND('Budget by Source'!C279/10,0)+P279,ROUND('Budget by Source'!C279/10,0))</f>
        <v>11403</v>
      </c>
      <c r="D279" s="22">
        <f>IF(Notes!$B$2="June",ROUND('Budget by Source'!D279/10,0)+Q279,ROUND('Budget by Source'!D279/10,0))</f>
        <v>41803</v>
      </c>
      <c r="E279" s="22">
        <f>IF(Notes!$B$2="June",ROUND('Budget by Source'!E279/10,0)+R279,ROUND('Budget by Source'!E279/10,0))</f>
        <v>5136</v>
      </c>
      <c r="F279" s="22">
        <f>IF(Notes!$B$2="June",ROUND('Budget by Source'!F279/10,0)+S279,ROUND('Budget by Source'!F279/10,0))</f>
        <v>4645</v>
      </c>
      <c r="G279" s="22">
        <f>IF(Notes!$B$2="June",ROUND('Budget by Source'!G279/10,0)+T279,ROUND('Budget by Source'!G279/10,0))</f>
        <v>21633</v>
      </c>
      <c r="H279" s="22">
        <f t="shared" si="12"/>
        <v>323470</v>
      </c>
      <c r="I279" s="22">
        <f>INDEX(Data[],MATCH($A279,Data[Dist],0),MATCH(I$5,Data[#Headers],0))</f>
        <v>408090</v>
      </c>
      <c r="K279" s="69">
        <f>INDEX('Payment Total'!$A$7:$H$331,MATCH('Payment by Source'!$A279,'Payment Total'!$A$7:$A$331,0),3)-I279</f>
        <v>0</v>
      </c>
      <c r="P279" s="154">
        <f>INDEX('Budget by Source'!$A$6:$I$330,MATCH('Payment by Source'!$A279,'Budget by Source'!$A$6:$A$330,0),MATCH(P$3,'Budget by Source'!$A$5:$I$5,0))-(ROUND(INDEX('Budget by Source'!$A$6:$I$330,MATCH('Payment by Source'!$A279,'Budget by Source'!$A$6:$A$330,0),MATCH(P$3,'Budget by Source'!$A$5:$I$5,0))/10,0)*10)</f>
        <v>-3</v>
      </c>
      <c r="Q279" s="154">
        <f>INDEX('Budget by Source'!$A$6:$I$330,MATCH('Payment by Source'!$A279,'Budget by Source'!$A$6:$A$330,0),MATCH(Q$3,'Budget by Source'!$A$5:$I$5,0))-(ROUND(INDEX('Budget by Source'!$A$6:$I$330,MATCH('Payment by Source'!$A279,'Budget by Source'!$A$6:$A$330,0),MATCH(Q$3,'Budget by Source'!$A$5:$I$5,0))/10,0)*10)</f>
        <v>-4</v>
      </c>
      <c r="R279" s="154">
        <f>INDEX('Budget by Source'!$A$6:$I$330,MATCH('Payment by Source'!$A279,'Budget by Source'!$A$6:$A$330,0),MATCH(R$3,'Budget by Source'!$A$5:$I$5,0))-(ROUND(INDEX('Budget by Source'!$A$6:$I$330,MATCH('Payment by Source'!$A279,'Budget by Source'!$A$6:$A$330,0),MATCH(R$3,'Budget by Source'!$A$5:$I$5,0))/10,0)*10)</f>
        <v>-5</v>
      </c>
      <c r="S279" s="154">
        <f>INDEX('Budget by Source'!$A$6:$I$330,MATCH('Payment by Source'!$A279,'Budget by Source'!$A$6:$A$330,0),MATCH(S$3,'Budget by Source'!$A$5:$I$5,0))-(ROUND(INDEX('Budget by Source'!$A$6:$I$330,MATCH('Payment by Source'!$A279,'Budget by Source'!$A$6:$A$330,0),MATCH(S$3,'Budget by Source'!$A$5:$I$5,0))/10,0)*10)</f>
        <v>-5</v>
      </c>
      <c r="T279" s="154">
        <f>INDEX('Budget by Source'!$A$6:$I$330,MATCH('Payment by Source'!$A279,'Budget by Source'!$A$6:$A$330,0),MATCH(T$3,'Budget by Source'!$A$5:$I$5,0))-(ROUND(INDEX('Budget by Source'!$A$6:$I$330,MATCH('Payment by Source'!$A279,'Budget by Source'!$A$6:$A$330,0),MATCH(T$3,'Budget by Source'!$A$5:$I$5,0))/10,0)*10)</f>
        <v>-4</v>
      </c>
      <c r="U279" s="155">
        <f>INDEX('Budget by Source'!$A$6:$I$330,MATCH('Payment by Source'!$A279,'Budget by Source'!$A$6:$A$330,0),MATCH(U$3,'Budget by Source'!$A$5:$I$5,0))</f>
        <v>3234724</v>
      </c>
      <c r="V279" s="152">
        <f t="shared" si="13"/>
        <v>323472</v>
      </c>
      <c r="W279" s="152">
        <f t="shared" si="14"/>
        <v>3234720</v>
      </c>
    </row>
    <row r="280" spans="1:23" x14ac:dyDescent="0.2">
      <c r="A280" s="23" t="str">
        <f>Data!B276</f>
        <v>6219</v>
      </c>
      <c r="B280" s="21" t="str">
        <f>INDEX(Data[],MATCH($A280,Data[Dist],0),MATCH(B$5,Data[#Headers],0))</f>
        <v>Storm Lake</v>
      </c>
      <c r="C280" s="22">
        <f>IF(Notes!$B$2="June",ROUND('Budget by Source'!C280/10,0)+P280,ROUND('Budget by Source'!C280/10,0))</f>
        <v>63475</v>
      </c>
      <c r="D280" s="22">
        <f>IF(Notes!$B$2="June",ROUND('Budget by Source'!D280/10,0)+Q280,ROUND('Budget by Source'!D280/10,0))</f>
        <v>162310</v>
      </c>
      <c r="E280" s="22">
        <f>IF(Notes!$B$2="June",ROUND('Budget by Source'!E280/10,0)+R280,ROUND('Budget by Source'!E280/10,0))</f>
        <v>23520</v>
      </c>
      <c r="F280" s="22">
        <f>IF(Notes!$B$2="June",ROUND('Budget by Source'!F280/10,0)+S280,ROUND('Budget by Source'!F280/10,0))</f>
        <v>18676</v>
      </c>
      <c r="G280" s="22">
        <f>IF(Notes!$B$2="June",ROUND('Budget by Source'!G280/10,0)+T280,ROUND('Budget by Source'!G280/10,0))</f>
        <v>93301</v>
      </c>
      <c r="H280" s="22">
        <f t="shared" si="12"/>
        <v>1915975</v>
      </c>
      <c r="I280" s="22">
        <f>INDEX(Data[],MATCH($A280,Data[Dist],0),MATCH(I$5,Data[#Headers],0))</f>
        <v>2277257</v>
      </c>
      <c r="K280" s="69">
        <f>INDEX('Payment Total'!$A$7:$H$331,MATCH('Payment by Source'!$A280,'Payment Total'!$A$7:$A$331,0),3)-I280</f>
        <v>0</v>
      </c>
      <c r="P280" s="154">
        <f>INDEX('Budget by Source'!$A$6:$I$330,MATCH('Payment by Source'!$A280,'Budget by Source'!$A$6:$A$330,0),MATCH(P$3,'Budget by Source'!$A$5:$I$5,0))-(ROUND(INDEX('Budget by Source'!$A$6:$I$330,MATCH('Payment by Source'!$A280,'Budget by Source'!$A$6:$A$330,0),MATCH(P$3,'Budget by Source'!$A$5:$I$5,0))/10,0)*10)</f>
        <v>3</v>
      </c>
      <c r="Q280" s="154">
        <f>INDEX('Budget by Source'!$A$6:$I$330,MATCH('Payment by Source'!$A280,'Budget by Source'!$A$6:$A$330,0),MATCH(Q$3,'Budget by Source'!$A$5:$I$5,0))-(ROUND(INDEX('Budget by Source'!$A$6:$I$330,MATCH('Payment by Source'!$A280,'Budget by Source'!$A$6:$A$330,0),MATCH(Q$3,'Budget by Source'!$A$5:$I$5,0))/10,0)*10)</f>
        <v>-2</v>
      </c>
      <c r="R280" s="154">
        <f>INDEX('Budget by Source'!$A$6:$I$330,MATCH('Payment by Source'!$A280,'Budget by Source'!$A$6:$A$330,0),MATCH(R$3,'Budget by Source'!$A$5:$I$5,0))-(ROUND(INDEX('Budget by Source'!$A$6:$I$330,MATCH('Payment by Source'!$A280,'Budget by Source'!$A$6:$A$330,0),MATCH(R$3,'Budget by Source'!$A$5:$I$5,0))/10,0)*10)</f>
        <v>-5</v>
      </c>
      <c r="S280" s="154">
        <f>INDEX('Budget by Source'!$A$6:$I$330,MATCH('Payment by Source'!$A280,'Budget by Source'!$A$6:$A$330,0),MATCH(S$3,'Budget by Source'!$A$5:$I$5,0))-(ROUND(INDEX('Budget by Source'!$A$6:$I$330,MATCH('Payment by Source'!$A280,'Budget by Source'!$A$6:$A$330,0),MATCH(S$3,'Budget by Source'!$A$5:$I$5,0))/10,0)*10)</f>
        <v>4</v>
      </c>
      <c r="T280" s="154">
        <f>INDEX('Budget by Source'!$A$6:$I$330,MATCH('Payment by Source'!$A280,'Budget by Source'!$A$6:$A$330,0),MATCH(T$3,'Budget by Source'!$A$5:$I$5,0))-(ROUND(INDEX('Budget by Source'!$A$6:$I$330,MATCH('Payment by Source'!$A280,'Budget by Source'!$A$6:$A$330,0),MATCH(T$3,'Budget by Source'!$A$5:$I$5,0))/10,0)*10)</f>
        <v>-3</v>
      </c>
      <c r="U280" s="155">
        <f>INDEX('Budget by Source'!$A$6:$I$330,MATCH('Payment by Source'!$A280,'Budget by Source'!$A$6:$A$330,0),MATCH(U$3,'Budget by Source'!$A$5:$I$5,0))</f>
        <v>19159748</v>
      </c>
      <c r="V280" s="152">
        <f t="shared" si="13"/>
        <v>1915975</v>
      </c>
      <c r="W280" s="152">
        <f t="shared" si="14"/>
        <v>19159750</v>
      </c>
    </row>
    <row r="281" spans="1:23" x14ac:dyDescent="0.2">
      <c r="A281" s="23" t="str">
        <f>Data!B277</f>
        <v>6246</v>
      </c>
      <c r="B281" s="21" t="str">
        <f>INDEX(Data[],MATCH($A281,Data[Dist],0),MATCH(B$5,Data[#Headers],0))</f>
        <v>Stratford</v>
      </c>
      <c r="C281" s="22">
        <f>IF(Notes!$B$2="June",ROUND('Budget by Source'!C281/10,0)+P281,ROUND('Budget by Source'!C281/10,0))</f>
        <v>6462</v>
      </c>
      <c r="D281" s="22">
        <f>IF(Notes!$B$2="June",ROUND('Budget by Source'!D281/10,0)+Q281,ROUND('Budget by Source'!D281/10,0))</f>
        <v>8413</v>
      </c>
      <c r="E281" s="22">
        <f>IF(Notes!$B$2="June",ROUND('Budget by Source'!E281/10,0)+R281,ROUND('Budget by Source'!E281/10,0))</f>
        <v>947</v>
      </c>
      <c r="F281" s="22">
        <f>IF(Notes!$B$2="June",ROUND('Budget by Source'!F281/10,0)+S281,ROUND('Budget by Source'!F281/10,0))</f>
        <v>836</v>
      </c>
      <c r="G281" s="22">
        <f>IF(Notes!$B$2="June",ROUND('Budget by Source'!G281/10,0)+T281,ROUND('Budget by Source'!G281/10,0))</f>
        <v>4894</v>
      </c>
      <c r="H281" s="22">
        <f t="shared" si="12"/>
        <v>70109</v>
      </c>
      <c r="I281" s="22">
        <f>INDEX(Data[],MATCH($A281,Data[Dist],0),MATCH(I$5,Data[#Headers],0))</f>
        <v>91661</v>
      </c>
      <c r="K281" s="69">
        <f>INDEX('Payment Total'!$A$7:$H$331,MATCH('Payment by Source'!$A281,'Payment Total'!$A$7:$A$331,0),3)-I281</f>
        <v>0</v>
      </c>
      <c r="P281" s="154">
        <f>INDEX('Budget by Source'!$A$6:$I$330,MATCH('Payment by Source'!$A281,'Budget by Source'!$A$6:$A$330,0),MATCH(P$3,'Budget by Source'!$A$5:$I$5,0))-(ROUND(INDEX('Budget by Source'!$A$6:$I$330,MATCH('Payment by Source'!$A281,'Budget by Source'!$A$6:$A$330,0),MATCH(P$3,'Budget by Source'!$A$5:$I$5,0))/10,0)*10)</f>
        <v>-4</v>
      </c>
      <c r="Q281" s="154">
        <f>INDEX('Budget by Source'!$A$6:$I$330,MATCH('Payment by Source'!$A281,'Budget by Source'!$A$6:$A$330,0),MATCH(Q$3,'Budget by Source'!$A$5:$I$5,0))-(ROUND(INDEX('Budget by Source'!$A$6:$I$330,MATCH('Payment by Source'!$A281,'Budget by Source'!$A$6:$A$330,0),MATCH(Q$3,'Budget by Source'!$A$5:$I$5,0))/10,0)*10)</f>
        <v>-1</v>
      </c>
      <c r="R281" s="154">
        <f>INDEX('Budget by Source'!$A$6:$I$330,MATCH('Payment by Source'!$A281,'Budget by Source'!$A$6:$A$330,0),MATCH(R$3,'Budget by Source'!$A$5:$I$5,0))-(ROUND(INDEX('Budget by Source'!$A$6:$I$330,MATCH('Payment by Source'!$A281,'Budget by Source'!$A$6:$A$330,0),MATCH(R$3,'Budget by Source'!$A$5:$I$5,0))/10,0)*10)</f>
        <v>3</v>
      </c>
      <c r="S281" s="154">
        <f>INDEX('Budget by Source'!$A$6:$I$330,MATCH('Payment by Source'!$A281,'Budget by Source'!$A$6:$A$330,0),MATCH(S$3,'Budget by Source'!$A$5:$I$5,0))-(ROUND(INDEX('Budget by Source'!$A$6:$I$330,MATCH('Payment by Source'!$A281,'Budget by Source'!$A$6:$A$330,0),MATCH(S$3,'Budget by Source'!$A$5:$I$5,0))/10,0)*10)</f>
        <v>1</v>
      </c>
      <c r="T281" s="154">
        <f>INDEX('Budget by Source'!$A$6:$I$330,MATCH('Payment by Source'!$A281,'Budget by Source'!$A$6:$A$330,0),MATCH(T$3,'Budget by Source'!$A$5:$I$5,0))-(ROUND(INDEX('Budget by Source'!$A$6:$I$330,MATCH('Payment by Source'!$A281,'Budget by Source'!$A$6:$A$330,0),MATCH(T$3,'Budget by Source'!$A$5:$I$5,0))/10,0)*10)</f>
        <v>1</v>
      </c>
      <c r="U281" s="155">
        <f>INDEX('Budget by Source'!$A$6:$I$330,MATCH('Payment by Source'!$A281,'Budget by Source'!$A$6:$A$330,0),MATCH(U$3,'Budget by Source'!$A$5:$I$5,0))</f>
        <v>701087</v>
      </c>
      <c r="V281" s="152">
        <f t="shared" si="13"/>
        <v>70109</v>
      </c>
      <c r="W281" s="152">
        <f t="shared" si="14"/>
        <v>701090</v>
      </c>
    </row>
    <row r="282" spans="1:23" x14ac:dyDescent="0.2">
      <c r="A282" s="23" t="str">
        <f>Data!B278</f>
        <v>6264</v>
      </c>
      <c r="B282" s="21" t="str">
        <f>INDEX(Data[],MATCH($A282,Data[Dist],0),MATCH(B$5,Data[#Headers],0))</f>
        <v>West Central Valley</v>
      </c>
      <c r="C282" s="22">
        <f>IF(Notes!$B$2="June",ROUND('Budget by Source'!C282/10,0)+P282,ROUND('Budget by Source'!C282/10,0))</f>
        <v>18625</v>
      </c>
      <c r="D282" s="22">
        <f>IF(Notes!$B$2="June",ROUND('Budget by Source'!D282/10,0)+Q282,ROUND('Budget by Source'!D282/10,0))</f>
        <v>63409</v>
      </c>
      <c r="E282" s="22">
        <f>IF(Notes!$B$2="June",ROUND('Budget by Source'!E282/10,0)+R282,ROUND('Budget by Source'!E282/10,0))</f>
        <v>6964</v>
      </c>
      <c r="F282" s="22">
        <f>IF(Notes!$B$2="June",ROUND('Budget by Source'!F282/10,0)+S282,ROUND('Budget by Source'!F282/10,0))</f>
        <v>6314</v>
      </c>
      <c r="G282" s="22">
        <f>IF(Notes!$B$2="June",ROUND('Budget by Source'!G282/10,0)+T282,ROUND('Budget by Source'!G282/10,0))</f>
        <v>34907</v>
      </c>
      <c r="H282" s="22">
        <f t="shared" si="12"/>
        <v>420867</v>
      </c>
      <c r="I282" s="22">
        <f>INDEX(Data[],MATCH($A282,Data[Dist],0),MATCH(I$5,Data[#Headers],0))</f>
        <v>551086</v>
      </c>
      <c r="K282" s="69">
        <f>INDEX('Payment Total'!$A$7:$H$331,MATCH('Payment by Source'!$A282,'Payment Total'!$A$7:$A$331,0),3)-I282</f>
        <v>0</v>
      </c>
      <c r="P282" s="154">
        <f>INDEX('Budget by Source'!$A$6:$I$330,MATCH('Payment by Source'!$A282,'Budget by Source'!$A$6:$A$330,0),MATCH(P$3,'Budget by Source'!$A$5:$I$5,0))-(ROUND(INDEX('Budget by Source'!$A$6:$I$330,MATCH('Payment by Source'!$A282,'Budget by Source'!$A$6:$A$330,0),MATCH(P$3,'Budget by Source'!$A$5:$I$5,0))/10,0)*10)</f>
        <v>-5</v>
      </c>
      <c r="Q282" s="154">
        <f>INDEX('Budget by Source'!$A$6:$I$330,MATCH('Payment by Source'!$A282,'Budget by Source'!$A$6:$A$330,0),MATCH(Q$3,'Budget by Source'!$A$5:$I$5,0))-(ROUND(INDEX('Budget by Source'!$A$6:$I$330,MATCH('Payment by Source'!$A282,'Budget by Source'!$A$6:$A$330,0),MATCH(Q$3,'Budget by Source'!$A$5:$I$5,0))/10,0)*10)</f>
        <v>4</v>
      </c>
      <c r="R282" s="154">
        <f>INDEX('Budget by Source'!$A$6:$I$330,MATCH('Payment by Source'!$A282,'Budget by Source'!$A$6:$A$330,0),MATCH(R$3,'Budget by Source'!$A$5:$I$5,0))-(ROUND(INDEX('Budget by Source'!$A$6:$I$330,MATCH('Payment by Source'!$A282,'Budget by Source'!$A$6:$A$330,0),MATCH(R$3,'Budget by Source'!$A$5:$I$5,0))/10,0)*10)</f>
        <v>-2</v>
      </c>
      <c r="S282" s="154">
        <f>INDEX('Budget by Source'!$A$6:$I$330,MATCH('Payment by Source'!$A282,'Budget by Source'!$A$6:$A$330,0),MATCH(S$3,'Budget by Source'!$A$5:$I$5,0))-(ROUND(INDEX('Budget by Source'!$A$6:$I$330,MATCH('Payment by Source'!$A282,'Budget by Source'!$A$6:$A$330,0),MATCH(S$3,'Budget by Source'!$A$5:$I$5,0))/10,0)*10)</f>
        <v>0</v>
      </c>
      <c r="T282" s="154">
        <f>INDEX('Budget by Source'!$A$6:$I$330,MATCH('Payment by Source'!$A282,'Budget by Source'!$A$6:$A$330,0),MATCH(T$3,'Budget by Source'!$A$5:$I$5,0))-(ROUND(INDEX('Budget by Source'!$A$6:$I$330,MATCH('Payment by Source'!$A282,'Budget by Source'!$A$6:$A$330,0),MATCH(T$3,'Budget by Source'!$A$5:$I$5,0))/10,0)*10)</f>
        <v>2</v>
      </c>
      <c r="U282" s="155">
        <f>INDEX('Budget by Source'!$A$6:$I$330,MATCH('Payment by Source'!$A282,'Budget by Source'!$A$6:$A$330,0),MATCH(U$3,'Budget by Source'!$A$5:$I$5,0))</f>
        <v>4208670</v>
      </c>
      <c r="V282" s="152">
        <f t="shared" si="13"/>
        <v>420867</v>
      </c>
      <c r="W282" s="152">
        <f t="shared" si="14"/>
        <v>4208670</v>
      </c>
    </row>
    <row r="283" spans="1:23" x14ac:dyDescent="0.2">
      <c r="A283" s="23" t="str">
        <f>Data!B279</f>
        <v>6273</v>
      </c>
      <c r="B283" s="21" t="str">
        <f>INDEX(Data[],MATCH($A283,Data[Dist],0),MATCH(B$5,Data[#Headers],0))</f>
        <v>Sumner-Fredericksburg</v>
      </c>
      <c r="C283" s="22">
        <f>IF(Notes!$B$2="June",ROUND('Budget by Source'!C283/10,0)+P283,ROUND('Budget by Source'!C283/10,0))</f>
        <v>17104</v>
      </c>
      <c r="D283" s="22">
        <f>IF(Notes!$B$2="June",ROUND('Budget by Source'!D283/10,0)+Q283,ROUND('Budget by Source'!D283/10,0))</f>
        <v>51731</v>
      </c>
      <c r="E283" s="22">
        <f>IF(Notes!$B$2="June",ROUND('Budget by Source'!E283/10,0)+R283,ROUND('Budget by Source'!E283/10,0))</f>
        <v>5378</v>
      </c>
      <c r="F283" s="22">
        <f>IF(Notes!$B$2="June",ROUND('Budget by Source'!F283/10,0)+S283,ROUND('Budget by Source'!F283/10,0))</f>
        <v>5709</v>
      </c>
      <c r="G283" s="22">
        <f>IF(Notes!$B$2="June",ROUND('Budget by Source'!G283/10,0)+T283,ROUND('Budget by Source'!G283/10,0))</f>
        <v>28362</v>
      </c>
      <c r="H283" s="22">
        <f t="shared" si="12"/>
        <v>407196</v>
      </c>
      <c r="I283" s="22">
        <f>INDEX(Data[],MATCH($A283,Data[Dist],0),MATCH(I$5,Data[#Headers],0))</f>
        <v>515480</v>
      </c>
      <c r="K283" s="69">
        <f>INDEX('Payment Total'!$A$7:$H$331,MATCH('Payment by Source'!$A283,'Payment Total'!$A$7:$A$331,0),3)-I283</f>
        <v>0</v>
      </c>
      <c r="P283" s="154">
        <f>INDEX('Budget by Source'!$A$6:$I$330,MATCH('Payment by Source'!$A283,'Budget by Source'!$A$6:$A$330,0),MATCH(P$3,'Budget by Source'!$A$5:$I$5,0))-(ROUND(INDEX('Budget by Source'!$A$6:$I$330,MATCH('Payment by Source'!$A283,'Budget by Source'!$A$6:$A$330,0),MATCH(P$3,'Budget by Source'!$A$5:$I$5,0))/10,0)*10)</f>
        <v>2</v>
      </c>
      <c r="Q283" s="154">
        <f>INDEX('Budget by Source'!$A$6:$I$330,MATCH('Payment by Source'!$A283,'Budget by Source'!$A$6:$A$330,0),MATCH(Q$3,'Budget by Source'!$A$5:$I$5,0))-(ROUND(INDEX('Budget by Source'!$A$6:$I$330,MATCH('Payment by Source'!$A283,'Budget by Source'!$A$6:$A$330,0),MATCH(Q$3,'Budget by Source'!$A$5:$I$5,0))/10,0)*10)</f>
        <v>0</v>
      </c>
      <c r="R283" s="154">
        <f>INDEX('Budget by Source'!$A$6:$I$330,MATCH('Payment by Source'!$A283,'Budget by Source'!$A$6:$A$330,0),MATCH(R$3,'Budget by Source'!$A$5:$I$5,0))-(ROUND(INDEX('Budget by Source'!$A$6:$I$330,MATCH('Payment by Source'!$A283,'Budget by Source'!$A$6:$A$330,0),MATCH(R$3,'Budget by Source'!$A$5:$I$5,0))/10,0)*10)</f>
        <v>0</v>
      </c>
      <c r="S283" s="154">
        <f>INDEX('Budget by Source'!$A$6:$I$330,MATCH('Payment by Source'!$A283,'Budget by Source'!$A$6:$A$330,0),MATCH(S$3,'Budget by Source'!$A$5:$I$5,0))-(ROUND(INDEX('Budget by Source'!$A$6:$I$330,MATCH('Payment by Source'!$A283,'Budget by Source'!$A$6:$A$330,0),MATCH(S$3,'Budget by Source'!$A$5:$I$5,0))/10,0)*10)</f>
        <v>-1</v>
      </c>
      <c r="T283" s="154">
        <f>INDEX('Budget by Source'!$A$6:$I$330,MATCH('Payment by Source'!$A283,'Budget by Source'!$A$6:$A$330,0),MATCH(T$3,'Budget by Source'!$A$5:$I$5,0))-(ROUND(INDEX('Budget by Source'!$A$6:$I$330,MATCH('Payment by Source'!$A283,'Budget by Source'!$A$6:$A$330,0),MATCH(T$3,'Budget by Source'!$A$5:$I$5,0))/10,0)*10)</f>
        <v>1</v>
      </c>
      <c r="U283" s="155">
        <f>INDEX('Budget by Source'!$A$6:$I$330,MATCH('Payment by Source'!$A283,'Budget by Source'!$A$6:$A$330,0),MATCH(U$3,'Budget by Source'!$A$5:$I$5,0))</f>
        <v>4071960</v>
      </c>
      <c r="V283" s="152">
        <f t="shared" si="13"/>
        <v>407196</v>
      </c>
      <c r="W283" s="152">
        <f t="shared" si="14"/>
        <v>4071960</v>
      </c>
    </row>
    <row r="284" spans="1:23" x14ac:dyDescent="0.2">
      <c r="A284" s="23" t="str">
        <f>Data!B280</f>
        <v>6408</v>
      </c>
      <c r="B284" s="21" t="str">
        <f>INDEX(Data[],MATCH($A284,Data[Dist],0),MATCH(B$5,Data[#Headers],0))</f>
        <v>Tipton</v>
      </c>
      <c r="C284" s="22">
        <f>IF(Notes!$B$2="June",ROUND('Budget by Source'!C284/10,0)+P284,ROUND('Budget by Source'!C284/10,0))</f>
        <v>12163</v>
      </c>
      <c r="D284" s="22">
        <f>IF(Notes!$B$2="June",ROUND('Budget by Source'!D284/10,0)+Q284,ROUND('Budget by Source'!D284/10,0))</f>
        <v>53397</v>
      </c>
      <c r="E284" s="22">
        <f>IF(Notes!$B$2="June",ROUND('Budget by Source'!E284/10,0)+R284,ROUND('Budget by Source'!E284/10,0))</f>
        <v>6295</v>
      </c>
      <c r="F284" s="22">
        <f>IF(Notes!$B$2="June",ROUND('Budget by Source'!F284/10,0)+S284,ROUND('Budget by Source'!F284/10,0))</f>
        <v>5723</v>
      </c>
      <c r="G284" s="22">
        <f>IF(Notes!$B$2="June",ROUND('Budget by Source'!G284/10,0)+T284,ROUND('Budget by Source'!G284/10,0))</f>
        <v>30540</v>
      </c>
      <c r="H284" s="22">
        <f t="shared" si="12"/>
        <v>478078</v>
      </c>
      <c r="I284" s="22">
        <f>INDEX(Data[],MATCH($A284,Data[Dist],0),MATCH(I$5,Data[#Headers],0))</f>
        <v>586196</v>
      </c>
      <c r="K284" s="69">
        <f>INDEX('Payment Total'!$A$7:$H$331,MATCH('Payment by Source'!$A284,'Payment Total'!$A$7:$A$331,0),3)-I284</f>
        <v>0</v>
      </c>
      <c r="P284" s="154">
        <f>INDEX('Budget by Source'!$A$6:$I$330,MATCH('Payment by Source'!$A284,'Budget by Source'!$A$6:$A$330,0),MATCH(P$3,'Budget by Source'!$A$5:$I$5,0))-(ROUND(INDEX('Budget by Source'!$A$6:$I$330,MATCH('Payment by Source'!$A284,'Budget by Source'!$A$6:$A$330,0),MATCH(P$3,'Budget by Source'!$A$5:$I$5,0))/10,0)*10)</f>
        <v>-1</v>
      </c>
      <c r="Q284" s="154">
        <f>INDEX('Budget by Source'!$A$6:$I$330,MATCH('Payment by Source'!$A284,'Budget by Source'!$A$6:$A$330,0),MATCH(Q$3,'Budget by Source'!$A$5:$I$5,0))-(ROUND(INDEX('Budget by Source'!$A$6:$I$330,MATCH('Payment by Source'!$A284,'Budget by Source'!$A$6:$A$330,0),MATCH(Q$3,'Budget by Source'!$A$5:$I$5,0))/10,0)*10)</f>
        <v>3</v>
      </c>
      <c r="R284" s="154">
        <f>INDEX('Budget by Source'!$A$6:$I$330,MATCH('Payment by Source'!$A284,'Budget by Source'!$A$6:$A$330,0),MATCH(R$3,'Budget by Source'!$A$5:$I$5,0))-(ROUND(INDEX('Budget by Source'!$A$6:$I$330,MATCH('Payment by Source'!$A284,'Budget by Source'!$A$6:$A$330,0),MATCH(R$3,'Budget by Source'!$A$5:$I$5,0))/10,0)*10)</f>
        <v>-2</v>
      </c>
      <c r="S284" s="154">
        <f>INDEX('Budget by Source'!$A$6:$I$330,MATCH('Payment by Source'!$A284,'Budget by Source'!$A$6:$A$330,0),MATCH(S$3,'Budget by Source'!$A$5:$I$5,0))-(ROUND(INDEX('Budget by Source'!$A$6:$I$330,MATCH('Payment by Source'!$A284,'Budget by Source'!$A$6:$A$330,0),MATCH(S$3,'Budget by Source'!$A$5:$I$5,0))/10,0)*10)</f>
        <v>0</v>
      </c>
      <c r="T284" s="154">
        <f>INDEX('Budget by Source'!$A$6:$I$330,MATCH('Payment by Source'!$A284,'Budget by Source'!$A$6:$A$330,0),MATCH(T$3,'Budget by Source'!$A$5:$I$5,0))-(ROUND(INDEX('Budget by Source'!$A$6:$I$330,MATCH('Payment by Source'!$A284,'Budget by Source'!$A$6:$A$330,0),MATCH(T$3,'Budget by Source'!$A$5:$I$5,0))/10,0)*10)</f>
        <v>1</v>
      </c>
      <c r="U284" s="155">
        <f>INDEX('Budget by Source'!$A$6:$I$330,MATCH('Payment by Source'!$A284,'Budget by Source'!$A$6:$A$330,0),MATCH(U$3,'Budget by Source'!$A$5:$I$5,0))</f>
        <v>4780780</v>
      </c>
      <c r="V284" s="152">
        <f t="shared" si="13"/>
        <v>478078</v>
      </c>
      <c r="W284" s="152">
        <f t="shared" si="14"/>
        <v>4780780</v>
      </c>
    </row>
    <row r="285" spans="1:23" x14ac:dyDescent="0.2">
      <c r="A285" s="23" t="str">
        <f>Data!B281</f>
        <v>6453</v>
      </c>
      <c r="B285" s="21" t="str">
        <f>INDEX(Data[],MATCH($A285,Data[Dist],0),MATCH(B$5,Data[#Headers],0))</f>
        <v>Treynor</v>
      </c>
      <c r="C285" s="22">
        <f>IF(Notes!$B$2="June",ROUND('Budget by Source'!C285/10,0)+P285,ROUND('Budget by Source'!C285/10,0))</f>
        <v>0</v>
      </c>
      <c r="D285" s="22">
        <f>IF(Notes!$B$2="June",ROUND('Budget by Source'!D285/10,0)+Q285,ROUND('Budget by Source'!D285/10,0))</f>
        <v>38070</v>
      </c>
      <c r="E285" s="22">
        <f>IF(Notes!$B$2="June",ROUND('Budget by Source'!E285/10,0)+R285,ROUND('Budget by Source'!E285/10,0))</f>
        <v>4239</v>
      </c>
      <c r="F285" s="22">
        <f>IF(Notes!$B$2="June",ROUND('Budget by Source'!F285/10,0)+S285,ROUND('Budget by Source'!F285/10,0))</f>
        <v>4033</v>
      </c>
      <c r="G285" s="22">
        <f>IF(Notes!$B$2="June",ROUND('Budget by Source'!G285/10,0)+T285,ROUND('Budget by Source'!G285/10,0))</f>
        <v>21198</v>
      </c>
      <c r="H285" s="22">
        <f t="shared" si="12"/>
        <v>273815</v>
      </c>
      <c r="I285" s="22">
        <f>INDEX(Data[],MATCH($A285,Data[Dist],0),MATCH(I$5,Data[#Headers],0))</f>
        <v>341355</v>
      </c>
      <c r="K285" s="69">
        <f>INDEX('Payment Total'!$A$7:$H$331,MATCH('Payment by Source'!$A285,'Payment Total'!$A$7:$A$331,0),3)-I285</f>
        <v>0</v>
      </c>
      <c r="P285" s="154">
        <f>INDEX('Budget by Source'!$A$6:$I$330,MATCH('Payment by Source'!$A285,'Budget by Source'!$A$6:$A$330,0),MATCH(P$3,'Budget by Source'!$A$5:$I$5,0))-(ROUND(INDEX('Budget by Source'!$A$6:$I$330,MATCH('Payment by Source'!$A285,'Budget by Source'!$A$6:$A$330,0),MATCH(P$3,'Budget by Source'!$A$5:$I$5,0))/10,0)*10)</f>
        <v>0</v>
      </c>
      <c r="Q285" s="154">
        <f>INDEX('Budget by Source'!$A$6:$I$330,MATCH('Payment by Source'!$A285,'Budget by Source'!$A$6:$A$330,0),MATCH(Q$3,'Budget by Source'!$A$5:$I$5,0))-(ROUND(INDEX('Budget by Source'!$A$6:$I$330,MATCH('Payment by Source'!$A285,'Budget by Source'!$A$6:$A$330,0),MATCH(Q$3,'Budget by Source'!$A$5:$I$5,0))/10,0)*10)</f>
        <v>2</v>
      </c>
      <c r="R285" s="154">
        <f>INDEX('Budget by Source'!$A$6:$I$330,MATCH('Payment by Source'!$A285,'Budget by Source'!$A$6:$A$330,0),MATCH(R$3,'Budget by Source'!$A$5:$I$5,0))-(ROUND(INDEX('Budget by Source'!$A$6:$I$330,MATCH('Payment by Source'!$A285,'Budget by Source'!$A$6:$A$330,0),MATCH(R$3,'Budget by Source'!$A$5:$I$5,0))/10,0)*10)</f>
        <v>2</v>
      </c>
      <c r="S285" s="154">
        <f>INDEX('Budget by Source'!$A$6:$I$330,MATCH('Payment by Source'!$A285,'Budget by Source'!$A$6:$A$330,0),MATCH(S$3,'Budget by Source'!$A$5:$I$5,0))-(ROUND(INDEX('Budget by Source'!$A$6:$I$330,MATCH('Payment by Source'!$A285,'Budget by Source'!$A$6:$A$330,0),MATCH(S$3,'Budget by Source'!$A$5:$I$5,0))/10,0)*10)</f>
        <v>3</v>
      </c>
      <c r="T285" s="154">
        <f>INDEX('Budget by Source'!$A$6:$I$330,MATCH('Payment by Source'!$A285,'Budget by Source'!$A$6:$A$330,0),MATCH(T$3,'Budget by Source'!$A$5:$I$5,0))-(ROUND(INDEX('Budget by Source'!$A$6:$I$330,MATCH('Payment by Source'!$A285,'Budget by Source'!$A$6:$A$330,0),MATCH(T$3,'Budget by Source'!$A$5:$I$5,0))/10,0)*10)</f>
        <v>-2</v>
      </c>
      <c r="U285" s="155">
        <f>INDEX('Budget by Source'!$A$6:$I$330,MATCH('Payment by Source'!$A285,'Budget by Source'!$A$6:$A$330,0),MATCH(U$3,'Budget by Source'!$A$5:$I$5,0))</f>
        <v>2738143</v>
      </c>
      <c r="V285" s="152">
        <f t="shared" si="13"/>
        <v>273814</v>
      </c>
      <c r="W285" s="152">
        <f t="shared" si="14"/>
        <v>2738140</v>
      </c>
    </row>
    <row r="286" spans="1:23" x14ac:dyDescent="0.2">
      <c r="A286" s="23" t="str">
        <f>Data!B282</f>
        <v>6460</v>
      </c>
      <c r="B286" s="21" t="str">
        <f>INDEX(Data[],MATCH($A286,Data[Dist],0),MATCH(B$5,Data[#Headers],0))</f>
        <v>Tri-Center</v>
      </c>
      <c r="C286" s="22">
        <f>IF(Notes!$B$2="June",ROUND('Budget by Source'!C286/10,0)+P286,ROUND('Budget by Source'!C286/10,0))</f>
        <v>15964</v>
      </c>
      <c r="D286" s="22">
        <f>IF(Notes!$B$2="June",ROUND('Budget by Source'!D286/10,0)+Q286,ROUND('Budget by Source'!D286/10,0))</f>
        <v>43239</v>
      </c>
      <c r="E286" s="22">
        <f>IF(Notes!$B$2="June",ROUND('Budget by Source'!E286/10,0)+R286,ROUND('Budget by Source'!E286/10,0))</f>
        <v>4794</v>
      </c>
      <c r="F286" s="22">
        <f>IF(Notes!$B$2="June",ROUND('Budget by Source'!F286/10,0)+S286,ROUND('Budget by Source'!F286/10,0))</f>
        <v>4849</v>
      </c>
      <c r="G286" s="22">
        <f>IF(Notes!$B$2="June",ROUND('Budget by Source'!G286/10,0)+T286,ROUND('Budget by Source'!G286/10,0))</f>
        <v>24179</v>
      </c>
      <c r="H286" s="22">
        <f t="shared" si="12"/>
        <v>363033</v>
      </c>
      <c r="I286" s="22">
        <f>INDEX(Data[],MATCH($A286,Data[Dist],0),MATCH(I$5,Data[#Headers],0))</f>
        <v>456058</v>
      </c>
      <c r="K286" s="69">
        <f>INDEX('Payment Total'!$A$7:$H$331,MATCH('Payment by Source'!$A286,'Payment Total'!$A$7:$A$331,0),3)-I286</f>
        <v>0</v>
      </c>
      <c r="P286" s="154">
        <f>INDEX('Budget by Source'!$A$6:$I$330,MATCH('Payment by Source'!$A286,'Budget by Source'!$A$6:$A$330,0),MATCH(P$3,'Budget by Source'!$A$5:$I$5,0))-(ROUND(INDEX('Budget by Source'!$A$6:$I$330,MATCH('Payment by Source'!$A286,'Budget by Source'!$A$6:$A$330,0),MATCH(P$3,'Budget by Source'!$A$5:$I$5,0))/10,0)*10)</f>
        <v>-2</v>
      </c>
      <c r="Q286" s="154">
        <f>INDEX('Budget by Source'!$A$6:$I$330,MATCH('Payment by Source'!$A286,'Budget by Source'!$A$6:$A$330,0),MATCH(Q$3,'Budget by Source'!$A$5:$I$5,0))-(ROUND(INDEX('Budget by Source'!$A$6:$I$330,MATCH('Payment by Source'!$A286,'Budget by Source'!$A$6:$A$330,0),MATCH(Q$3,'Budget by Source'!$A$5:$I$5,0))/10,0)*10)</f>
        <v>0</v>
      </c>
      <c r="R286" s="154">
        <f>INDEX('Budget by Source'!$A$6:$I$330,MATCH('Payment by Source'!$A286,'Budget by Source'!$A$6:$A$330,0),MATCH(R$3,'Budget by Source'!$A$5:$I$5,0))-(ROUND(INDEX('Budget by Source'!$A$6:$I$330,MATCH('Payment by Source'!$A286,'Budget by Source'!$A$6:$A$330,0),MATCH(R$3,'Budget by Source'!$A$5:$I$5,0))/10,0)*10)</f>
        <v>1</v>
      </c>
      <c r="S286" s="154">
        <f>INDEX('Budget by Source'!$A$6:$I$330,MATCH('Payment by Source'!$A286,'Budget by Source'!$A$6:$A$330,0),MATCH(S$3,'Budget by Source'!$A$5:$I$5,0))-(ROUND(INDEX('Budget by Source'!$A$6:$I$330,MATCH('Payment by Source'!$A286,'Budget by Source'!$A$6:$A$330,0),MATCH(S$3,'Budget by Source'!$A$5:$I$5,0))/10,0)*10)</f>
        <v>-4</v>
      </c>
      <c r="T286" s="154">
        <f>INDEX('Budget by Source'!$A$6:$I$330,MATCH('Payment by Source'!$A286,'Budget by Source'!$A$6:$A$330,0),MATCH(T$3,'Budget by Source'!$A$5:$I$5,0))-(ROUND(INDEX('Budget by Source'!$A$6:$I$330,MATCH('Payment by Source'!$A286,'Budget by Source'!$A$6:$A$330,0),MATCH(T$3,'Budget by Source'!$A$5:$I$5,0))/10,0)*10)</f>
        <v>3</v>
      </c>
      <c r="U286" s="155">
        <f>INDEX('Budget by Source'!$A$6:$I$330,MATCH('Payment by Source'!$A286,'Budget by Source'!$A$6:$A$330,0),MATCH(U$3,'Budget by Source'!$A$5:$I$5,0))</f>
        <v>3630332</v>
      </c>
      <c r="V286" s="152">
        <f t="shared" si="13"/>
        <v>363033</v>
      </c>
      <c r="W286" s="152">
        <f t="shared" si="14"/>
        <v>3630330</v>
      </c>
    </row>
    <row r="287" spans="1:23" x14ac:dyDescent="0.2">
      <c r="A287" s="23" t="str">
        <f>Data!B283</f>
        <v>6462</v>
      </c>
      <c r="B287" s="21" t="str">
        <f>INDEX(Data[],MATCH($A287,Data[Dist],0),MATCH(B$5,Data[#Headers],0))</f>
        <v>Tri-County</v>
      </c>
      <c r="C287" s="22">
        <f>IF(Notes!$B$2="June",ROUND('Budget by Source'!C287/10,0)+P287,ROUND('Budget by Source'!C287/10,0))</f>
        <v>4941</v>
      </c>
      <c r="D287" s="22">
        <f>IF(Notes!$B$2="June",ROUND('Budget by Source'!D287/10,0)+Q287,ROUND('Budget by Source'!D287/10,0))</f>
        <v>19830</v>
      </c>
      <c r="E287" s="22">
        <f>IF(Notes!$B$2="June",ROUND('Budget by Source'!E287/10,0)+R287,ROUND('Budget by Source'!E287/10,0))</f>
        <v>2337</v>
      </c>
      <c r="F287" s="22">
        <f>IF(Notes!$B$2="June",ROUND('Budget by Source'!F287/10,0)+S287,ROUND('Budget by Source'!F287/10,0))</f>
        <v>1858</v>
      </c>
      <c r="G287" s="22">
        <f>IF(Notes!$B$2="June",ROUND('Budget by Source'!G287/10,0)+T287,ROUND('Budget by Source'!G287/10,0))</f>
        <v>9796</v>
      </c>
      <c r="H287" s="22">
        <f t="shared" si="12"/>
        <v>139638</v>
      </c>
      <c r="I287" s="22">
        <f>INDEX(Data[],MATCH($A287,Data[Dist],0),MATCH(I$5,Data[#Headers],0))</f>
        <v>178400</v>
      </c>
      <c r="K287" s="69">
        <f>INDEX('Payment Total'!$A$7:$H$331,MATCH('Payment by Source'!$A287,'Payment Total'!$A$7:$A$331,0),3)-I287</f>
        <v>0</v>
      </c>
      <c r="P287" s="154">
        <f>INDEX('Budget by Source'!$A$6:$I$330,MATCH('Payment by Source'!$A287,'Budget by Source'!$A$6:$A$330,0),MATCH(P$3,'Budget by Source'!$A$5:$I$5,0))-(ROUND(INDEX('Budget by Source'!$A$6:$I$330,MATCH('Payment by Source'!$A287,'Budget by Source'!$A$6:$A$330,0),MATCH(P$3,'Budget by Source'!$A$5:$I$5,0))/10,0)*10)</f>
        <v>2</v>
      </c>
      <c r="Q287" s="154">
        <f>INDEX('Budget by Source'!$A$6:$I$330,MATCH('Payment by Source'!$A287,'Budget by Source'!$A$6:$A$330,0),MATCH(Q$3,'Budget by Source'!$A$5:$I$5,0))-(ROUND(INDEX('Budget by Source'!$A$6:$I$330,MATCH('Payment by Source'!$A287,'Budget by Source'!$A$6:$A$330,0),MATCH(Q$3,'Budget by Source'!$A$5:$I$5,0))/10,0)*10)</f>
        <v>0</v>
      </c>
      <c r="R287" s="154">
        <f>INDEX('Budget by Source'!$A$6:$I$330,MATCH('Payment by Source'!$A287,'Budget by Source'!$A$6:$A$330,0),MATCH(R$3,'Budget by Source'!$A$5:$I$5,0))-(ROUND(INDEX('Budget by Source'!$A$6:$I$330,MATCH('Payment by Source'!$A287,'Budget by Source'!$A$6:$A$330,0),MATCH(R$3,'Budget by Source'!$A$5:$I$5,0))/10,0)*10)</f>
        <v>-1</v>
      </c>
      <c r="S287" s="154">
        <f>INDEX('Budget by Source'!$A$6:$I$330,MATCH('Payment by Source'!$A287,'Budget by Source'!$A$6:$A$330,0),MATCH(S$3,'Budget by Source'!$A$5:$I$5,0))-(ROUND(INDEX('Budget by Source'!$A$6:$I$330,MATCH('Payment by Source'!$A287,'Budget by Source'!$A$6:$A$330,0),MATCH(S$3,'Budget by Source'!$A$5:$I$5,0))/10,0)*10)</f>
        <v>-1</v>
      </c>
      <c r="T287" s="154">
        <f>INDEX('Budget by Source'!$A$6:$I$330,MATCH('Payment by Source'!$A287,'Budget by Source'!$A$6:$A$330,0),MATCH(T$3,'Budget by Source'!$A$5:$I$5,0))-(ROUND(INDEX('Budget by Source'!$A$6:$I$330,MATCH('Payment by Source'!$A287,'Budget by Source'!$A$6:$A$330,0),MATCH(T$3,'Budget by Source'!$A$5:$I$5,0))/10,0)*10)</f>
        <v>-5</v>
      </c>
      <c r="U287" s="155">
        <f>INDEX('Budget by Source'!$A$6:$I$330,MATCH('Payment by Source'!$A287,'Budget by Source'!$A$6:$A$330,0),MATCH(U$3,'Budget by Source'!$A$5:$I$5,0))</f>
        <v>1396381</v>
      </c>
      <c r="V287" s="152">
        <f t="shared" si="13"/>
        <v>139638</v>
      </c>
      <c r="W287" s="152">
        <f t="shared" si="14"/>
        <v>1396380</v>
      </c>
    </row>
    <row r="288" spans="1:23" x14ac:dyDescent="0.2">
      <c r="A288" s="23" t="str">
        <f>Data!B284</f>
        <v>6471</v>
      </c>
      <c r="B288" s="21" t="str">
        <f>INDEX(Data[],MATCH($A288,Data[Dist],0),MATCH(B$5,Data[#Headers],0))</f>
        <v>Tripoli</v>
      </c>
      <c r="C288" s="22">
        <f>IF(Notes!$B$2="June",ROUND('Budget by Source'!C288/10,0)+P288,ROUND('Budget by Source'!C288/10,0))</f>
        <v>0</v>
      </c>
      <c r="D288" s="22">
        <f>IF(Notes!$B$2="June",ROUND('Budget by Source'!D288/10,0)+Q288,ROUND('Budget by Source'!D288/10,0))</f>
        <v>26930</v>
      </c>
      <c r="E288" s="22">
        <f>IF(Notes!$B$2="June",ROUND('Budget by Source'!E288/10,0)+R288,ROUND('Budget by Source'!E288/10,0))</f>
        <v>2911</v>
      </c>
      <c r="F288" s="22">
        <f>IF(Notes!$B$2="June",ROUND('Budget by Source'!F288/10,0)+S288,ROUND('Budget by Source'!F288/10,0))</f>
        <v>2806</v>
      </c>
      <c r="G288" s="22">
        <f>IF(Notes!$B$2="June",ROUND('Budget by Source'!G288/10,0)+T288,ROUND('Budget by Source'!G288/10,0))</f>
        <v>14030</v>
      </c>
      <c r="H288" s="22">
        <f t="shared" si="12"/>
        <v>231476</v>
      </c>
      <c r="I288" s="22">
        <f>INDEX(Data[],MATCH($A288,Data[Dist],0),MATCH(I$5,Data[#Headers],0))</f>
        <v>278153</v>
      </c>
      <c r="K288" s="69">
        <f>INDEX('Payment Total'!$A$7:$H$331,MATCH('Payment by Source'!$A288,'Payment Total'!$A$7:$A$331,0),3)-I288</f>
        <v>0</v>
      </c>
      <c r="P288" s="154">
        <f>INDEX('Budget by Source'!$A$6:$I$330,MATCH('Payment by Source'!$A288,'Budget by Source'!$A$6:$A$330,0),MATCH(P$3,'Budget by Source'!$A$5:$I$5,0))-(ROUND(INDEX('Budget by Source'!$A$6:$I$330,MATCH('Payment by Source'!$A288,'Budget by Source'!$A$6:$A$330,0),MATCH(P$3,'Budget by Source'!$A$5:$I$5,0))/10,0)*10)</f>
        <v>0</v>
      </c>
      <c r="Q288" s="154">
        <f>INDEX('Budget by Source'!$A$6:$I$330,MATCH('Payment by Source'!$A288,'Budget by Source'!$A$6:$A$330,0),MATCH(Q$3,'Budget by Source'!$A$5:$I$5,0))-(ROUND(INDEX('Budget by Source'!$A$6:$I$330,MATCH('Payment by Source'!$A288,'Budget by Source'!$A$6:$A$330,0),MATCH(Q$3,'Budget by Source'!$A$5:$I$5,0))/10,0)*10)</f>
        <v>-4</v>
      </c>
      <c r="R288" s="154">
        <f>INDEX('Budget by Source'!$A$6:$I$330,MATCH('Payment by Source'!$A288,'Budget by Source'!$A$6:$A$330,0),MATCH(R$3,'Budget by Source'!$A$5:$I$5,0))-(ROUND(INDEX('Budget by Source'!$A$6:$I$330,MATCH('Payment by Source'!$A288,'Budget by Source'!$A$6:$A$330,0),MATCH(R$3,'Budget by Source'!$A$5:$I$5,0))/10,0)*10)</f>
        <v>-2</v>
      </c>
      <c r="S288" s="154">
        <f>INDEX('Budget by Source'!$A$6:$I$330,MATCH('Payment by Source'!$A288,'Budget by Source'!$A$6:$A$330,0),MATCH(S$3,'Budget by Source'!$A$5:$I$5,0))-(ROUND(INDEX('Budget by Source'!$A$6:$I$330,MATCH('Payment by Source'!$A288,'Budget by Source'!$A$6:$A$330,0),MATCH(S$3,'Budget by Source'!$A$5:$I$5,0))/10,0)*10)</f>
        <v>-2</v>
      </c>
      <c r="T288" s="154">
        <f>INDEX('Budget by Source'!$A$6:$I$330,MATCH('Payment by Source'!$A288,'Budget by Source'!$A$6:$A$330,0),MATCH(T$3,'Budget by Source'!$A$5:$I$5,0))-(ROUND(INDEX('Budget by Source'!$A$6:$I$330,MATCH('Payment by Source'!$A288,'Budget by Source'!$A$6:$A$330,0),MATCH(T$3,'Budget by Source'!$A$5:$I$5,0))/10,0)*10)</f>
        <v>-1</v>
      </c>
      <c r="U288" s="155">
        <f>INDEX('Budget by Source'!$A$6:$I$330,MATCH('Payment by Source'!$A288,'Budget by Source'!$A$6:$A$330,0),MATCH(U$3,'Budget by Source'!$A$5:$I$5,0))</f>
        <v>2314767</v>
      </c>
      <c r="V288" s="152">
        <f t="shared" si="13"/>
        <v>231477</v>
      </c>
      <c r="W288" s="152">
        <f t="shared" si="14"/>
        <v>2314770</v>
      </c>
    </row>
    <row r="289" spans="1:23" x14ac:dyDescent="0.2">
      <c r="A289" s="23" t="str">
        <f>Data!B285</f>
        <v>6509</v>
      </c>
      <c r="B289" s="21" t="str">
        <f>INDEX(Data[],MATCH($A289,Data[Dist],0),MATCH(B$5,Data[#Headers],0))</f>
        <v>Turkey Valley</v>
      </c>
      <c r="C289" s="22">
        <f>IF(Notes!$B$2="June",ROUND('Budget by Source'!C289/10,0)+P289,ROUND('Budget by Source'!C289/10,0))</f>
        <v>12543</v>
      </c>
      <c r="D289" s="22">
        <f>IF(Notes!$B$2="June",ROUND('Budget by Source'!D289/10,0)+Q289,ROUND('Budget by Source'!D289/10,0))</f>
        <v>24893</v>
      </c>
      <c r="E289" s="22">
        <f>IF(Notes!$B$2="June",ROUND('Budget by Source'!E289/10,0)+R289,ROUND('Budget by Source'!E289/10,0))</f>
        <v>2157</v>
      </c>
      <c r="F289" s="22">
        <f>IF(Notes!$B$2="June",ROUND('Budget by Source'!F289/10,0)+S289,ROUND('Budget by Source'!F289/10,0))</f>
        <v>2850</v>
      </c>
      <c r="G289" s="22">
        <f>IF(Notes!$B$2="June",ROUND('Budget by Source'!G289/10,0)+T289,ROUND('Budget by Source'!G289/10,0))</f>
        <v>13075</v>
      </c>
      <c r="H289" s="22">
        <f t="shared" si="12"/>
        <v>166669</v>
      </c>
      <c r="I289" s="22">
        <f>INDEX(Data[],MATCH($A289,Data[Dist],0),MATCH(I$5,Data[#Headers],0))</f>
        <v>222187</v>
      </c>
      <c r="K289" s="69">
        <f>INDEX('Payment Total'!$A$7:$H$331,MATCH('Payment by Source'!$A289,'Payment Total'!$A$7:$A$331,0),3)-I289</f>
        <v>0</v>
      </c>
      <c r="P289" s="154">
        <f>INDEX('Budget by Source'!$A$6:$I$330,MATCH('Payment by Source'!$A289,'Budget by Source'!$A$6:$A$330,0),MATCH(P$3,'Budget by Source'!$A$5:$I$5,0))-(ROUND(INDEX('Budget by Source'!$A$6:$I$330,MATCH('Payment by Source'!$A289,'Budget by Source'!$A$6:$A$330,0),MATCH(P$3,'Budget by Source'!$A$5:$I$5,0))/10,0)*10)</f>
        <v>1</v>
      </c>
      <c r="Q289" s="154">
        <f>INDEX('Budget by Source'!$A$6:$I$330,MATCH('Payment by Source'!$A289,'Budget by Source'!$A$6:$A$330,0),MATCH(Q$3,'Budget by Source'!$A$5:$I$5,0))-(ROUND(INDEX('Budget by Source'!$A$6:$I$330,MATCH('Payment by Source'!$A289,'Budget by Source'!$A$6:$A$330,0),MATCH(Q$3,'Budget by Source'!$A$5:$I$5,0))/10,0)*10)</f>
        <v>-2</v>
      </c>
      <c r="R289" s="154">
        <f>INDEX('Budget by Source'!$A$6:$I$330,MATCH('Payment by Source'!$A289,'Budget by Source'!$A$6:$A$330,0),MATCH(R$3,'Budget by Source'!$A$5:$I$5,0))-(ROUND(INDEX('Budget by Source'!$A$6:$I$330,MATCH('Payment by Source'!$A289,'Budget by Source'!$A$6:$A$330,0),MATCH(R$3,'Budget by Source'!$A$5:$I$5,0))/10,0)*10)</f>
        <v>2</v>
      </c>
      <c r="S289" s="154">
        <f>INDEX('Budget by Source'!$A$6:$I$330,MATCH('Payment by Source'!$A289,'Budget by Source'!$A$6:$A$330,0),MATCH(S$3,'Budget by Source'!$A$5:$I$5,0))-(ROUND(INDEX('Budget by Source'!$A$6:$I$330,MATCH('Payment by Source'!$A289,'Budget by Source'!$A$6:$A$330,0),MATCH(S$3,'Budget by Source'!$A$5:$I$5,0))/10,0)*10)</f>
        <v>-2</v>
      </c>
      <c r="T289" s="154">
        <f>INDEX('Budget by Source'!$A$6:$I$330,MATCH('Payment by Source'!$A289,'Budget by Source'!$A$6:$A$330,0),MATCH(T$3,'Budget by Source'!$A$5:$I$5,0))-(ROUND(INDEX('Budget by Source'!$A$6:$I$330,MATCH('Payment by Source'!$A289,'Budget by Source'!$A$6:$A$330,0),MATCH(T$3,'Budget by Source'!$A$5:$I$5,0))/10,0)*10)</f>
        <v>4</v>
      </c>
      <c r="U289" s="155">
        <f>INDEX('Budget by Source'!$A$6:$I$330,MATCH('Payment by Source'!$A289,'Budget by Source'!$A$6:$A$330,0),MATCH(U$3,'Budget by Source'!$A$5:$I$5,0))</f>
        <v>1666689</v>
      </c>
      <c r="V289" s="152">
        <f t="shared" si="13"/>
        <v>166669</v>
      </c>
      <c r="W289" s="152">
        <f t="shared" si="14"/>
        <v>1666690</v>
      </c>
    </row>
    <row r="290" spans="1:23" x14ac:dyDescent="0.2">
      <c r="A290" s="23" t="str">
        <f>Data!B286</f>
        <v>6512</v>
      </c>
      <c r="B290" s="21" t="str">
        <f>INDEX(Data[],MATCH($A290,Data[Dist],0),MATCH(B$5,Data[#Headers],0))</f>
        <v>Twin Cedars</v>
      </c>
      <c r="C290" s="22">
        <f>IF(Notes!$B$2="June",ROUND('Budget by Source'!C290/10,0)+P290,ROUND('Budget by Source'!C290/10,0))</f>
        <v>5321</v>
      </c>
      <c r="D290" s="22">
        <f>IF(Notes!$B$2="June",ROUND('Budget by Source'!D290/10,0)+Q290,ROUND('Budget by Source'!D290/10,0))</f>
        <v>22946</v>
      </c>
      <c r="E290" s="22">
        <f>IF(Notes!$B$2="June",ROUND('Budget by Source'!E290/10,0)+R290,ROUND('Budget by Source'!E290/10,0))</f>
        <v>2798</v>
      </c>
      <c r="F290" s="22">
        <f>IF(Notes!$B$2="June",ROUND('Budget by Source'!F290/10,0)+S290,ROUND('Budget by Source'!F290/10,0))</f>
        <v>2416</v>
      </c>
      <c r="G290" s="22">
        <f>IF(Notes!$B$2="June",ROUND('Budget by Source'!G290/10,0)+T290,ROUND('Budget by Source'!G290/10,0))</f>
        <v>11904</v>
      </c>
      <c r="H290" s="22">
        <f t="shared" si="12"/>
        <v>210494</v>
      </c>
      <c r="I290" s="22">
        <f>INDEX(Data[],MATCH($A290,Data[Dist],0),MATCH(I$5,Data[#Headers],0))</f>
        <v>255879</v>
      </c>
      <c r="K290" s="69">
        <f>INDEX('Payment Total'!$A$7:$H$331,MATCH('Payment by Source'!$A290,'Payment Total'!$A$7:$A$331,0),3)-I290</f>
        <v>0</v>
      </c>
      <c r="P290" s="154">
        <f>INDEX('Budget by Source'!$A$6:$I$330,MATCH('Payment by Source'!$A290,'Budget by Source'!$A$6:$A$330,0),MATCH(P$3,'Budget by Source'!$A$5:$I$5,0))-(ROUND(INDEX('Budget by Source'!$A$6:$I$330,MATCH('Payment by Source'!$A290,'Budget by Source'!$A$6:$A$330,0),MATCH(P$3,'Budget by Source'!$A$5:$I$5,0))/10,0)*10)</f>
        <v>3</v>
      </c>
      <c r="Q290" s="154">
        <f>INDEX('Budget by Source'!$A$6:$I$330,MATCH('Payment by Source'!$A290,'Budget by Source'!$A$6:$A$330,0),MATCH(Q$3,'Budget by Source'!$A$5:$I$5,0))-(ROUND(INDEX('Budget by Source'!$A$6:$I$330,MATCH('Payment by Source'!$A290,'Budget by Source'!$A$6:$A$330,0),MATCH(Q$3,'Budget by Source'!$A$5:$I$5,0))/10,0)*10)</f>
        <v>-1</v>
      </c>
      <c r="R290" s="154">
        <f>INDEX('Budget by Source'!$A$6:$I$330,MATCH('Payment by Source'!$A290,'Budget by Source'!$A$6:$A$330,0),MATCH(R$3,'Budget by Source'!$A$5:$I$5,0))-(ROUND(INDEX('Budget by Source'!$A$6:$I$330,MATCH('Payment by Source'!$A290,'Budget by Source'!$A$6:$A$330,0),MATCH(R$3,'Budget by Source'!$A$5:$I$5,0))/10,0)*10)</f>
        <v>1</v>
      </c>
      <c r="S290" s="154">
        <f>INDEX('Budget by Source'!$A$6:$I$330,MATCH('Payment by Source'!$A290,'Budget by Source'!$A$6:$A$330,0),MATCH(S$3,'Budget by Source'!$A$5:$I$5,0))-(ROUND(INDEX('Budget by Source'!$A$6:$I$330,MATCH('Payment by Source'!$A290,'Budget by Source'!$A$6:$A$330,0),MATCH(S$3,'Budget by Source'!$A$5:$I$5,0))/10,0)*10)</f>
        <v>0</v>
      </c>
      <c r="T290" s="154">
        <f>INDEX('Budget by Source'!$A$6:$I$330,MATCH('Payment by Source'!$A290,'Budget by Source'!$A$6:$A$330,0),MATCH(T$3,'Budget by Source'!$A$5:$I$5,0))-(ROUND(INDEX('Budget by Source'!$A$6:$I$330,MATCH('Payment by Source'!$A290,'Budget by Source'!$A$6:$A$330,0),MATCH(T$3,'Budget by Source'!$A$5:$I$5,0))/10,0)*10)</f>
        <v>-5</v>
      </c>
      <c r="U290" s="155">
        <f>INDEX('Budget by Source'!$A$6:$I$330,MATCH('Payment by Source'!$A290,'Budget by Source'!$A$6:$A$330,0),MATCH(U$3,'Budget by Source'!$A$5:$I$5,0))</f>
        <v>2104944</v>
      </c>
      <c r="V290" s="152">
        <f t="shared" si="13"/>
        <v>210494</v>
      </c>
      <c r="W290" s="152">
        <f t="shared" si="14"/>
        <v>2104940</v>
      </c>
    </row>
    <row r="291" spans="1:23" x14ac:dyDescent="0.2">
      <c r="A291" s="23" t="str">
        <f>Data!B287</f>
        <v>6516</v>
      </c>
      <c r="B291" s="21" t="str">
        <f>INDEX(Data[],MATCH($A291,Data[Dist],0),MATCH(B$5,Data[#Headers],0))</f>
        <v>Twin Rivers</v>
      </c>
      <c r="C291" s="22">
        <f>IF(Notes!$B$2="June",ROUND('Budget by Source'!C291/10,0)+P291,ROUND('Budget by Source'!C291/10,0))</f>
        <v>760</v>
      </c>
      <c r="D291" s="22">
        <f>IF(Notes!$B$2="June",ROUND('Budget by Source'!D291/10,0)+Q291,ROUND('Budget by Source'!D291/10,0))</f>
        <v>11705</v>
      </c>
      <c r="E291" s="22">
        <f>IF(Notes!$B$2="June",ROUND('Budget by Source'!E291/10,0)+R291,ROUND('Budget by Source'!E291/10,0))</f>
        <v>1165</v>
      </c>
      <c r="F291" s="22">
        <f>IF(Notes!$B$2="June",ROUND('Budget by Source'!F291/10,0)+S291,ROUND('Budget by Source'!F291/10,0))</f>
        <v>1166</v>
      </c>
      <c r="G291" s="22">
        <f>IF(Notes!$B$2="June",ROUND('Budget by Source'!G291/10,0)+T291,ROUND('Budget by Source'!G291/10,0))</f>
        <v>5897</v>
      </c>
      <c r="H291" s="22">
        <f t="shared" si="12"/>
        <v>60286</v>
      </c>
      <c r="I291" s="22">
        <f>INDEX(Data[],MATCH($A291,Data[Dist],0),MATCH(I$5,Data[#Headers],0))</f>
        <v>80979</v>
      </c>
      <c r="K291" s="69">
        <f>INDEX('Payment Total'!$A$7:$H$331,MATCH('Payment by Source'!$A291,'Payment Total'!$A$7:$A$331,0),3)-I291</f>
        <v>0</v>
      </c>
      <c r="P291" s="154">
        <f>INDEX('Budget by Source'!$A$6:$I$330,MATCH('Payment by Source'!$A291,'Budget by Source'!$A$6:$A$330,0),MATCH(P$3,'Budget by Source'!$A$5:$I$5,0))-(ROUND(INDEX('Budget by Source'!$A$6:$I$330,MATCH('Payment by Source'!$A291,'Budget by Source'!$A$6:$A$330,0),MATCH(P$3,'Budget by Source'!$A$5:$I$5,0))/10,0)*10)</f>
        <v>2</v>
      </c>
      <c r="Q291" s="154">
        <f>INDEX('Budget by Source'!$A$6:$I$330,MATCH('Payment by Source'!$A291,'Budget by Source'!$A$6:$A$330,0),MATCH(Q$3,'Budget by Source'!$A$5:$I$5,0))-(ROUND(INDEX('Budget by Source'!$A$6:$I$330,MATCH('Payment by Source'!$A291,'Budget by Source'!$A$6:$A$330,0),MATCH(Q$3,'Budget by Source'!$A$5:$I$5,0))/10,0)*10)</f>
        <v>-5</v>
      </c>
      <c r="R291" s="154">
        <f>INDEX('Budget by Source'!$A$6:$I$330,MATCH('Payment by Source'!$A291,'Budget by Source'!$A$6:$A$330,0),MATCH(R$3,'Budget by Source'!$A$5:$I$5,0))-(ROUND(INDEX('Budget by Source'!$A$6:$I$330,MATCH('Payment by Source'!$A291,'Budget by Source'!$A$6:$A$330,0),MATCH(R$3,'Budget by Source'!$A$5:$I$5,0))/10,0)*10)</f>
        <v>4</v>
      </c>
      <c r="S291" s="154">
        <f>INDEX('Budget by Source'!$A$6:$I$330,MATCH('Payment by Source'!$A291,'Budget by Source'!$A$6:$A$330,0),MATCH(S$3,'Budget by Source'!$A$5:$I$5,0))-(ROUND(INDEX('Budget by Source'!$A$6:$I$330,MATCH('Payment by Source'!$A291,'Budget by Source'!$A$6:$A$330,0),MATCH(S$3,'Budget by Source'!$A$5:$I$5,0))/10,0)*10)</f>
        <v>-4</v>
      </c>
      <c r="T291" s="154">
        <f>INDEX('Budget by Source'!$A$6:$I$330,MATCH('Payment by Source'!$A291,'Budget by Source'!$A$6:$A$330,0),MATCH(T$3,'Budget by Source'!$A$5:$I$5,0))-(ROUND(INDEX('Budget by Source'!$A$6:$I$330,MATCH('Payment by Source'!$A291,'Budget by Source'!$A$6:$A$330,0),MATCH(T$3,'Budget by Source'!$A$5:$I$5,0))/10,0)*10)</f>
        <v>-5</v>
      </c>
      <c r="U291" s="155">
        <f>INDEX('Budget by Source'!$A$6:$I$330,MATCH('Payment by Source'!$A291,'Budget by Source'!$A$6:$A$330,0),MATCH(U$3,'Budget by Source'!$A$5:$I$5,0))</f>
        <v>602868</v>
      </c>
      <c r="V291" s="152">
        <f t="shared" si="13"/>
        <v>60287</v>
      </c>
      <c r="W291" s="152">
        <f t="shared" si="14"/>
        <v>602870</v>
      </c>
    </row>
    <row r="292" spans="1:23" x14ac:dyDescent="0.2">
      <c r="A292" s="23" t="str">
        <f>Data!B288</f>
        <v>6534</v>
      </c>
      <c r="B292" s="21" t="str">
        <f>INDEX(Data[],MATCH($A292,Data[Dist],0),MATCH(B$5,Data[#Headers],0))</f>
        <v>Underwood</v>
      </c>
      <c r="C292" s="22">
        <f>IF(Notes!$B$2="June",ROUND('Budget by Source'!C292/10,0)+P292,ROUND('Budget by Source'!C292/10,0))</f>
        <v>13303</v>
      </c>
      <c r="D292" s="22">
        <f>IF(Notes!$B$2="June",ROUND('Budget by Source'!D292/10,0)+Q292,ROUND('Budget by Source'!D292/10,0))</f>
        <v>47961</v>
      </c>
      <c r="E292" s="22">
        <f>IF(Notes!$B$2="June",ROUND('Budget by Source'!E292/10,0)+R292,ROUND('Budget by Source'!E292/10,0))</f>
        <v>5511</v>
      </c>
      <c r="F292" s="22">
        <f>IF(Notes!$B$2="June",ROUND('Budget by Source'!F292/10,0)+S292,ROUND('Budget by Source'!F292/10,0))</f>
        <v>5001</v>
      </c>
      <c r="G292" s="22">
        <f>IF(Notes!$B$2="June",ROUND('Budget by Source'!G292/10,0)+T292,ROUND('Budget by Source'!G292/10,0))</f>
        <v>28182</v>
      </c>
      <c r="H292" s="22">
        <f t="shared" si="12"/>
        <v>414622</v>
      </c>
      <c r="I292" s="22">
        <f>INDEX(Data[],MATCH($A292,Data[Dist],0),MATCH(I$5,Data[#Headers],0))</f>
        <v>514580</v>
      </c>
      <c r="K292" s="69">
        <f>INDEX('Payment Total'!$A$7:$H$331,MATCH('Payment by Source'!$A292,'Payment Total'!$A$7:$A$331,0),3)-I292</f>
        <v>0</v>
      </c>
      <c r="P292" s="154">
        <f>INDEX('Budget by Source'!$A$6:$I$330,MATCH('Payment by Source'!$A292,'Budget by Source'!$A$6:$A$330,0),MATCH(P$3,'Budget by Source'!$A$5:$I$5,0))-(ROUND(INDEX('Budget by Source'!$A$6:$I$330,MATCH('Payment by Source'!$A292,'Budget by Source'!$A$6:$A$330,0),MATCH(P$3,'Budget by Source'!$A$5:$I$5,0))/10,0)*10)</f>
        <v>3</v>
      </c>
      <c r="Q292" s="154">
        <f>INDEX('Budget by Source'!$A$6:$I$330,MATCH('Payment by Source'!$A292,'Budget by Source'!$A$6:$A$330,0),MATCH(Q$3,'Budget by Source'!$A$5:$I$5,0))-(ROUND(INDEX('Budget by Source'!$A$6:$I$330,MATCH('Payment by Source'!$A292,'Budget by Source'!$A$6:$A$330,0),MATCH(Q$3,'Budget by Source'!$A$5:$I$5,0))/10,0)*10)</f>
        <v>2</v>
      </c>
      <c r="R292" s="154">
        <f>INDEX('Budget by Source'!$A$6:$I$330,MATCH('Payment by Source'!$A292,'Budget by Source'!$A$6:$A$330,0),MATCH(R$3,'Budget by Source'!$A$5:$I$5,0))-(ROUND(INDEX('Budget by Source'!$A$6:$I$330,MATCH('Payment by Source'!$A292,'Budget by Source'!$A$6:$A$330,0),MATCH(R$3,'Budget by Source'!$A$5:$I$5,0))/10,0)*10)</f>
        <v>2</v>
      </c>
      <c r="S292" s="154">
        <f>INDEX('Budget by Source'!$A$6:$I$330,MATCH('Payment by Source'!$A292,'Budget by Source'!$A$6:$A$330,0),MATCH(S$3,'Budget by Source'!$A$5:$I$5,0))-(ROUND(INDEX('Budget by Source'!$A$6:$I$330,MATCH('Payment by Source'!$A292,'Budget by Source'!$A$6:$A$330,0),MATCH(S$3,'Budget by Source'!$A$5:$I$5,0))/10,0)*10)</f>
        <v>1</v>
      </c>
      <c r="T292" s="154">
        <f>INDEX('Budget by Source'!$A$6:$I$330,MATCH('Payment by Source'!$A292,'Budget by Source'!$A$6:$A$330,0),MATCH(T$3,'Budget by Source'!$A$5:$I$5,0))-(ROUND(INDEX('Budget by Source'!$A$6:$I$330,MATCH('Payment by Source'!$A292,'Budget by Source'!$A$6:$A$330,0),MATCH(T$3,'Budget by Source'!$A$5:$I$5,0))/10,0)*10)</f>
        <v>-5</v>
      </c>
      <c r="U292" s="155">
        <f>INDEX('Budget by Source'!$A$6:$I$330,MATCH('Payment by Source'!$A292,'Budget by Source'!$A$6:$A$330,0),MATCH(U$3,'Budget by Source'!$A$5:$I$5,0))</f>
        <v>4146216</v>
      </c>
      <c r="V292" s="152">
        <f t="shared" si="13"/>
        <v>414622</v>
      </c>
      <c r="W292" s="152">
        <f t="shared" si="14"/>
        <v>4146220</v>
      </c>
    </row>
    <row r="293" spans="1:23" x14ac:dyDescent="0.2">
      <c r="A293" s="23" t="str">
        <f>Data!B289</f>
        <v>6561</v>
      </c>
      <c r="B293" s="21" t="str">
        <f>INDEX(Data[],MATCH($A293,Data[Dist],0),MATCH(B$5,Data[#Headers],0))</f>
        <v>United</v>
      </c>
      <c r="C293" s="22">
        <f>IF(Notes!$B$2="June",ROUND('Budget by Source'!C293/10,0)+P293,ROUND('Budget by Source'!C293/10,0))</f>
        <v>20145</v>
      </c>
      <c r="D293" s="22">
        <f>IF(Notes!$B$2="June",ROUND('Budget by Source'!D293/10,0)+Q293,ROUND('Budget by Source'!D293/10,0))</f>
        <v>22304</v>
      </c>
      <c r="E293" s="22">
        <f>IF(Notes!$B$2="June",ROUND('Budget by Source'!E293/10,0)+R293,ROUND('Budget by Source'!E293/10,0))</f>
        <v>2982</v>
      </c>
      <c r="F293" s="22">
        <f>IF(Notes!$B$2="June",ROUND('Budget by Source'!F293/10,0)+S293,ROUND('Budget by Source'!F293/10,0))</f>
        <v>1992</v>
      </c>
      <c r="G293" s="22">
        <f>IF(Notes!$B$2="June",ROUND('Budget by Source'!G293/10,0)+T293,ROUND('Budget by Source'!G293/10,0))</f>
        <v>14222</v>
      </c>
      <c r="H293" s="22">
        <f t="shared" si="12"/>
        <v>101624</v>
      </c>
      <c r="I293" s="22">
        <f>INDEX(Data[],MATCH($A293,Data[Dist],0),MATCH(I$5,Data[#Headers],0))</f>
        <v>163269</v>
      </c>
      <c r="K293" s="69">
        <f>INDEX('Payment Total'!$A$7:$H$331,MATCH('Payment by Source'!$A293,'Payment Total'!$A$7:$A$331,0),3)-I293</f>
        <v>0</v>
      </c>
      <c r="P293" s="154">
        <f>INDEX('Budget by Source'!$A$6:$I$330,MATCH('Payment by Source'!$A293,'Budget by Source'!$A$6:$A$330,0),MATCH(P$3,'Budget by Source'!$A$5:$I$5,0))-(ROUND(INDEX('Budget by Source'!$A$6:$I$330,MATCH('Payment by Source'!$A293,'Budget by Source'!$A$6:$A$330,0),MATCH(P$3,'Budget by Source'!$A$5:$I$5,0))/10,0)*10)</f>
        <v>-1</v>
      </c>
      <c r="Q293" s="154">
        <f>INDEX('Budget by Source'!$A$6:$I$330,MATCH('Payment by Source'!$A293,'Budget by Source'!$A$6:$A$330,0),MATCH(Q$3,'Budget by Source'!$A$5:$I$5,0))-(ROUND(INDEX('Budget by Source'!$A$6:$I$330,MATCH('Payment by Source'!$A293,'Budget by Source'!$A$6:$A$330,0),MATCH(Q$3,'Budget by Source'!$A$5:$I$5,0))/10,0)*10)</f>
        <v>-5</v>
      </c>
      <c r="R293" s="154">
        <f>INDEX('Budget by Source'!$A$6:$I$330,MATCH('Payment by Source'!$A293,'Budget by Source'!$A$6:$A$330,0),MATCH(R$3,'Budget by Source'!$A$5:$I$5,0))-(ROUND(INDEX('Budget by Source'!$A$6:$I$330,MATCH('Payment by Source'!$A293,'Budget by Source'!$A$6:$A$330,0),MATCH(R$3,'Budget by Source'!$A$5:$I$5,0))/10,0)*10)</f>
        <v>-2</v>
      </c>
      <c r="S293" s="154">
        <f>INDEX('Budget by Source'!$A$6:$I$330,MATCH('Payment by Source'!$A293,'Budget by Source'!$A$6:$A$330,0),MATCH(S$3,'Budget by Source'!$A$5:$I$5,0))-(ROUND(INDEX('Budget by Source'!$A$6:$I$330,MATCH('Payment by Source'!$A293,'Budget by Source'!$A$6:$A$330,0),MATCH(S$3,'Budget by Source'!$A$5:$I$5,0))/10,0)*10)</f>
        <v>4</v>
      </c>
      <c r="T293" s="154">
        <f>INDEX('Budget by Source'!$A$6:$I$330,MATCH('Payment by Source'!$A293,'Budget by Source'!$A$6:$A$330,0),MATCH(T$3,'Budget by Source'!$A$5:$I$5,0))-(ROUND(INDEX('Budget by Source'!$A$6:$I$330,MATCH('Payment by Source'!$A293,'Budget by Source'!$A$6:$A$330,0),MATCH(T$3,'Budget by Source'!$A$5:$I$5,0))/10,0)*10)</f>
        <v>-4</v>
      </c>
      <c r="U293" s="155">
        <f>INDEX('Budget by Source'!$A$6:$I$330,MATCH('Payment by Source'!$A293,'Budget by Source'!$A$6:$A$330,0),MATCH(U$3,'Budget by Source'!$A$5:$I$5,0))</f>
        <v>1016243</v>
      </c>
      <c r="V293" s="152">
        <f t="shared" si="13"/>
        <v>101624</v>
      </c>
      <c r="W293" s="152">
        <f t="shared" si="14"/>
        <v>1016240</v>
      </c>
    </row>
    <row r="294" spans="1:23" x14ac:dyDescent="0.2">
      <c r="A294" s="23" t="str">
        <f>Data!B290</f>
        <v>6579</v>
      </c>
      <c r="B294" s="21" t="str">
        <f>INDEX(Data[],MATCH($A294,Data[Dist],0),MATCH(B$5,Data[#Headers],0))</f>
        <v>Urbandale</v>
      </c>
      <c r="C294" s="22">
        <f>IF(Notes!$B$2="June",ROUND('Budget by Source'!C294/10,0)+P294,ROUND('Budget by Source'!C294/10,0))</f>
        <v>74869</v>
      </c>
      <c r="D294" s="22">
        <f>IF(Notes!$B$2="June",ROUND('Budget by Source'!D294/10,0)+Q294,ROUND('Budget by Source'!D294/10,0))</f>
        <v>228430</v>
      </c>
      <c r="E294" s="22">
        <f>IF(Notes!$B$2="June",ROUND('Budget by Source'!E294/10,0)+R294,ROUND('Budget by Source'!E294/10,0))</f>
        <v>26160</v>
      </c>
      <c r="F294" s="22">
        <f>IF(Notes!$B$2="June",ROUND('Budget by Source'!F294/10,0)+S294,ROUND('Budget by Source'!F294/10,0))</f>
        <v>26822</v>
      </c>
      <c r="G294" s="22">
        <f>IF(Notes!$B$2="June",ROUND('Budget by Source'!G294/10,0)+T294,ROUND('Budget by Source'!G294/10,0))</f>
        <v>127069</v>
      </c>
      <c r="H294" s="22">
        <f t="shared" si="12"/>
        <v>1886570</v>
      </c>
      <c r="I294" s="22">
        <f>INDEX(Data[],MATCH($A294,Data[Dist],0),MATCH(I$5,Data[#Headers],0))</f>
        <v>2369920</v>
      </c>
      <c r="K294" s="69">
        <f>INDEX('Payment Total'!$A$7:$H$331,MATCH('Payment by Source'!$A294,'Payment Total'!$A$7:$A$331,0),3)-I294</f>
        <v>0</v>
      </c>
      <c r="P294" s="154">
        <f>INDEX('Budget by Source'!$A$6:$I$330,MATCH('Payment by Source'!$A294,'Budget by Source'!$A$6:$A$330,0),MATCH(P$3,'Budget by Source'!$A$5:$I$5,0))-(ROUND(INDEX('Budget by Source'!$A$6:$I$330,MATCH('Payment by Source'!$A294,'Budget by Source'!$A$6:$A$330,0),MATCH(P$3,'Budget by Source'!$A$5:$I$5,0))/10,0)*10)</f>
        <v>-4</v>
      </c>
      <c r="Q294" s="154">
        <f>INDEX('Budget by Source'!$A$6:$I$330,MATCH('Payment by Source'!$A294,'Budget by Source'!$A$6:$A$330,0),MATCH(Q$3,'Budget by Source'!$A$5:$I$5,0))-(ROUND(INDEX('Budget by Source'!$A$6:$I$330,MATCH('Payment by Source'!$A294,'Budget by Source'!$A$6:$A$330,0),MATCH(Q$3,'Budget by Source'!$A$5:$I$5,0))/10,0)*10)</f>
        <v>0</v>
      </c>
      <c r="R294" s="154">
        <f>INDEX('Budget by Source'!$A$6:$I$330,MATCH('Payment by Source'!$A294,'Budget by Source'!$A$6:$A$330,0),MATCH(R$3,'Budget by Source'!$A$5:$I$5,0))-(ROUND(INDEX('Budget by Source'!$A$6:$I$330,MATCH('Payment by Source'!$A294,'Budget by Source'!$A$6:$A$330,0),MATCH(R$3,'Budget by Source'!$A$5:$I$5,0))/10,0)*10)</f>
        <v>0</v>
      </c>
      <c r="S294" s="154">
        <f>INDEX('Budget by Source'!$A$6:$I$330,MATCH('Payment by Source'!$A294,'Budget by Source'!$A$6:$A$330,0),MATCH(S$3,'Budget by Source'!$A$5:$I$5,0))-(ROUND(INDEX('Budget by Source'!$A$6:$I$330,MATCH('Payment by Source'!$A294,'Budget by Source'!$A$6:$A$330,0),MATCH(S$3,'Budget by Source'!$A$5:$I$5,0))/10,0)*10)</f>
        <v>0</v>
      </c>
      <c r="T294" s="154">
        <f>INDEX('Budget by Source'!$A$6:$I$330,MATCH('Payment by Source'!$A294,'Budget by Source'!$A$6:$A$330,0),MATCH(T$3,'Budget by Source'!$A$5:$I$5,0))-(ROUND(INDEX('Budget by Source'!$A$6:$I$330,MATCH('Payment by Source'!$A294,'Budget by Source'!$A$6:$A$330,0),MATCH(T$3,'Budget by Source'!$A$5:$I$5,0))/10,0)*10)</f>
        <v>1</v>
      </c>
      <c r="U294" s="155">
        <f>INDEX('Budget by Source'!$A$6:$I$330,MATCH('Payment by Source'!$A294,'Budget by Source'!$A$6:$A$330,0),MATCH(U$3,'Budget by Source'!$A$5:$I$5,0))</f>
        <v>18865704</v>
      </c>
      <c r="V294" s="152">
        <f t="shared" si="13"/>
        <v>1886570</v>
      </c>
      <c r="W294" s="152">
        <f t="shared" si="14"/>
        <v>18865700</v>
      </c>
    </row>
    <row r="295" spans="1:23" x14ac:dyDescent="0.2">
      <c r="A295" s="23" t="str">
        <f>Data!B291</f>
        <v>6592</v>
      </c>
      <c r="B295" s="21" t="str">
        <f>INDEX(Data[],MATCH($A295,Data[Dist],0),MATCH(B$5,Data[#Headers],0))</f>
        <v>Van Buren County</v>
      </c>
      <c r="C295" s="22">
        <f>IF(Notes!$B$2="June",ROUND('Budget by Source'!C295/10,0)+P295,ROUND('Budget by Source'!C295/10,0))</f>
        <v>21285</v>
      </c>
      <c r="D295" s="22">
        <f>IF(Notes!$B$2="June",ROUND('Budget by Source'!D295/10,0)+Q295,ROUND('Budget by Source'!D295/10,0))</f>
        <v>63300</v>
      </c>
      <c r="E295" s="22">
        <f>IF(Notes!$B$2="June",ROUND('Budget by Source'!E295/10,0)+R295,ROUND('Budget by Source'!E295/10,0))</f>
        <v>7655</v>
      </c>
      <c r="F295" s="22">
        <f>IF(Notes!$B$2="June",ROUND('Budget by Source'!F295/10,0)+S295,ROUND('Budget by Source'!F295/10,0))</f>
        <v>6344</v>
      </c>
      <c r="G295" s="22">
        <f>IF(Notes!$B$2="June",ROUND('Budget by Source'!G295/10,0)+T295,ROUND('Budget by Source'!G295/10,0))</f>
        <v>35641</v>
      </c>
      <c r="H295" s="22">
        <f t="shared" si="12"/>
        <v>490631</v>
      </c>
      <c r="I295" s="22">
        <f>INDEX(Data[],MATCH($A295,Data[Dist],0),MATCH(I$5,Data[#Headers],0))</f>
        <v>624856</v>
      </c>
      <c r="K295" s="69">
        <f>INDEX('Payment Total'!$A$7:$H$331,MATCH('Payment by Source'!$A295,'Payment Total'!$A$7:$A$331,0),3)-I295</f>
        <v>0</v>
      </c>
      <c r="P295" s="154">
        <f>INDEX('Budget by Source'!$A$6:$I$330,MATCH('Payment by Source'!$A295,'Budget by Source'!$A$6:$A$330,0),MATCH(P$3,'Budget by Source'!$A$5:$I$5,0))-(ROUND(INDEX('Budget by Source'!$A$6:$I$330,MATCH('Payment by Source'!$A295,'Budget by Source'!$A$6:$A$330,0),MATCH(P$3,'Budget by Source'!$A$5:$I$5,0))/10,0)*10)</f>
        <v>1</v>
      </c>
      <c r="Q295" s="154">
        <f>INDEX('Budget by Source'!$A$6:$I$330,MATCH('Payment by Source'!$A295,'Budget by Source'!$A$6:$A$330,0),MATCH(Q$3,'Budget by Source'!$A$5:$I$5,0))-(ROUND(INDEX('Budget by Source'!$A$6:$I$330,MATCH('Payment by Source'!$A295,'Budget by Source'!$A$6:$A$330,0),MATCH(Q$3,'Budget by Source'!$A$5:$I$5,0))/10,0)*10)</f>
        <v>-4</v>
      </c>
      <c r="R295" s="154">
        <f>INDEX('Budget by Source'!$A$6:$I$330,MATCH('Payment by Source'!$A295,'Budget by Source'!$A$6:$A$330,0),MATCH(R$3,'Budget by Source'!$A$5:$I$5,0))-(ROUND(INDEX('Budget by Source'!$A$6:$I$330,MATCH('Payment by Source'!$A295,'Budget by Source'!$A$6:$A$330,0),MATCH(R$3,'Budget by Source'!$A$5:$I$5,0))/10,0)*10)</f>
        <v>-4</v>
      </c>
      <c r="S295" s="154">
        <f>INDEX('Budget by Source'!$A$6:$I$330,MATCH('Payment by Source'!$A295,'Budget by Source'!$A$6:$A$330,0),MATCH(S$3,'Budget by Source'!$A$5:$I$5,0))-(ROUND(INDEX('Budget by Source'!$A$6:$I$330,MATCH('Payment by Source'!$A295,'Budget by Source'!$A$6:$A$330,0),MATCH(S$3,'Budget by Source'!$A$5:$I$5,0))/10,0)*10)</f>
        <v>2</v>
      </c>
      <c r="T295" s="154">
        <f>INDEX('Budget by Source'!$A$6:$I$330,MATCH('Payment by Source'!$A295,'Budget by Source'!$A$6:$A$330,0),MATCH(T$3,'Budget by Source'!$A$5:$I$5,0))-(ROUND(INDEX('Budget by Source'!$A$6:$I$330,MATCH('Payment by Source'!$A295,'Budget by Source'!$A$6:$A$330,0),MATCH(T$3,'Budget by Source'!$A$5:$I$5,0))/10,0)*10)</f>
        <v>-5</v>
      </c>
      <c r="U295" s="155">
        <f>INDEX('Budget by Source'!$A$6:$I$330,MATCH('Payment by Source'!$A295,'Budget by Source'!$A$6:$A$330,0),MATCH(U$3,'Budget by Source'!$A$5:$I$5,0))</f>
        <v>4906323</v>
      </c>
      <c r="V295" s="152">
        <f t="shared" si="13"/>
        <v>490632</v>
      </c>
      <c r="W295" s="152">
        <f t="shared" si="14"/>
        <v>4906320</v>
      </c>
    </row>
    <row r="296" spans="1:23" x14ac:dyDescent="0.2">
      <c r="A296" s="23" t="str">
        <f>Data!B292</f>
        <v>6615</v>
      </c>
      <c r="B296" s="21" t="str">
        <f>INDEX(Data[],MATCH($A296,Data[Dist],0),MATCH(B$5,Data[#Headers],0))</f>
        <v>Van Meter</v>
      </c>
      <c r="C296" s="22">
        <f>IF(Notes!$B$2="June",ROUND('Budget by Source'!C296/10,0)+P296,ROUND('Budget by Source'!C296/10,0))</f>
        <v>19005</v>
      </c>
      <c r="D296" s="22">
        <f>IF(Notes!$B$2="June",ROUND('Budget by Source'!D296/10,0)+Q296,ROUND('Budget by Source'!D296/10,0))</f>
        <v>60180</v>
      </c>
      <c r="E296" s="22">
        <f>IF(Notes!$B$2="June",ROUND('Budget by Source'!E296/10,0)+R296,ROUND('Budget by Source'!E296/10,0))</f>
        <v>6627</v>
      </c>
      <c r="F296" s="22">
        <f>IF(Notes!$B$2="June",ROUND('Budget by Source'!F296/10,0)+S296,ROUND('Budget by Source'!F296/10,0))</f>
        <v>6278</v>
      </c>
      <c r="G296" s="22">
        <f>IF(Notes!$B$2="June",ROUND('Budget by Source'!G296/10,0)+T296,ROUND('Budget by Source'!G296/10,0))</f>
        <v>32965</v>
      </c>
      <c r="H296" s="22">
        <f t="shared" si="12"/>
        <v>473624</v>
      </c>
      <c r="I296" s="22">
        <f>INDEX(Data[],MATCH($A296,Data[Dist],0),MATCH(I$5,Data[#Headers],0))</f>
        <v>598679</v>
      </c>
      <c r="K296" s="69">
        <f>INDEX('Payment Total'!$A$7:$H$331,MATCH('Payment by Source'!$A296,'Payment Total'!$A$7:$A$331,0),3)-I296</f>
        <v>0</v>
      </c>
      <c r="P296" s="154">
        <f>INDEX('Budget by Source'!$A$6:$I$330,MATCH('Payment by Source'!$A296,'Budget by Source'!$A$6:$A$330,0),MATCH(P$3,'Budget by Source'!$A$5:$I$5,0))-(ROUND(INDEX('Budget by Source'!$A$6:$I$330,MATCH('Payment by Source'!$A296,'Budget by Source'!$A$6:$A$330,0),MATCH(P$3,'Budget by Source'!$A$5:$I$5,0))/10,0)*10)</f>
        <v>-4</v>
      </c>
      <c r="Q296" s="154">
        <f>INDEX('Budget by Source'!$A$6:$I$330,MATCH('Payment by Source'!$A296,'Budget by Source'!$A$6:$A$330,0),MATCH(Q$3,'Budget by Source'!$A$5:$I$5,0))-(ROUND(INDEX('Budget by Source'!$A$6:$I$330,MATCH('Payment by Source'!$A296,'Budget by Source'!$A$6:$A$330,0),MATCH(Q$3,'Budget by Source'!$A$5:$I$5,0))/10,0)*10)</f>
        <v>2</v>
      </c>
      <c r="R296" s="154">
        <f>INDEX('Budget by Source'!$A$6:$I$330,MATCH('Payment by Source'!$A296,'Budget by Source'!$A$6:$A$330,0),MATCH(R$3,'Budget by Source'!$A$5:$I$5,0))-(ROUND(INDEX('Budget by Source'!$A$6:$I$330,MATCH('Payment by Source'!$A296,'Budget by Source'!$A$6:$A$330,0),MATCH(R$3,'Budget by Source'!$A$5:$I$5,0))/10,0)*10)</f>
        <v>4</v>
      </c>
      <c r="S296" s="154">
        <f>INDEX('Budget by Source'!$A$6:$I$330,MATCH('Payment by Source'!$A296,'Budget by Source'!$A$6:$A$330,0),MATCH(S$3,'Budget by Source'!$A$5:$I$5,0))-(ROUND(INDEX('Budget by Source'!$A$6:$I$330,MATCH('Payment by Source'!$A296,'Budget by Source'!$A$6:$A$330,0),MATCH(S$3,'Budget by Source'!$A$5:$I$5,0))/10,0)*10)</f>
        <v>-4</v>
      </c>
      <c r="T296" s="154">
        <f>INDEX('Budget by Source'!$A$6:$I$330,MATCH('Payment by Source'!$A296,'Budget by Source'!$A$6:$A$330,0),MATCH(T$3,'Budget by Source'!$A$5:$I$5,0))-(ROUND(INDEX('Budget by Source'!$A$6:$I$330,MATCH('Payment by Source'!$A296,'Budget by Source'!$A$6:$A$330,0),MATCH(T$3,'Budget by Source'!$A$5:$I$5,0))/10,0)*10)</f>
        <v>0</v>
      </c>
      <c r="U296" s="155">
        <f>INDEX('Budget by Source'!$A$6:$I$330,MATCH('Payment by Source'!$A296,'Budget by Source'!$A$6:$A$330,0),MATCH(U$3,'Budget by Source'!$A$5:$I$5,0))</f>
        <v>4736244</v>
      </c>
      <c r="V296" s="152">
        <f t="shared" si="13"/>
        <v>473624</v>
      </c>
      <c r="W296" s="152">
        <f t="shared" si="14"/>
        <v>4736240</v>
      </c>
    </row>
    <row r="297" spans="1:23" x14ac:dyDescent="0.2">
      <c r="A297" s="23" t="str">
        <f>Data!B293</f>
        <v>6651</v>
      </c>
      <c r="B297" s="21" t="str">
        <f>INDEX(Data[],MATCH($A297,Data[Dist],0),MATCH(B$5,Data[#Headers],0))</f>
        <v>Villisca</v>
      </c>
      <c r="C297" s="22">
        <f>IF(Notes!$B$2="June",ROUND('Budget by Source'!C297/10,0)+P297,ROUND('Budget by Source'!C297/10,0))</f>
        <v>6082</v>
      </c>
      <c r="D297" s="22">
        <f>IF(Notes!$B$2="June",ROUND('Budget by Source'!D297/10,0)+Q297,ROUND('Budget by Source'!D297/10,0))</f>
        <v>20799</v>
      </c>
      <c r="E297" s="22">
        <f>IF(Notes!$B$2="June",ROUND('Budget by Source'!E297/10,0)+R297,ROUND('Budget by Source'!E297/10,0))</f>
        <v>2549</v>
      </c>
      <c r="F297" s="22">
        <f>IF(Notes!$B$2="June",ROUND('Budget by Source'!F297/10,0)+S297,ROUND('Budget by Source'!F297/10,0))</f>
        <v>2250</v>
      </c>
      <c r="G297" s="22">
        <f>IF(Notes!$B$2="June",ROUND('Budget by Source'!G297/10,0)+T297,ROUND('Budget by Source'!G297/10,0))</f>
        <v>11465</v>
      </c>
      <c r="H297" s="22">
        <f t="shared" si="12"/>
        <v>165667</v>
      </c>
      <c r="I297" s="22">
        <f>INDEX(Data[],MATCH($A297,Data[Dist],0),MATCH(I$5,Data[#Headers],0))</f>
        <v>208812</v>
      </c>
      <c r="K297" s="69">
        <f>INDEX('Payment Total'!$A$7:$H$331,MATCH('Payment by Source'!$A297,'Payment Total'!$A$7:$A$331,0),3)-I297</f>
        <v>0</v>
      </c>
      <c r="P297" s="154">
        <f>INDEX('Budget by Source'!$A$6:$I$330,MATCH('Payment by Source'!$A297,'Budget by Source'!$A$6:$A$330,0),MATCH(P$3,'Budget by Source'!$A$5:$I$5,0))-(ROUND(INDEX('Budget by Source'!$A$6:$I$330,MATCH('Payment by Source'!$A297,'Budget by Source'!$A$6:$A$330,0),MATCH(P$3,'Budget by Source'!$A$5:$I$5,0))/10,0)*10)</f>
        <v>-5</v>
      </c>
      <c r="Q297" s="154">
        <f>INDEX('Budget by Source'!$A$6:$I$330,MATCH('Payment by Source'!$A297,'Budget by Source'!$A$6:$A$330,0),MATCH(Q$3,'Budget by Source'!$A$5:$I$5,0))-(ROUND(INDEX('Budget by Source'!$A$6:$I$330,MATCH('Payment by Source'!$A297,'Budget by Source'!$A$6:$A$330,0),MATCH(Q$3,'Budget by Source'!$A$5:$I$5,0))/10,0)*10)</f>
        <v>2</v>
      </c>
      <c r="R297" s="154">
        <f>INDEX('Budget by Source'!$A$6:$I$330,MATCH('Payment by Source'!$A297,'Budget by Source'!$A$6:$A$330,0),MATCH(R$3,'Budget by Source'!$A$5:$I$5,0))-(ROUND(INDEX('Budget by Source'!$A$6:$I$330,MATCH('Payment by Source'!$A297,'Budget by Source'!$A$6:$A$330,0),MATCH(R$3,'Budget by Source'!$A$5:$I$5,0))/10,0)*10)</f>
        <v>-5</v>
      </c>
      <c r="S297" s="154">
        <f>INDEX('Budget by Source'!$A$6:$I$330,MATCH('Payment by Source'!$A297,'Budget by Source'!$A$6:$A$330,0),MATCH(S$3,'Budget by Source'!$A$5:$I$5,0))-(ROUND(INDEX('Budget by Source'!$A$6:$I$330,MATCH('Payment by Source'!$A297,'Budget by Source'!$A$6:$A$330,0),MATCH(S$3,'Budget by Source'!$A$5:$I$5,0))/10,0)*10)</f>
        <v>-4</v>
      </c>
      <c r="T297" s="154">
        <f>INDEX('Budget by Source'!$A$6:$I$330,MATCH('Payment by Source'!$A297,'Budget by Source'!$A$6:$A$330,0),MATCH(T$3,'Budget by Source'!$A$5:$I$5,0))-(ROUND(INDEX('Budget by Source'!$A$6:$I$330,MATCH('Payment by Source'!$A297,'Budget by Source'!$A$6:$A$330,0),MATCH(T$3,'Budget by Source'!$A$5:$I$5,0))/10,0)*10)</f>
        <v>0</v>
      </c>
      <c r="U297" s="155">
        <f>INDEX('Budget by Source'!$A$6:$I$330,MATCH('Payment by Source'!$A297,'Budget by Source'!$A$6:$A$330,0),MATCH(U$3,'Budget by Source'!$A$5:$I$5,0))</f>
        <v>1656678</v>
      </c>
      <c r="V297" s="152">
        <f t="shared" si="13"/>
        <v>165668</v>
      </c>
      <c r="W297" s="152">
        <f t="shared" si="14"/>
        <v>1656680</v>
      </c>
    </row>
    <row r="298" spans="1:23" x14ac:dyDescent="0.2">
      <c r="A298" s="23" t="str">
        <f>Data!B294</f>
        <v>6660</v>
      </c>
      <c r="B298" s="21" t="str">
        <f>INDEX(Data[],MATCH($A298,Data[Dist],0),MATCH(B$5,Data[#Headers],0))</f>
        <v>Vinton-Shellsburg</v>
      </c>
      <c r="C298" s="22">
        <f>IF(Notes!$B$2="June",ROUND('Budget by Source'!C298/10,0)+P298,ROUND('Budget by Source'!C298/10,0))</f>
        <v>32688</v>
      </c>
      <c r="D298" s="22">
        <f>IF(Notes!$B$2="June",ROUND('Budget by Source'!D298/10,0)+Q298,ROUND('Budget by Source'!D298/10,0))</f>
        <v>109686</v>
      </c>
      <c r="E298" s="22">
        <f>IF(Notes!$B$2="June",ROUND('Budget by Source'!E298/10,0)+R298,ROUND('Budget by Source'!E298/10,0))</f>
        <v>12096</v>
      </c>
      <c r="F298" s="22">
        <f>IF(Notes!$B$2="June",ROUND('Budget by Source'!F298/10,0)+S298,ROUND('Budget by Source'!F298/10,0))</f>
        <v>12349</v>
      </c>
      <c r="G298" s="22">
        <f>IF(Notes!$B$2="June",ROUND('Budget by Source'!G298/10,0)+T298,ROUND('Budget by Source'!G298/10,0))</f>
        <v>59757</v>
      </c>
      <c r="H298" s="22">
        <f t="shared" si="12"/>
        <v>948622</v>
      </c>
      <c r="I298" s="22">
        <f>INDEX(Data[],MATCH($A298,Data[Dist],0),MATCH(I$5,Data[#Headers],0))</f>
        <v>1175198</v>
      </c>
      <c r="K298" s="69">
        <f>INDEX('Payment Total'!$A$7:$H$331,MATCH('Payment by Source'!$A298,'Payment Total'!$A$7:$A$331,0),3)-I298</f>
        <v>0</v>
      </c>
      <c r="P298" s="154">
        <f>INDEX('Budget by Source'!$A$6:$I$330,MATCH('Payment by Source'!$A298,'Budget by Source'!$A$6:$A$330,0),MATCH(P$3,'Budget by Source'!$A$5:$I$5,0))-(ROUND(INDEX('Budget by Source'!$A$6:$I$330,MATCH('Payment by Source'!$A298,'Budget by Source'!$A$6:$A$330,0),MATCH(P$3,'Budget by Source'!$A$5:$I$5,0))/10,0)*10)</f>
        <v>-1</v>
      </c>
      <c r="Q298" s="154">
        <f>INDEX('Budget by Source'!$A$6:$I$330,MATCH('Payment by Source'!$A298,'Budget by Source'!$A$6:$A$330,0),MATCH(Q$3,'Budget by Source'!$A$5:$I$5,0))-(ROUND(INDEX('Budget by Source'!$A$6:$I$330,MATCH('Payment by Source'!$A298,'Budget by Source'!$A$6:$A$330,0),MATCH(Q$3,'Budget by Source'!$A$5:$I$5,0))/10,0)*10)</f>
        <v>4</v>
      </c>
      <c r="R298" s="154">
        <f>INDEX('Budget by Source'!$A$6:$I$330,MATCH('Payment by Source'!$A298,'Budget by Source'!$A$6:$A$330,0),MATCH(R$3,'Budget by Source'!$A$5:$I$5,0))-(ROUND(INDEX('Budget by Source'!$A$6:$I$330,MATCH('Payment by Source'!$A298,'Budget by Source'!$A$6:$A$330,0),MATCH(R$3,'Budget by Source'!$A$5:$I$5,0))/10,0)*10)</f>
        <v>4</v>
      </c>
      <c r="S298" s="154">
        <f>INDEX('Budget by Source'!$A$6:$I$330,MATCH('Payment by Source'!$A298,'Budget by Source'!$A$6:$A$330,0),MATCH(S$3,'Budget by Source'!$A$5:$I$5,0))-(ROUND(INDEX('Budget by Source'!$A$6:$I$330,MATCH('Payment by Source'!$A298,'Budget by Source'!$A$6:$A$330,0),MATCH(S$3,'Budget by Source'!$A$5:$I$5,0))/10,0)*10)</f>
        <v>3</v>
      </c>
      <c r="T298" s="154">
        <f>INDEX('Budget by Source'!$A$6:$I$330,MATCH('Payment by Source'!$A298,'Budget by Source'!$A$6:$A$330,0),MATCH(T$3,'Budget by Source'!$A$5:$I$5,0))-(ROUND(INDEX('Budget by Source'!$A$6:$I$330,MATCH('Payment by Source'!$A298,'Budget by Source'!$A$6:$A$330,0),MATCH(T$3,'Budget by Source'!$A$5:$I$5,0))/10,0)*10)</f>
        <v>1</v>
      </c>
      <c r="U298" s="155">
        <f>INDEX('Budget by Source'!$A$6:$I$330,MATCH('Payment by Source'!$A298,'Budget by Source'!$A$6:$A$330,0),MATCH(U$3,'Budget by Source'!$A$5:$I$5,0))</f>
        <v>9486210</v>
      </c>
      <c r="V298" s="152">
        <f t="shared" si="13"/>
        <v>948621</v>
      </c>
      <c r="W298" s="152">
        <f t="shared" si="14"/>
        <v>9486210</v>
      </c>
    </row>
    <row r="299" spans="1:23" x14ac:dyDescent="0.2">
      <c r="A299" s="23" t="str">
        <f>Data!B295</f>
        <v>6700</v>
      </c>
      <c r="B299" s="21" t="str">
        <f>INDEX(Data[],MATCH($A299,Data[Dist],0),MATCH(B$5,Data[#Headers],0))</f>
        <v>Waco</v>
      </c>
      <c r="C299" s="22">
        <f>IF(Notes!$B$2="June",ROUND('Budget by Source'!C299/10,0)+P299,ROUND('Budget by Source'!C299/10,0))</f>
        <v>11783</v>
      </c>
      <c r="D299" s="22">
        <f>IF(Notes!$B$2="June",ROUND('Budget by Source'!D299/10,0)+Q299,ROUND('Budget by Source'!D299/10,0))</f>
        <v>35608</v>
      </c>
      <c r="E299" s="22">
        <f>IF(Notes!$B$2="June",ROUND('Budget by Source'!E299/10,0)+R299,ROUND('Budget by Source'!E299/10,0))</f>
        <v>3889</v>
      </c>
      <c r="F299" s="22">
        <f>IF(Notes!$B$2="June",ROUND('Budget by Source'!F299/10,0)+S299,ROUND('Budget by Source'!F299/10,0))</f>
        <v>3833</v>
      </c>
      <c r="G299" s="22">
        <f>IF(Notes!$B$2="June",ROUND('Budget by Source'!G299/10,0)+T299,ROUND('Budget by Source'!G299/10,0))</f>
        <v>18036</v>
      </c>
      <c r="H299" s="22">
        <f t="shared" si="12"/>
        <v>304918</v>
      </c>
      <c r="I299" s="22">
        <f>INDEX(Data[],MATCH($A299,Data[Dist],0),MATCH(I$5,Data[#Headers],0))</f>
        <v>378067</v>
      </c>
      <c r="K299" s="69">
        <f>INDEX('Payment Total'!$A$7:$H$331,MATCH('Payment by Source'!$A299,'Payment Total'!$A$7:$A$331,0),3)-I299</f>
        <v>0</v>
      </c>
      <c r="P299" s="154">
        <f>INDEX('Budget by Source'!$A$6:$I$330,MATCH('Payment by Source'!$A299,'Budget by Source'!$A$6:$A$330,0),MATCH(P$3,'Budget by Source'!$A$5:$I$5,0))-(ROUND(INDEX('Budget by Source'!$A$6:$I$330,MATCH('Payment by Source'!$A299,'Budget by Source'!$A$6:$A$330,0),MATCH(P$3,'Budget by Source'!$A$5:$I$5,0))/10,0)*10)</f>
        <v>-1</v>
      </c>
      <c r="Q299" s="154">
        <f>INDEX('Budget by Source'!$A$6:$I$330,MATCH('Payment by Source'!$A299,'Budget by Source'!$A$6:$A$330,0),MATCH(Q$3,'Budget by Source'!$A$5:$I$5,0))-(ROUND(INDEX('Budget by Source'!$A$6:$I$330,MATCH('Payment by Source'!$A299,'Budget by Source'!$A$6:$A$330,0),MATCH(Q$3,'Budget by Source'!$A$5:$I$5,0))/10,0)*10)</f>
        <v>-2</v>
      </c>
      <c r="R299" s="154">
        <f>INDEX('Budget by Source'!$A$6:$I$330,MATCH('Payment by Source'!$A299,'Budget by Source'!$A$6:$A$330,0),MATCH(R$3,'Budget by Source'!$A$5:$I$5,0))-(ROUND(INDEX('Budget by Source'!$A$6:$I$330,MATCH('Payment by Source'!$A299,'Budget by Source'!$A$6:$A$330,0),MATCH(R$3,'Budget by Source'!$A$5:$I$5,0))/10,0)*10)</f>
        <v>-2</v>
      </c>
      <c r="S299" s="154">
        <f>INDEX('Budget by Source'!$A$6:$I$330,MATCH('Payment by Source'!$A299,'Budget by Source'!$A$6:$A$330,0),MATCH(S$3,'Budget by Source'!$A$5:$I$5,0))-(ROUND(INDEX('Budget by Source'!$A$6:$I$330,MATCH('Payment by Source'!$A299,'Budget by Source'!$A$6:$A$330,0),MATCH(S$3,'Budget by Source'!$A$5:$I$5,0))/10,0)*10)</f>
        <v>-5</v>
      </c>
      <c r="T299" s="154">
        <f>INDEX('Budget by Source'!$A$6:$I$330,MATCH('Payment by Source'!$A299,'Budget by Source'!$A$6:$A$330,0),MATCH(T$3,'Budget by Source'!$A$5:$I$5,0))-(ROUND(INDEX('Budget by Source'!$A$6:$I$330,MATCH('Payment by Source'!$A299,'Budget by Source'!$A$6:$A$330,0),MATCH(T$3,'Budget by Source'!$A$5:$I$5,0))/10,0)*10)</f>
        <v>-1</v>
      </c>
      <c r="U299" s="155">
        <f>INDEX('Budget by Source'!$A$6:$I$330,MATCH('Payment by Source'!$A299,'Budget by Source'!$A$6:$A$330,0),MATCH(U$3,'Budget by Source'!$A$5:$I$5,0))</f>
        <v>3049190</v>
      </c>
      <c r="V299" s="152">
        <f t="shared" si="13"/>
        <v>304919</v>
      </c>
      <c r="W299" s="152">
        <f t="shared" si="14"/>
        <v>3049190</v>
      </c>
    </row>
    <row r="300" spans="1:23" x14ac:dyDescent="0.2">
      <c r="A300" s="23" t="str">
        <f>Data!B296</f>
        <v>6741</v>
      </c>
      <c r="B300" s="21" t="str">
        <f>INDEX(Data[],MATCH($A300,Data[Dist],0),MATCH(B$5,Data[#Headers],0))</f>
        <v>East Sac County</v>
      </c>
      <c r="C300" s="22">
        <f>IF(Notes!$B$2="June",ROUND('Budget by Source'!C300/10,0)+P300,ROUND('Budget by Source'!C300/10,0))</f>
        <v>12933</v>
      </c>
      <c r="D300" s="22">
        <f>IF(Notes!$B$2="June",ROUND('Budget by Source'!D300/10,0)+Q300,ROUND('Budget by Source'!D300/10,0))</f>
        <v>57949</v>
      </c>
      <c r="E300" s="22">
        <f>IF(Notes!$B$2="June",ROUND('Budget by Source'!E300/10,0)+R300,ROUND('Budget by Source'!E300/10,0))</f>
        <v>6701</v>
      </c>
      <c r="F300" s="22">
        <f>IF(Notes!$B$2="June",ROUND('Budget by Source'!F300/10,0)+S300,ROUND('Budget by Source'!F300/10,0))</f>
        <v>6174</v>
      </c>
      <c r="G300" s="22">
        <f>IF(Notes!$B$2="June",ROUND('Budget by Source'!G300/10,0)+T300,ROUND('Budget by Source'!G300/10,0))</f>
        <v>30791</v>
      </c>
      <c r="H300" s="22">
        <f t="shared" si="12"/>
        <v>399116</v>
      </c>
      <c r="I300" s="22">
        <f>INDEX(Data[],MATCH($A300,Data[Dist],0),MATCH(I$5,Data[#Headers],0))</f>
        <v>513664</v>
      </c>
      <c r="K300" s="69">
        <f>INDEX('Payment Total'!$A$7:$H$331,MATCH('Payment by Source'!$A300,'Payment Total'!$A$7:$A$331,0),3)-I300</f>
        <v>0</v>
      </c>
      <c r="P300" s="154">
        <f>INDEX('Budget by Source'!$A$6:$I$330,MATCH('Payment by Source'!$A300,'Budget by Source'!$A$6:$A$330,0),MATCH(P$3,'Budget by Source'!$A$5:$I$5,0))-(ROUND(INDEX('Budget by Source'!$A$6:$I$330,MATCH('Payment by Source'!$A300,'Budget by Source'!$A$6:$A$330,0),MATCH(P$3,'Budget by Source'!$A$5:$I$5,0))/10,0)*10)</f>
        <v>-4</v>
      </c>
      <c r="Q300" s="154">
        <f>INDEX('Budget by Source'!$A$6:$I$330,MATCH('Payment by Source'!$A300,'Budget by Source'!$A$6:$A$330,0),MATCH(Q$3,'Budget by Source'!$A$5:$I$5,0))-(ROUND(INDEX('Budget by Source'!$A$6:$I$330,MATCH('Payment by Source'!$A300,'Budget by Source'!$A$6:$A$330,0),MATCH(Q$3,'Budget by Source'!$A$5:$I$5,0))/10,0)*10)</f>
        <v>4</v>
      </c>
      <c r="R300" s="154">
        <f>INDEX('Budget by Source'!$A$6:$I$330,MATCH('Payment by Source'!$A300,'Budget by Source'!$A$6:$A$330,0),MATCH(R$3,'Budget by Source'!$A$5:$I$5,0))-(ROUND(INDEX('Budget by Source'!$A$6:$I$330,MATCH('Payment by Source'!$A300,'Budget by Source'!$A$6:$A$330,0),MATCH(R$3,'Budget by Source'!$A$5:$I$5,0))/10,0)*10)</f>
        <v>-3</v>
      </c>
      <c r="S300" s="154">
        <f>INDEX('Budget by Source'!$A$6:$I$330,MATCH('Payment by Source'!$A300,'Budget by Source'!$A$6:$A$330,0),MATCH(S$3,'Budget by Source'!$A$5:$I$5,0))-(ROUND(INDEX('Budget by Source'!$A$6:$I$330,MATCH('Payment by Source'!$A300,'Budget by Source'!$A$6:$A$330,0),MATCH(S$3,'Budget by Source'!$A$5:$I$5,0))/10,0)*10)</f>
        <v>-5</v>
      </c>
      <c r="T300" s="154">
        <f>INDEX('Budget by Source'!$A$6:$I$330,MATCH('Payment by Source'!$A300,'Budget by Source'!$A$6:$A$330,0),MATCH(T$3,'Budget by Source'!$A$5:$I$5,0))-(ROUND(INDEX('Budget by Source'!$A$6:$I$330,MATCH('Payment by Source'!$A300,'Budget by Source'!$A$6:$A$330,0),MATCH(T$3,'Budget by Source'!$A$5:$I$5,0))/10,0)*10)</f>
        <v>-3</v>
      </c>
      <c r="U300" s="155">
        <f>INDEX('Budget by Source'!$A$6:$I$330,MATCH('Payment by Source'!$A300,'Budget by Source'!$A$6:$A$330,0),MATCH(U$3,'Budget by Source'!$A$5:$I$5,0))</f>
        <v>3991172</v>
      </c>
      <c r="V300" s="152">
        <f t="shared" si="13"/>
        <v>399117</v>
      </c>
      <c r="W300" s="152">
        <f t="shared" si="14"/>
        <v>3991170</v>
      </c>
    </row>
    <row r="301" spans="1:23" x14ac:dyDescent="0.2">
      <c r="A301" s="23" t="str">
        <f>Data!B297</f>
        <v>6759</v>
      </c>
      <c r="B301" s="21" t="str">
        <f>INDEX(Data[],MATCH($A301,Data[Dist],0),MATCH(B$5,Data[#Headers],0))</f>
        <v>Wapello</v>
      </c>
      <c r="C301" s="22">
        <f>IF(Notes!$B$2="June",ROUND('Budget by Source'!C301/10,0)+P301,ROUND('Budget by Source'!C301/10,0))</f>
        <v>9882</v>
      </c>
      <c r="D301" s="22">
        <f>IF(Notes!$B$2="June",ROUND('Budget by Source'!D301/10,0)+Q301,ROUND('Budget by Source'!D301/10,0))</f>
        <v>36850</v>
      </c>
      <c r="E301" s="22">
        <f>IF(Notes!$B$2="June",ROUND('Budget by Source'!E301/10,0)+R301,ROUND('Budget by Source'!E301/10,0))</f>
        <v>4587</v>
      </c>
      <c r="F301" s="22">
        <f>IF(Notes!$B$2="June",ROUND('Budget by Source'!F301/10,0)+S301,ROUND('Budget by Source'!F301/10,0))</f>
        <v>3854</v>
      </c>
      <c r="G301" s="22">
        <f>IF(Notes!$B$2="June",ROUND('Budget by Source'!G301/10,0)+T301,ROUND('Budget by Source'!G301/10,0))</f>
        <v>19694</v>
      </c>
      <c r="H301" s="22">
        <f t="shared" si="12"/>
        <v>299452</v>
      </c>
      <c r="I301" s="22">
        <f>INDEX(Data[],MATCH($A301,Data[Dist],0),MATCH(I$5,Data[#Headers],0))</f>
        <v>374319</v>
      </c>
      <c r="K301" s="69">
        <f>INDEX('Payment Total'!$A$7:$H$331,MATCH('Payment by Source'!$A301,'Payment Total'!$A$7:$A$331,0),3)-I301</f>
        <v>0</v>
      </c>
      <c r="P301" s="154">
        <f>INDEX('Budget by Source'!$A$6:$I$330,MATCH('Payment by Source'!$A301,'Budget by Source'!$A$6:$A$330,0),MATCH(P$3,'Budget by Source'!$A$5:$I$5,0))-(ROUND(INDEX('Budget by Source'!$A$6:$I$330,MATCH('Payment by Source'!$A301,'Budget by Source'!$A$6:$A$330,0),MATCH(P$3,'Budget by Source'!$A$5:$I$5,0))/10,0)*10)</f>
        <v>4</v>
      </c>
      <c r="Q301" s="154">
        <f>INDEX('Budget by Source'!$A$6:$I$330,MATCH('Payment by Source'!$A301,'Budget by Source'!$A$6:$A$330,0),MATCH(Q$3,'Budget by Source'!$A$5:$I$5,0))-(ROUND(INDEX('Budget by Source'!$A$6:$I$330,MATCH('Payment by Source'!$A301,'Budget by Source'!$A$6:$A$330,0),MATCH(Q$3,'Budget by Source'!$A$5:$I$5,0))/10,0)*10)</f>
        <v>1</v>
      </c>
      <c r="R301" s="154">
        <f>INDEX('Budget by Source'!$A$6:$I$330,MATCH('Payment by Source'!$A301,'Budget by Source'!$A$6:$A$330,0),MATCH(R$3,'Budget by Source'!$A$5:$I$5,0))-(ROUND(INDEX('Budget by Source'!$A$6:$I$330,MATCH('Payment by Source'!$A301,'Budget by Source'!$A$6:$A$330,0),MATCH(R$3,'Budget by Source'!$A$5:$I$5,0))/10,0)*10)</f>
        <v>3</v>
      </c>
      <c r="S301" s="154">
        <f>INDEX('Budget by Source'!$A$6:$I$330,MATCH('Payment by Source'!$A301,'Budget by Source'!$A$6:$A$330,0),MATCH(S$3,'Budget by Source'!$A$5:$I$5,0))-(ROUND(INDEX('Budget by Source'!$A$6:$I$330,MATCH('Payment by Source'!$A301,'Budget by Source'!$A$6:$A$330,0),MATCH(S$3,'Budget by Source'!$A$5:$I$5,0))/10,0)*10)</f>
        <v>1</v>
      </c>
      <c r="T301" s="154">
        <f>INDEX('Budget by Source'!$A$6:$I$330,MATCH('Payment by Source'!$A301,'Budget by Source'!$A$6:$A$330,0),MATCH(T$3,'Budget by Source'!$A$5:$I$5,0))-(ROUND(INDEX('Budget by Source'!$A$6:$I$330,MATCH('Payment by Source'!$A301,'Budget by Source'!$A$6:$A$330,0),MATCH(T$3,'Budget by Source'!$A$5:$I$5,0))/10,0)*10)</f>
        <v>2</v>
      </c>
      <c r="U301" s="155">
        <f>INDEX('Budget by Source'!$A$6:$I$330,MATCH('Payment by Source'!$A301,'Budget by Source'!$A$6:$A$330,0),MATCH(U$3,'Budget by Source'!$A$5:$I$5,0))</f>
        <v>2994505</v>
      </c>
      <c r="V301" s="152">
        <f t="shared" si="13"/>
        <v>299451</v>
      </c>
      <c r="W301" s="152">
        <f t="shared" si="14"/>
        <v>2994510</v>
      </c>
    </row>
    <row r="302" spans="1:23" x14ac:dyDescent="0.2">
      <c r="A302" s="23" t="str">
        <f>Data!B298</f>
        <v>6762</v>
      </c>
      <c r="B302" s="21" t="str">
        <f>INDEX(Data[],MATCH($A302,Data[Dist],0),MATCH(B$5,Data[#Headers],0))</f>
        <v>Wapsie Valley</v>
      </c>
      <c r="C302" s="22">
        <f>IF(Notes!$B$2="June",ROUND('Budget by Source'!C302/10,0)+P302,ROUND('Budget by Source'!C302/10,0))</f>
        <v>17484</v>
      </c>
      <c r="D302" s="22">
        <f>IF(Notes!$B$2="June",ROUND('Budget by Source'!D302/10,0)+Q302,ROUND('Budget by Source'!D302/10,0))</f>
        <v>46390</v>
      </c>
      <c r="E302" s="22">
        <f>IF(Notes!$B$2="June",ROUND('Budget by Source'!E302/10,0)+R302,ROUND('Budget by Source'!E302/10,0))</f>
        <v>5116</v>
      </c>
      <c r="F302" s="22">
        <f>IF(Notes!$B$2="June",ROUND('Budget by Source'!F302/10,0)+S302,ROUND('Budget by Source'!F302/10,0))</f>
        <v>4841</v>
      </c>
      <c r="G302" s="22">
        <f>IF(Notes!$B$2="June",ROUND('Budget by Source'!G302/10,0)+T302,ROUND('Budget by Source'!G302/10,0))</f>
        <v>24238</v>
      </c>
      <c r="H302" s="22">
        <f t="shared" si="12"/>
        <v>382058</v>
      </c>
      <c r="I302" s="22">
        <f>INDEX(Data[],MATCH($A302,Data[Dist],0),MATCH(I$5,Data[#Headers],0))</f>
        <v>480127</v>
      </c>
      <c r="K302" s="69">
        <f>INDEX('Payment Total'!$A$7:$H$331,MATCH('Payment by Source'!$A302,'Payment Total'!$A$7:$A$331,0),3)-I302</f>
        <v>0</v>
      </c>
      <c r="P302" s="154">
        <f>INDEX('Budget by Source'!$A$6:$I$330,MATCH('Payment by Source'!$A302,'Budget by Source'!$A$6:$A$330,0),MATCH(P$3,'Budget by Source'!$A$5:$I$5,0))-(ROUND(INDEX('Budget by Source'!$A$6:$I$330,MATCH('Payment by Source'!$A302,'Budget by Source'!$A$6:$A$330,0),MATCH(P$3,'Budget by Source'!$A$5:$I$5,0))/10,0)*10)</f>
        <v>2</v>
      </c>
      <c r="Q302" s="154">
        <f>INDEX('Budget by Source'!$A$6:$I$330,MATCH('Payment by Source'!$A302,'Budget by Source'!$A$6:$A$330,0),MATCH(Q$3,'Budget by Source'!$A$5:$I$5,0))-(ROUND(INDEX('Budget by Source'!$A$6:$I$330,MATCH('Payment by Source'!$A302,'Budget by Source'!$A$6:$A$330,0),MATCH(Q$3,'Budget by Source'!$A$5:$I$5,0))/10,0)*10)</f>
        <v>-4</v>
      </c>
      <c r="R302" s="154">
        <f>INDEX('Budget by Source'!$A$6:$I$330,MATCH('Payment by Source'!$A302,'Budget by Source'!$A$6:$A$330,0),MATCH(R$3,'Budget by Source'!$A$5:$I$5,0))-(ROUND(INDEX('Budget by Source'!$A$6:$I$330,MATCH('Payment by Source'!$A302,'Budget by Source'!$A$6:$A$330,0),MATCH(R$3,'Budget by Source'!$A$5:$I$5,0))/10,0)*10)</f>
        <v>2</v>
      </c>
      <c r="S302" s="154">
        <f>INDEX('Budget by Source'!$A$6:$I$330,MATCH('Payment by Source'!$A302,'Budget by Source'!$A$6:$A$330,0),MATCH(S$3,'Budget by Source'!$A$5:$I$5,0))-(ROUND(INDEX('Budget by Source'!$A$6:$I$330,MATCH('Payment by Source'!$A302,'Budget by Source'!$A$6:$A$330,0),MATCH(S$3,'Budget by Source'!$A$5:$I$5,0))/10,0)*10)</f>
        <v>-3</v>
      </c>
      <c r="T302" s="154">
        <f>INDEX('Budget by Source'!$A$6:$I$330,MATCH('Payment by Source'!$A302,'Budget by Source'!$A$6:$A$330,0),MATCH(T$3,'Budget by Source'!$A$5:$I$5,0))-(ROUND(INDEX('Budget by Source'!$A$6:$I$330,MATCH('Payment by Source'!$A302,'Budget by Source'!$A$6:$A$330,0),MATCH(T$3,'Budget by Source'!$A$5:$I$5,0))/10,0)*10)</f>
        <v>2</v>
      </c>
      <c r="U302" s="155">
        <f>INDEX('Budget by Source'!$A$6:$I$330,MATCH('Payment by Source'!$A302,'Budget by Source'!$A$6:$A$330,0),MATCH(U$3,'Budget by Source'!$A$5:$I$5,0))</f>
        <v>3820581</v>
      </c>
      <c r="V302" s="152">
        <f t="shared" si="13"/>
        <v>382058</v>
      </c>
      <c r="W302" s="152">
        <f t="shared" si="14"/>
        <v>3820580</v>
      </c>
    </row>
    <row r="303" spans="1:23" x14ac:dyDescent="0.2">
      <c r="A303" s="23" t="str">
        <f>Data!B299</f>
        <v>6768</v>
      </c>
      <c r="B303" s="21" t="str">
        <f>INDEX(Data[],MATCH($A303,Data[Dist],0),MATCH(B$5,Data[#Headers],0))</f>
        <v>Washington</v>
      </c>
      <c r="C303" s="22">
        <f>IF(Notes!$B$2="June",ROUND('Budget by Source'!C303/10,0)+P303,ROUND('Budget by Source'!C303/10,0))</f>
        <v>33068</v>
      </c>
      <c r="D303" s="22">
        <f>IF(Notes!$B$2="June",ROUND('Budget by Source'!D303/10,0)+Q303,ROUND('Budget by Source'!D303/10,0))</f>
        <v>106823</v>
      </c>
      <c r="E303" s="22">
        <f>IF(Notes!$B$2="June",ROUND('Budget by Source'!E303/10,0)+R303,ROUND('Budget by Source'!E303/10,0))</f>
        <v>13150</v>
      </c>
      <c r="F303" s="22">
        <f>IF(Notes!$B$2="June",ROUND('Budget by Source'!F303/10,0)+S303,ROUND('Budget by Source'!F303/10,0))</f>
        <v>11865</v>
      </c>
      <c r="G303" s="22">
        <f>IF(Notes!$B$2="June",ROUND('Budget by Source'!G303/10,0)+T303,ROUND('Budget by Source'!G303/10,0))</f>
        <v>59923</v>
      </c>
      <c r="H303" s="22">
        <f t="shared" si="12"/>
        <v>1021591</v>
      </c>
      <c r="I303" s="22">
        <f>INDEX(Data[],MATCH($A303,Data[Dist],0),MATCH(I$5,Data[#Headers],0))</f>
        <v>1246420</v>
      </c>
      <c r="K303" s="69">
        <f>INDEX('Payment Total'!$A$7:$H$331,MATCH('Payment by Source'!$A303,'Payment Total'!$A$7:$A$331,0),3)-I303</f>
        <v>0</v>
      </c>
      <c r="P303" s="154">
        <f>INDEX('Budget by Source'!$A$6:$I$330,MATCH('Payment by Source'!$A303,'Budget by Source'!$A$6:$A$330,0),MATCH(P$3,'Budget by Source'!$A$5:$I$5,0))-(ROUND(INDEX('Budget by Source'!$A$6:$I$330,MATCH('Payment by Source'!$A303,'Budget by Source'!$A$6:$A$330,0),MATCH(P$3,'Budget by Source'!$A$5:$I$5,0))/10,0)*10)</f>
        <v>0</v>
      </c>
      <c r="Q303" s="154">
        <f>INDEX('Budget by Source'!$A$6:$I$330,MATCH('Payment by Source'!$A303,'Budget by Source'!$A$6:$A$330,0),MATCH(Q$3,'Budget by Source'!$A$5:$I$5,0))-(ROUND(INDEX('Budget by Source'!$A$6:$I$330,MATCH('Payment by Source'!$A303,'Budget by Source'!$A$6:$A$330,0),MATCH(Q$3,'Budget by Source'!$A$5:$I$5,0))/10,0)*10)</f>
        <v>3</v>
      </c>
      <c r="R303" s="154">
        <f>INDEX('Budget by Source'!$A$6:$I$330,MATCH('Payment by Source'!$A303,'Budget by Source'!$A$6:$A$330,0),MATCH(R$3,'Budget by Source'!$A$5:$I$5,0))-(ROUND(INDEX('Budget by Source'!$A$6:$I$330,MATCH('Payment by Source'!$A303,'Budget by Source'!$A$6:$A$330,0),MATCH(R$3,'Budget by Source'!$A$5:$I$5,0))/10,0)*10)</f>
        <v>-5</v>
      </c>
      <c r="S303" s="154">
        <f>INDEX('Budget by Source'!$A$6:$I$330,MATCH('Payment by Source'!$A303,'Budget by Source'!$A$6:$A$330,0),MATCH(S$3,'Budget by Source'!$A$5:$I$5,0))-(ROUND(INDEX('Budget by Source'!$A$6:$I$330,MATCH('Payment by Source'!$A303,'Budget by Source'!$A$6:$A$330,0),MATCH(S$3,'Budget by Source'!$A$5:$I$5,0))/10,0)*10)</f>
        <v>-1</v>
      </c>
      <c r="T303" s="154">
        <f>INDEX('Budget by Source'!$A$6:$I$330,MATCH('Payment by Source'!$A303,'Budget by Source'!$A$6:$A$330,0),MATCH(T$3,'Budget by Source'!$A$5:$I$5,0))-(ROUND(INDEX('Budget by Source'!$A$6:$I$330,MATCH('Payment by Source'!$A303,'Budget by Source'!$A$6:$A$330,0),MATCH(T$3,'Budget by Source'!$A$5:$I$5,0))/10,0)*10)</f>
        <v>0</v>
      </c>
      <c r="U303" s="155">
        <f>INDEX('Budget by Source'!$A$6:$I$330,MATCH('Payment by Source'!$A303,'Budget by Source'!$A$6:$A$330,0),MATCH(U$3,'Budget by Source'!$A$5:$I$5,0))</f>
        <v>10215914</v>
      </c>
      <c r="V303" s="152">
        <f t="shared" si="13"/>
        <v>1021591</v>
      </c>
      <c r="W303" s="152">
        <f t="shared" si="14"/>
        <v>10215910</v>
      </c>
    </row>
    <row r="304" spans="1:23" x14ac:dyDescent="0.2">
      <c r="A304" s="23" t="str">
        <f>Data!B300</f>
        <v>6795</v>
      </c>
      <c r="B304" s="21" t="str">
        <f>INDEX(Data[],MATCH($A304,Data[Dist],0),MATCH(B$5,Data[#Headers],0))</f>
        <v>Waterloo</v>
      </c>
      <c r="C304" s="22">
        <f>IF(Notes!$B$2="June",ROUND('Budget by Source'!C304/10,0)+P304,ROUND('Budget by Source'!C304/10,0))</f>
        <v>191566</v>
      </c>
      <c r="D304" s="22">
        <f>IF(Notes!$B$2="June",ROUND('Budget by Source'!D304/10,0)+Q304,ROUND('Budget by Source'!D304/10,0))</f>
        <v>688171</v>
      </c>
      <c r="E304" s="22">
        <f>IF(Notes!$B$2="June",ROUND('Budget by Source'!E304/10,0)+R304,ROUND('Budget by Source'!E304/10,0))</f>
        <v>94471</v>
      </c>
      <c r="F304" s="22">
        <f>IF(Notes!$B$2="June",ROUND('Budget by Source'!F304/10,0)+S304,ROUND('Budget by Source'!F304/10,0))</f>
        <v>75304</v>
      </c>
      <c r="G304" s="22">
        <f>IF(Notes!$B$2="June",ROUND('Budget by Source'!G304/10,0)+T304,ROUND('Budget by Source'!G304/10,0))</f>
        <v>393306</v>
      </c>
      <c r="H304" s="22">
        <f t="shared" si="12"/>
        <v>7843441</v>
      </c>
      <c r="I304" s="22">
        <f>INDEX(Data[],MATCH($A304,Data[Dist],0),MATCH(I$5,Data[#Headers],0))</f>
        <v>9286259</v>
      </c>
      <c r="K304" s="69">
        <f>INDEX('Payment Total'!$A$7:$H$331,MATCH('Payment by Source'!$A304,'Payment Total'!$A$7:$A$331,0),3)-I304</f>
        <v>0</v>
      </c>
      <c r="P304" s="154">
        <f>INDEX('Budget by Source'!$A$6:$I$330,MATCH('Payment by Source'!$A304,'Budget by Source'!$A$6:$A$330,0),MATCH(P$3,'Budget by Source'!$A$5:$I$5,0))-(ROUND(INDEX('Budget by Source'!$A$6:$I$330,MATCH('Payment by Source'!$A304,'Budget by Source'!$A$6:$A$330,0),MATCH(P$3,'Budget by Source'!$A$5:$I$5,0))/10,0)*10)</f>
        <v>1</v>
      </c>
      <c r="Q304" s="154">
        <f>INDEX('Budget by Source'!$A$6:$I$330,MATCH('Payment by Source'!$A304,'Budget by Source'!$A$6:$A$330,0),MATCH(Q$3,'Budget by Source'!$A$5:$I$5,0))-(ROUND(INDEX('Budget by Source'!$A$6:$I$330,MATCH('Payment by Source'!$A304,'Budget by Source'!$A$6:$A$330,0),MATCH(Q$3,'Budget by Source'!$A$5:$I$5,0))/10,0)*10)</f>
        <v>2</v>
      </c>
      <c r="R304" s="154">
        <f>INDEX('Budget by Source'!$A$6:$I$330,MATCH('Payment by Source'!$A304,'Budget by Source'!$A$6:$A$330,0),MATCH(R$3,'Budget by Source'!$A$5:$I$5,0))-(ROUND(INDEX('Budget by Source'!$A$6:$I$330,MATCH('Payment by Source'!$A304,'Budget by Source'!$A$6:$A$330,0),MATCH(R$3,'Budget by Source'!$A$5:$I$5,0))/10,0)*10)</f>
        <v>2</v>
      </c>
      <c r="S304" s="154">
        <f>INDEX('Budget by Source'!$A$6:$I$330,MATCH('Payment by Source'!$A304,'Budget by Source'!$A$6:$A$330,0),MATCH(S$3,'Budget by Source'!$A$5:$I$5,0))-(ROUND(INDEX('Budget by Source'!$A$6:$I$330,MATCH('Payment by Source'!$A304,'Budget by Source'!$A$6:$A$330,0),MATCH(S$3,'Budget by Source'!$A$5:$I$5,0))/10,0)*10)</f>
        <v>-3</v>
      </c>
      <c r="T304" s="154">
        <f>INDEX('Budget by Source'!$A$6:$I$330,MATCH('Payment by Source'!$A304,'Budget by Source'!$A$6:$A$330,0),MATCH(T$3,'Budget by Source'!$A$5:$I$5,0))-(ROUND(INDEX('Budget by Source'!$A$6:$I$330,MATCH('Payment by Source'!$A304,'Budget by Source'!$A$6:$A$330,0),MATCH(T$3,'Budget by Source'!$A$5:$I$5,0))/10,0)*10)</f>
        <v>3</v>
      </c>
      <c r="U304" s="155">
        <f>INDEX('Budget by Source'!$A$6:$I$330,MATCH('Payment by Source'!$A304,'Budget by Source'!$A$6:$A$330,0),MATCH(U$3,'Budget by Source'!$A$5:$I$5,0))</f>
        <v>78434409</v>
      </c>
      <c r="V304" s="152">
        <f t="shared" si="13"/>
        <v>7843441</v>
      </c>
      <c r="W304" s="152">
        <f t="shared" si="14"/>
        <v>78434410</v>
      </c>
    </row>
    <row r="305" spans="1:23" x14ac:dyDescent="0.2">
      <c r="A305" s="23" t="str">
        <f>Data!B301</f>
        <v>6822</v>
      </c>
      <c r="B305" s="21" t="str">
        <f>INDEX(Data[],MATCH($A305,Data[Dist],0),MATCH(B$5,Data[#Headers],0))</f>
        <v>Waukee</v>
      </c>
      <c r="C305" s="22">
        <f>IF(Notes!$B$2="June",ROUND('Budget by Source'!C305/10,0)+P305,ROUND('Budget by Source'!C305/10,0))</f>
        <v>83620</v>
      </c>
      <c r="D305" s="22">
        <f>IF(Notes!$B$2="June",ROUND('Budget by Source'!D305/10,0)+Q305,ROUND('Budget by Source'!D305/10,0))</f>
        <v>771384</v>
      </c>
      <c r="E305" s="22">
        <f>IF(Notes!$B$2="June",ROUND('Budget by Source'!E305/10,0)+R305,ROUND('Budget by Source'!E305/10,0))</f>
        <v>101206</v>
      </c>
      <c r="F305" s="22">
        <f>IF(Notes!$B$2="June",ROUND('Budget by Source'!F305/10,0)+S305,ROUND('Budget by Source'!F305/10,0))</f>
        <v>80712</v>
      </c>
      <c r="G305" s="22">
        <f>IF(Notes!$B$2="June",ROUND('Budget by Source'!G305/10,0)+T305,ROUND('Budget by Source'!G305/10,0))</f>
        <v>484761</v>
      </c>
      <c r="H305" s="22">
        <f t="shared" si="12"/>
        <v>6780172</v>
      </c>
      <c r="I305" s="22">
        <f>INDEX(Data[],MATCH($A305,Data[Dist],0),MATCH(I$5,Data[#Headers],0))</f>
        <v>8301855</v>
      </c>
      <c r="K305" s="69">
        <f>INDEX('Payment Total'!$A$7:$H$331,MATCH('Payment by Source'!$A305,'Payment Total'!$A$7:$A$331,0),3)-I305</f>
        <v>0</v>
      </c>
      <c r="P305" s="154">
        <f>INDEX('Budget by Source'!$A$6:$I$330,MATCH('Payment by Source'!$A305,'Budget by Source'!$A$6:$A$330,0),MATCH(P$3,'Budget by Source'!$A$5:$I$5,0))-(ROUND(INDEX('Budget by Source'!$A$6:$I$330,MATCH('Payment by Source'!$A305,'Budget by Source'!$A$6:$A$330,0),MATCH(P$3,'Budget by Source'!$A$5:$I$5,0))/10,0)*10)</f>
        <v>1</v>
      </c>
      <c r="Q305" s="154">
        <f>INDEX('Budget by Source'!$A$6:$I$330,MATCH('Payment by Source'!$A305,'Budget by Source'!$A$6:$A$330,0),MATCH(Q$3,'Budget by Source'!$A$5:$I$5,0))-(ROUND(INDEX('Budget by Source'!$A$6:$I$330,MATCH('Payment by Source'!$A305,'Budget by Source'!$A$6:$A$330,0),MATCH(Q$3,'Budget by Source'!$A$5:$I$5,0))/10,0)*10)</f>
        <v>2</v>
      </c>
      <c r="R305" s="154">
        <f>INDEX('Budget by Source'!$A$6:$I$330,MATCH('Payment by Source'!$A305,'Budget by Source'!$A$6:$A$330,0),MATCH(R$3,'Budget by Source'!$A$5:$I$5,0))-(ROUND(INDEX('Budget by Source'!$A$6:$I$330,MATCH('Payment by Source'!$A305,'Budget by Source'!$A$6:$A$330,0),MATCH(R$3,'Budget by Source'!$A$5:$I$5,0))/10,0)*10)</f>
        <v>1</v>
      </c>
      <c r="S305" s="154">
        <f>INDEX('Budget by Source'!$A$6:$I$330,MATCH('Payment by Source'!$A305,'Budget by Source'!$A$6:$A$330,0),MATCH(S$3,'Budget by Source'!$A$5:$I$5,0))-(ROUND(INDEX('Budget by Source'!$A$6:$I$330,MATCH('Payment by Source'!$A305,'Budget by Source'!$A$6:$A$330,0),MATCH(S$3,'Budget by Source'!$A$5:$I$5,0))/10,0)*10)</f>
        <v>3</v>
      </c>
      <c r="T305" s="154">
        <f>INDEX('Budget by Source'!$A$6:$I$330,MATCH('Payment by Source'!$A305,'Budget by Source'!$A$6:$A$330,0),MATCH(T$3,'Budget by Source'!$A$5:$I$5,0))-(ROUND(INDEX('Budget by Source'!$A$6:$I$330,MATCH('Payment by Source'!$A305,'Budget by Source'!$A$6:$A$330,0),MATCH(T$3,'Budget by Source'!$A$5:$I$5,0))/10,0)*10)</f>
        <v>-3</v>
      </c>
      <c r="U305" s="155">
        <f>INDEX('Budget by Source'!$A$6:$I$330,MATCH('Payment by Source'!$A305,'Budget by Source'!$A$6:$A$330,0),MATCH(U$3,'Budget by Source'!$A$5:$I$5,0))</f>
        <v>67801713</v>
      </c>
      <c r="V305" s="152">
        <f t="shared" si="13"/>
        <v>6780171</v>
      </c>
      <c r="W305" s="152">
        <f t="shared" si="14"/>
        <v>67801710</v>
      </c>
    </row>
    <row r="306" spans="1:23" x14ac:dyDescent="0.2">
      <c r="A306" s="23" t="str">
        <f>Data!B302</f>
        <v>6840</v>
      </c>
      <c r="B306" s="21" t="str">
        <f>INDEX(Data[],MATCH($A306,Data[Dist],0),MATCH(B$5,Data[#Headers],0))</f>
        <v>Waverly-Shell Rock</v>
      </c>
      <c r="C306" s="22">
        <f>IF(Notes!$B$2="June",ROUND('Budget by Source'!C306/10,0)+P306,ROUND('Budget by Source'!C306/10,0))</f>
        <v>38019</v>
      </c>
      <c r="D306" s="22">
        <f>IF(Notes!$B$2="June",ROUND('Budget by Source'!D306/10,0)+Q306,ROUND('Budget by Source'!D306/10,0))</f>
        <v>153006</v>
      </c>
      <c r="E306" s="22">
        <f>IF(Notes!$B$2="June",ROUND('Budget by Source'!E306/10,0)+R306,ROUND('Budget by Source'!E306/10,0))</f>
        <v>14895</v>
      </c>
      <c r="F306" s="22">
        <f>IF(Notes!$B$2="June",ROUND('Budget by Source'!F306/10,0)+S306,ROUND('Budget by Source'!F306/10,0))</f>
        <v>17026</v>
      </c>
      <c r="G306" s="22">
        <f>IF(Notes!$B$2="June",ROUND('Budget by Source'!G306/10,0)+T306,ROUND('Budget by Source'!G306/10,0))</f>
        <v>80996</v>
      </c>
      <c r="H306" s="22">
        <f t="shared" si="12"/>
        <v>1266526</v>
      </c>
      <c r="I306" s="22">
        <f>INDEX(Data[],MATCH($A306,Data[Dist],0),MATCH(I$5,Data[#Headers],0))</f>
        <v>1570468</v>
      </c>
      <c r="K306" s="69">
        <f>INDEX('Payment Total'!$A$7:$H$331,MATCH('Payment by Source'!$A306,'Payment Total'!$A$7:$A$331,0),3)-I306</f>
        <v>0</v>
      </c>
      <c r="P306" s="154">
        <f>INDEX('Budget by Source'!$A$6:$I$330,MATCH('Payment by Source'!$A306,'Budget by Source'!$A$6:$A$330,0),MATCH(P$3,'Budget by Source'!$A$5:$I$5,0))-(ROUND(INDEX('Budget by Source'!$A$6:$I$330,MATCH('Payment by Source'!$A306,'Budget by Source'!$A$6:$A$330,0),MATCH(P$3,'Budget by Source'!$A$5:$I$5,0))/10,0)*10)</f>
        <v>-4</v>
      </c>
      <c r="Q306" s="154">
        <f>INDEX('Budget by Source'!$A$6:$I$330,MATCH('Payment by Source'!$A306,'Budget by Source'!$A$6:$A$330,0),MATCH(Q$3,'Budget by Source'!$A$5:$I$5,0))-(ROUND(INDEX('Budget by Source'!$A$6:$I$330,MATCH('Payment by Source'!$A306,'Budget by Source'!$A$6:$A$330,0),MATCH(Q$3,'Budget by Source'!$A$5:$I$5,0))/10,0)*10)</f>
        <v>4</v>
      </c>
      <c r="R306" s="154">
        <f>INDEX('Budget by Source'!$A$6:$I$330,MATCH('Payment by Source'!$A306,'Budget by Source'!$A$6:$A$330,0),MATCH(R$3,'Budget by Source'!$A$5:$I$5,0))-(ROUND(INDEX('Budget by Source'!$A$6:$I$330,MATCH('Payment by Source'!$A306,'Budget by Source'!$A$6:$A$330,0),MATCH(R$3,'Budget by Source'!$A$5:$I$5,0))/10,0)*10)</f>
        <v>-5</v>
      </c>
      <c r="S306" s="154">
        <f>INDEX('Budget by Source'!$A$6:$I$330,MATCH('Payment by Source'!$A306,'Budget by Source'!$A$6:$A$330,0),MATCH(S$3,'Budget by Source'!$A$5:$I$5,0))-(ROUND(INDEX('Budget by Source'!$A$6:$I$330,MATCH('Payment by Source'!$A306,'Budget by Source'!$A$6:$A$330,0),MATCH(S$3,'Budget by Source'!$A$5:$I$5,0))/10,0)*10)</f>
        <v>4</v>
      </c>
      <c r="T306" s="154">
        <f>INDEX('Budget by Source'!$A$6:$I$330,MATCH('Payment by Source'!$A306,'Budget by Source'!$A$6:$A$330,0),MATCH(T$3,'Budget by Source'!$A$5:$I$5,0))-(ROUND(INDEX('Budget by Source'!$A$6:$I$330,MATCH('Payment by Source'!$A306,'Budget by Source'!$A$6:$A$330,0),MATCH(T$3,'Budget by Source'!$A$5:$I$5,0))/10,0)*10)</f>
        <v>-5</v>
      </c>
      <c r="U306" s="155">
        <f>INDEX('Budget by Source'!$A$6:$I$330,MATCH('Payment by Source'!$A306,'Budget by Source'!$A$6:$A$330,0),MATCH(U$3,'Budget by Source'!$A$5:$I$5,0))</f>
        <v>12665269</v>
      </c>
      <c r="V306" s="152">
        <f t="shared" si="13"/>
        <v>1266527</v>
      </c>
      <c r="W306" s="152">
        <f t="shared" si="14"/>
        <v>12665270</v>
      </c>
    </row>
    <row r="307" spans="1:23" x14ac:dyDescent="0.2">
      <c r="A307" s="23" t="str">
        <f>Data!B303</f>
        <v>6854</v>
      </c>
      <c r="B307" s="21" t="str">
        <f>INDEX(Data[],MATCH($A307,Data[Dist],0),MATCH(B$5,Data[#Headers],0))</f>
        <v>Wayne</v>
      </c>
      <c r="C307" s="22">
        <f>IF(Notes!$B$2="June",ROUND('Budget by Source'!C307/10,0)+P307,ROUND('Budget by Source'!C307/10,0))</f>
        <v>8362</v>
      </c>
      <c r="D307" s="22">
        <f>IF(Notes!$B$2="June",ROUND('Budget by Source'!D307/10,0)+Q307,ROUND('Budget by Source'!D307/10,0))</f>
        <v>43507</v>
      </c>
      <c r="E307" s="22">
        <f>IF(Notes!$B$2="June",ROUND('Budget by Source'!E307/10,0)+R307,ROUND('Budget by Source'!E307/10,0))</f>
        <v>4915</v>
      </c>
      <c r="F307" s="22">
        <f>IF(Notes!$B$2="June",ROUND('Budget by Source'!F307/10,0)+S307,ROUND('Budget by Source'!F307/10,0))</f>
        <v>4855</v>
      </c>
      <c r="G307" s="22">
        <f>IF(Notes!$B$2="June",ROUND('Budget by Source'!G307/10,0)+T307,ROUND('Budget by Source'!G307/10,0))</f>
        <v>21172</v>
      </c>
      <c r="H307" s="22">
        <f t="shared" si="12"/>
        <v>283432</v>
      </c>
      <c r="I307" s="22">
        <f>INDEX(Data[],MATCH($A307,Data[Dist],0),MATCH(I$5,Data[#Headers],0))</f>
        <v>366243</v>
      </c>
      <c r="K307" s="69">
        <f>INDEX('Payment Total'!$A$7:$H$331,MATCH('Payment by Source'!$A307,'Payment Total'!$A$7:$A$331,0),3)-I307</f>
        <v>0</v>
      </c>
      <c r="P307" s="154">
        <f>INDEX('Budget by Source'!$A$6:$I$330,MATCH('Payment by Source'!$A307,'Budget by Source'!$A$6:$A$330,0),MATCH(P$3,'Budget by Source'!$A$5:$I$5,0))-(ROUND(INDEX('Budget by Source'!$A$6:$I$330,MATCH('Payment by Source'!$A307,'Budget by Source'!$A$6:$A$330,0),MATCH(P$3,'Budget by Source'!$A$5:$I$5,0))/10,0)*10)</f>
        <v>0</v>
      </c>
      <c r="Q307" s="154">
        <f>INDEX('Budget by Source'!$A$6:$I$330,MATCH('Payment by Source'!$A307,'Budget by Source'!$A$6:$A$330,0),MATCH(Q$3,'Budget by Source'!$A$5:$I$5,0))-(ROUND(INDEX('Budget by Source'!$A$6:$I$330,MATCH('Payment by Source'!$A307,'Budget by Source'!$A$6:$A$330,0),MATCH(Q$3,'Budget by Source'!$A$5:$I$5,0))/10,0)*10)</f>
        <v>-1</v>
      </c>
      <c r="R307" s="154">
        <f>INDEX('Budget by Source'!$A$6:$I$330,MATCH('Payment by Source'!$A307,'Budget by Source'!$A$6:$A$330,0),MATCH(R$3,'Budget by Source'!$A$5:$I$5,0))-(ROUND(INDEX('Budget by Source'!$A$6:$I$330,MATCH('Payment by Source'!$A307,'Budget by Source'!$A$6:$A$330,0),MATCH(R$3,'Budget by Source'!$A$5:$I$5,0))/10,0)*10)</f>
        <v>-2</v>
      </c>
      <c r="S307" s="154">
        <f>INDEX('Budget by Source'!$A$6:$I$330,MATCH('Payment by Source'!$A307,'Budget by Source'!$A$6:$A$330,0),MATCH(S$3,'Budget by Source'!$A$5:$I$5,0))-(ROUND(INDEX('Budget by Source'!$A$6:$I$330,MATCH('Payment by Source'!$A307,'Budget by Source'!$A$6:$A$330,0),MATCH(S$3,'Budget by Source'!$A$5:$I$5,0))/10,0)*10)</f>
        <v>-5</v>
      </c>
      <c r="T307" s="154">
        <f>INDEX('Budget by Source'!$A$6:$I$330,MATCH('Payment by Source'!$A307,'Budget by Source'!$A$6:$A$330,0),MATCH(T$3,'Budget by Source'!$A$5:$I$5,0))-(ROUND(INDEX('Budget by Source'!$A$6:$I$330,MATCH('Payment by Source'!$A307,'Budget by Source'!$A$6:$A$330,0),MATCH(T$3,'Budget by Source'!$A$5:$I$5,0))/10,0)*10)</f>
        <v>0</v>
      </c>
      <c r="U307" s="155">
        <f>INDEX('Budget by Source'!$A$6:$I$330,MATCH('Payment by Source'!$A307,'Budget by Source'!$A$6:$A$330,0),MATCH(U$3,'Budget by Source'!$A$5:$I$5,0))</f>
        <v>2834329</v>
      </c>
      <c r="V307" s="152">
        <f t="shared" si="13"/>
        <v>283433</v>
      </c>
      <c r="W307" s="152">
        <f t="shared" si="14"/>
        <v>2834330</v>
      </c>
    </row>
    <row r="308" spans="1:23" x14ac:dyDescent="0.2">
      <c r="A308" s="23" t="str">
        <f>Data!B304</f>
        <v>6867</v>
      </c>
      <c r="B308" s="21" t="str">
        <f>INDEX(Data[],MATCH($A308,Data[Dist],0),MATCH(B$5,Data[#Headers],0))</f>
        <v>Webster City</v>
      </c>
      <c r="C308" s="22">
        <f>IF(Notes!$B$2="June",ROUND('Budget by Source'!C308/10,0)+P308,ROUND('Budget by Source'!C308/10,0))</f>
        <v>41050</v>
      </c>
      <c r="D308" s="22">
        <f>IF(Notes!$B$2="June",ROUND('Budget by Source'!D308/10,0)+Q308,ROUND('Budget by Source'!D308/10,0))</f>
        <v>116055</v>
      </c>
      <c r="E308" s="22">
        <f>IF(Notes!$B$2="June",ROUND('Budget by Source'!E308/10,0)+R308,ROUND('Budget by Source'!E308/10,0))</f>
        <v>14195</v>
      </c>
      <c r="F308" s="22">
        <f>IF(Notes!$B$2="June",ROUND('Budget by Source'!F308/10,0)+S308,ROUND('Budget by Source'!F308/10,0))</f>
        <v>12838</v>
      </c>
      <c r="G308" s="22">
        <f>IF(Notes!$B$2="June",ROUND('Budget by Source'!G308/10,0)+T308,ROUND('Budget by Source'!G308/10,0))</f>
        <v>63726</v>
      </c>
      <c r="H308" s="22">
        <f t="shared" si="12"/>
        <v>931820</v>
      </c>
      <c r="I308" s="22">
        <f>INDEX(Data[],MATCH($A308,Data[Dist],0),MATCH(I$5,Data[#Headers],0))</f>
        <v>1179684</v>
      </c>
      <c r="K308" s="69">
        <f>INDEX('Payment Total'!$A$7:$H$331,MATCH('Payment by Source'!$A308,'Payment Total'!$A$7:$A$331,0),3)-I308</f>
        <v>0</v>
      </c>
      <c r="P308" s="154">
        <f>INDEX('Budget by Source'!$A$6:$I$330,MATCH('Payment by Source'!$A308,'Budget by Source'!$A$6:$A$330,0),MATCH(P$3,'Budget by Source'!$A$5:$I$5,0))-(ROUND(INDEX('Budget by Source'!$A$6:$I$330,MATCH('Payment by Source'!$A308,'Budget by Source'!$A$6:$A$330,0),MATCH(P$3,'Budget by Source'!$A$5:$I$5,0))/10,0)*10)</f>
        <v>-1</v>
      </c>
      <c r="Q308" s="154">
        <f>INDEX('Budget by Source'!$A$6:$I$330,MATCH('Payment by Source'!$A308,'Budget by Source'!$A$6:$A$330,0),MATCH(Q$3,'Budget by Source'!$A$5:$I$5,0))-(ROUND(INDEX('Budget by Source'!$A$6:$I$330,MATCH('Payment by Source'!$A308,'Budget by Source'!$A$6:$A$330,0),MATCH(Q$3,'Budget by Source'!$A$5:$I$5,0))/10,0)*10)</f>
        <v>3</v>
      </c>
      <c r="R308" s="154">
        <f>INDEX('Budget by Source'!$A$6:$I$330,MATCH('Payment by Source'!$A308,'Budget by Source'!$A$6:$A$330,0),MATCH(R$3,'Budget by Source'!$A$5:$I$5,0))-(ROUND(INDEX('Budget by Source'!$A$6:$I$330,MATCH('Payment by Source'!$A308,'Budget by Source'!$A$6:$A$330,0),MATCH(R$3,'Budget by Source'!$A$5:$I$5,0))/10,0)*10)</f>
        <v>0</v>
      </c>
      <c r="S308" s="154">
        <f>INDEX('Budget by Source'!$A$6:$I$330,MATCH('Payment by Source'!$A308,'Budget by Source'!$A$6:$A$330,0),MATCH(S$3,'Budget by Source'!$A$5:$I$5,0))-(ROUND(INDEX('Budget by Source'!$A$6:$I$330,MATCH('Payment by Source'!$A308,'Budget by Source'!$A$6:$A$330,0),MATCH(S$3,'Budget by Source'!$A$5:$I$5,0))/10,0)*10)</f>
        <v>-4</v>
      </c>
      <c r="T308" s="154">
        <f>INDEX('Budget by Source'!$A$6:$I$330,MATCH('Payment by Source'!$A308,'Budget by Source'!$A$6:$A$330,0),MATCH(T$3,'Budget by Source'!$A$5:$I$5,0))-(ROUND(INDEX('Budget by Source'!$A$6:$I$330,MATCH('Payment by Source'!$A308,'Budget by Source'!$A$6:$A$330,0),MATCH(T$3,'Budget by Source'!$A$5:$I$5,0))/10,0)*10)</f>
        <v>2</v>
      </c>
      <c r="U308" s="155">
        <f>INDEX('Budget by Source'!$A$6:$I$330,MATCH('Payment by Source'!$A308,'Budget by Source'!$A$6:$A$330,0),MATCH(U$3,'Budget by Source'!$A$5:$I$5,0))</f>
        <v>9318196</v>
      </c>
      <c r="V308" s="152">
        <f t="shared" si="13"/>
        <v>931820</v>
      </c>
      <c r="W308" s="152">
        <f t="shared" si="14"/>
        <v>9318200</v>
      </c>
    </row>
    <row r="309" spans="1:23" x14ac:dyDescent="0.2">
      <c r="A309" s="23" t="str">
        <f>Data!B305</f>
        <v>6921</v>
      </c>
      <c r="B309" s="21" t="str">
        <f>INDEX(Data[],MATCH($A309,Data[Dist],0),MATCH(B$5,Data[#Headers],0))</f>
        <v>West Bend-Mallard</v>
      </c>
      <c r="C309" s="22">
        <f>IF(Notes!$B$2="June",ROUND('Budget by Source'!C309/10,0)+P309,ROUND('Budget by Source'!C309/10,0))</f>
        <v>6082</v>
      </c>
      <c r="D309" s="22">
        <f>IF(Notes!$B$2="June",ROUND('Budget by Source'!D309/10,0)+Q309,ROUND('Budget by Source'!D309/10,0))</f>
        <v>24057</v>
      </c>
      <c r="E309" s="22">
        <f>IF(Notes!$B$2="June",ROUND('Budget by Source'!E309/10,0)+R309,ROUND('Budget by Source'!E309/10,0))</f>
        <v>2327</v>
      </c>
      <c r="F309" s="22">
        <f>IF(Notes!$B$2="June",ROUND('Budget by Source'!F309/10,0)+S309,ROUND('Budget by Source'!F309/10,0))</f>
        <v>2574</v>
      </c>
      <c r="G309" s="22">
        <f>IF(Notes!$B$2="June",ROUND('Budget by Source'!G309/10,0)+T309,ROUND('Budget by Source'!G309/10,0))</f>
        <v>12092</v>
      </c>
      <c r="H309" s="22">
        <f t="shared" si="12"/>
        <v>125085</v>
      </c>
      <c r="I309" s="22">
        <f>INDEX(Data[],MATCH($A309,Data[Dist],0),MATCH(I$5,Data[#Headers],0))</f>
        <v>172217</v>
      </c>
      <c r="K309" s="69">
        <f>INDEX('Payment Total'!$A$7:$H$331,MATCH('Payment by Source'!$A309,'Payment Total'!$A$7:$A$331,0),3)-I309</f>
        <v>0</v>
      </c>
      <c r="P309" s="154">
        <f>INDEX('Budget by Source'!$A$6:$I$330,MATCH('Payment by Source'!$A309,'Budget by Source'!$A$6:$A$330,0),MATCH(P$3,'Budget by Source'!$A$5:$I$5,0))-(ROUND(INDEX('Budget by Source'!$A$6:$I$330,MATCH('Payment by Source'!$A309,'Budget by Source'!$A$6:$A$330,0),MATCH(P$3,'Budget by Source'!$A$5:$I$5,0))/10,0)*10)</f>
        <v>-5</v>
      </c>
      <c r="Q309" s="154">
        <f>INDEX('Budget by Source'!$A$6:$I$330,MATCH('Payment by Source'!$A309,'Budget by Source'!$A$6:$A$330,0),MATCH(Q$3,'Budget by Source'!$A$5:$I$5,0))-(ROUND(INDEX('Budget by Source'!$A$6:$I$330,MATCH('Payment by Source'!$A309,'Budget by Source'!$A$6:$A$330,0),MATCH(Q$3,'Budget by Source'!$A$5:$I$5,0))/10,0)*10)</f>
        <v>-1</v>
      </c>
      <c r="R309" s="154">
        <f>INDEX('Budget by Source'!$A$6:$I$330,MATCH('Payment by Source'!$A309,'Budget by Source'!$A$6:$A$330,0),MATCH(R$3,'Budget by Source'!$A$5:$I$5,0))-(ROUND(INDEX('Budget by Source'!$A$6:$I$330,MATCH('Payment by Source'!$A309,'Budget by Source'!$A$6:$A$330,0),MATCH(R$3,'Budget by Source'!$A$5:$I$5,0))/10,0)*10)</f>
        <v>-4</v>
      </c>
      <c r="S309" s="154">
        <f>INDEX('Budget by Source'!$A$6:$I$330,MATCH('Payment by Source'!$A309,'Budget by Source'!$A$6:$A$330,0),MATCH(S$3,'Budget by Source'!$A$5:$I$5,0))-(ROUND(INDEX('Budget by Source'!$A$6:$I$330,MATCH('Payment by Source'!$A309,'Budget by Source'!$A$6:$A$330,0),MATCH(S$3,'Budget by Source'!$A$5:$I$5,0))/10,0)*10)</f>
        <v>3</v>
      </c>
      <c r="T309" s="154">
        <f>INDEX('Budget by Source'!$A$6:$I$330,MATCH('Payment by Source'!$A309,'Budget by Source'!$A$6:$A$330,0),MATCH(T$3,'Budget by Source'!$A$5:$I$5,0))-(ROUND(INDEX('Budget by Source'!$A$6:$I$330,MATCH('Payment by Source'!$A309,'Budget by Source'!$A$6:$A$330,0),MATCH(T$3,'Budget by Source'!$A$5:$I$5,0))/10,0)*10)</f>
        <v>-5</v>
      </c>
      <c r="U309" s="155">
        <f>INDEX('Budget by Source'!$A$6:$I$330,MATCH('Payment by Source'!$A309,'Budget by Source'!$A$6:$A$330,0),MATCH(U$3,'Budget by Source'!$A$5:$I$5,0))</f>
        <v>1250862</v>
      </c>
      <c r="V309" s="152">
        <f t="shared" si="13"/>
        <v>125086</v>
      </c>
      <c r="W309" s="152">
        <f t="shared" si="14"/>
        <v>1250860</v>
      </c>
    </row>
    <row r="310" spans="1:23" x14ac:dyDescent="0.2">
      <c r="A310" s="23" t="str">
        <f>Data!B306</f>
        <v>6930</v>
      </c>
      <c r="B310" s="21" t="str">
        <f>INDEX(Data[],MATCH($A310,Data[Dist],0),MATCH(B$5,Data[#Headers],0))</f>
        <v>West Branch</v>
      </c>
      <c r="C310" s="22">
        <f>IF(Notes!$B$2="June",ROUND('Budget by Source'!C310/10,0)+P310,ROUND('Budget by Source'!C310/10,0))</f>
        <v>19765</v>
      </c>
      <c r="D310" s="22">
        <f>IF(Notes!$B$2="June",ROUND('Budget by Source'!D310/10,0)+Q310,ROUND('Budget by Source'!D310/10,0))</f>
        <v>51072</v>
      </c>
      <c r="E310" s="22">
        <f>IF(Notes!$B$2="June",ROUND('Budget by Source'!E310/10,0)+R310,ROUND('Budget by Source'!E310/10,0))</f>
        <v>5618</v>
      </c>
      <c r="F310" s="22">
        <f>IF(Notes!$B$2="June",ROUND('Budget by Source'!F310/10,0)+S310,ROUND('Budget by Source'!F310/10,0))</f>
        <v>5460</v>
      </c>
      <c r="G310" s="22">
        <f>IF(Notes!$B$2="June",ROUND('Budget by Source'!G310/10,0)+T310,ROUND('Budget by Source'!G310/10,0))</f>
        <v>28963</v>
      </c>
      <c r="H310" s="22">
        <f t="shared" si="12"/>
        <v>386750</v>
      </c>
      <c r="I310" s="22">
        <f>INDEX(Data[],MATCH($A310,Data[Dist],0),MATCH(I$5,Data[#Headers],0))</f>
        <v>497628</v>
      </c>
      <c r="K310" s="69">
        <f>INDEX('Payment Total'!$A$7:$H$331,MATCH('Payment by Source'!$A310,'Payment Total'!$A$7:$A$331,0),3)-I310</f>
        <v>0</v>
      </c>
      <c r="P310" s="154">
        <f>INDEX('Budget by Source'!$A$6:$I$330,MATCH('Payment by Source'!$A310,'Budget by Source'!$A$6:$A$330,0),MATCH(P$3,'Budget by Source'!$A$5:$I$5,0))-(ROUND(INDEX('Budget by Source'!$A$6:$I$330,MATCH('Payment by Source'!$A310,'Budget by Source'!$A$6:$A$330,0),MATCH(P$3,'Budget by Source'!$A$5:$I$5,0))/10,0)*10)</f>
        <v>-2</v>
      </c>
      <c r="Q310" s="154">
        <f>INDEX('Budget by Source'!$A$6:$I$330,MATCH('Payment by Source'!$A310,'Budget by Source'!$A$6:$A$330,0),MATCH(Q$3,'Budget by Source'!$A$5:$I$5,0))-(ROUND(INDEX('Budget by Source'!$A$6:$I$330,MATCH('Payment by Source'!$A310,'Budget by Source'!$A$6:$A$330,0),MATCH(Q$3,'Budget by Source'!$A$5:$I$5,0))/10,0)*10)</f>
        <v>-3</v>
      </c>
      <c r="R310" s="154">
        <f>INDEX('Budget by Source'!$A$6:$I$330,MATCH('Payment by Source'!$A310,'Budget by Source'!$A$6:$A$330,0),MATCH(R$3,'Budget by Source'!$A$5:$I$5,0))-(ROUND(INDEX('Budget by Source'!$A$6:$I$330,MATCH('Payment by Source'!$A310,'Budget by Source'!$A$6:$A$330,0),MATCH(R$3,'Budget by Source'!$A$5:$I$5,0))/10,0)*10)</f>
        <v>4</v>
      </c>
      <c r="S310" s="154">
        <f>INDEX('Budget by Source'!$A$6:$I$330,MATCH('Payment by Source'!$A310,'Budget by Source'!$A$6:$A$330,0),MATCH(S$3,'Budget by Source'!$A$5:$I$5,0))-(ROUND(INDEX('Budget by Source'!$A$6:$I$330,MATCH('Payment by Source'!$A310,'Budget by Source'!$A$6:$A$330,0),MATCH(S$3,'Budget by Source'!$A$5:$I$5,0))/10,0)*10)</f>
        <v>-4</v>
      </c>
      <c r="T310" s="154">
        <f>INDEX('Budget by Source'!$A$6:$I$330,MATCH('Payment by Source'!$A310,'Budget by Source'!$A$6:$A$330,0),MATCH(T$3,'Budget by Source'!$A$5:$I$5,0))-(ROUND(INDEX('Budget by Source'!$A$6:$I$330,MATCH('Payment by Source'!$A310,'Budget by Source'!$A$6:$A$330,0),MATCH(T$3,'Budget by Source'!$A$5:$I$5,0))/10,0)*10)</f>
        <v>-2</v>
      </c>
      <c r="U310" s="155">
        <f>INDEX('Budget by Source'!$A$6:$I$330,MATCH('Payment by Source'!$A310,'Budget by Source'!$A$6:$A$330,0),MATCH(U$3,'Budget by Source'!$A$5:$I$5,0))</f>
        <v>3867505</v>
      </c>
      <c r="V310" s="152">
        <f t="shared" si="13"/>
        <v>386751</v>
      </c>
      <c r="W310" s="152">
        <f t="shared" si="14"/>
        <v>3867510</v>
      </c>
    </row>
    <row r="311" spans="1:23" x14ac:dyDescent="0.2">
      <c r="A311" s="23" t="str">
        <f>Data!B307</f>
        <v>6937</v>
      </c>
      <c r="B311" s="21" t="str">
        <f>INDEX(Data[],MATCH($A311,Data[Dist],0),MATCH(B$5,Data[#Headers],0))</f>
        <v>West Burlington</v>
      </c>
      <c r="C311" s="22">
        <f>IF(Notes!$B$2="June",ROUND('Budget by Source'!C311/10,0)+P311,ROUND('Budget by Source'!C311/10,0))</f>
        <v>11023</v>
      </c>
      <c r="D311" s="22">
        <f>IF(Notes!$B$2="June",ROUND('Budget by Source'!D311/10,0)+Q311,ROUND('Budget by Source'!D311/10,0))</f>
        <v>32582</v>
      </c>
      <c r="E311" s="22">
        <f>IF(Notes!$B$2="June",ROUND('Budget by Source'!E311/10,0)+R311,ROUND('Budget by Source'!E311/10,0))</f>
        <v>5216</v>
      </c>
      <c r="F311" s="22">
        <f>IF(Notes!$B$2="June",ROUND('Budget by Source'!F311/10,0)+S311,ROUND('Budget by Source'!F311/10,0))</f>
        <v>4163</v>
      </c>
      <c r="G311" s="22">
        <f>IF(Notes!$B$2="June",ROUND('Budget by Source'!G311/10,0)+T311,ROUND('Budget by Source'!G311/10,0))</f>
        <v>15242</v>
      </c>
      <c r="H311" s="22">
        <f t="shared" si="12"/>
        <v>212252</v>
      </c>
      <c r="I311" s="22">
        <f>INDEX(Data[],MATCH($A311,Data[Dist],0),MATCH(I$5,Data[#Headers],0))</f>
        <v>280478</v>
      </c>
      <c r="K311" s="69">
        <f>INDEX('Payment Total'!$A$7:$H$331,MATCH('Payment by Source'!$A311,'Payment Total'!$A$7:$A$331,0),3)-I311</f>
        <v>0</v>
      </c>
      <c r="P311" s="154">
        <f>INDEX('Budget by Source'!$A$6:$I$330,MATCH('Payment by Source'!$A311,'Budget by Source'!$A$6:$A$330,0),MATCH(P$3,'Budget by Source'!$A$5:$I$5,0))-(ROUND(INDEX('Budget by Source'!$A$6:$I$330,MATCH('Payment by Source'!$A311,'Budget by Source'!$A$6:$A$330,0),MATCH(P$3,'Budget by Source'!$A$5:$I$5,0))/10,0)*10)</f>
        <v>-3</v>
      </c>
      <c r="Q311" s="154">
        <f>INDEX('Budget by Source'!$A$6:$I$330,MATCH('Payment by Source'!$A311,'Budget by Source'!$A$6:$A$330,0),MATCH(Q$3,'Budget by Source'!$A$5:$I$5,0))-(ROUND(INDEX('Budget by Source'!$A$6:$I$330,MATCH('Payment by Source'!$A311,'Budget by Source'!$A$6:$A$330,0),MATCH(Q$3,'Budget by Source'!$A$5:$I$5,0))/10,0)*10)</f>
        <v>-2</v>
      </c>
      <c r="R311" s="154">
        <f>INDEX('Budget by Source'!$A$6:$I$330,MATCH('Payment by Source'!$A311,'Budget by Source'!$A$6:$A$330,0),MATCH(R$3,'Budget by Source'!$A$5:$I$5,0))-(ROUND(INDEX('Budget by Source'!$A$6:$I$330,MATCH('Payment by Source'!$A311,'Budget by Source'!$A$6:$A$330,0),MATCH(R$3,'Budget by Source'!$A$5:$I$5,0))/10,0)*10)</f>
        <v>-5</v>
      </c>
      <c r="S311" s="154">
        <f>INDEX('Budget by Source'!$A$6:$I$330,MATCH('Payment by Source'!$A311,'Budget by Source'!$A$6:$A$330,0),MATCH(S$3,'Budget by Source'!$A$5:$I$5,0))-(ROUND(INDEX('Budget by Source'!$A$6:$I$330,MATCH('Payment by Source'!$A311,'Budget by Source'!$A$6:$A$330,0),MATCH(S$3,'Budget by Source'!$A$5:$I$5,0))/10,0)*10)</f>
        <v>-1</v>
      </c>
      <c r="T311" s="154">
        <f>INDEX('Budget by Source'!$A$6:$I$330,MATCH('Payment by Source'!$A311,'Budget by Source'!$A$6:$A$330,0),MATCH(T$3,'Budget by Source'!$A$5:$I$5,0))-(ROUND(INDEX('Budget by Source'!$A$6:$I$330,MATCH('Payment by Source'!$A311,'Budget by Source'!$A$6:$A$330,0),MATCH(T$3,'Budget by Source'!$A$5:$I$5,0))/10,0)*10)</f>
        <v>3</v>
      </c>
      <c r="U311" s="155">
        <f>INDEX('Budget by Source'!$A$6:$I$330,MATCH('Payment by Source'!$A311,'Budget by Source'!$A$6:$A$330,0),MATCH(U$3,'Budget by Source'!$A$5:$I$5,0))</f>
        <v>2122532</v>
      </c>
      <c r="V311" s="152">
        <f t="shared" si="13"/>
        <v>212253</v>
      </c>
      <c r="W311" s="152">
        <f t="shared" si="14"/>
        <v>2122530</v>
      </c>
    </row>
    <row r="312" spans="1:23" x14ac:dyDescent="0.2">
      <c r="A312" s="23" t="str">
        <f>Data!B308</f>
        <v>6943</v>
      </c>
      <c r="B312" s="21" t="str">
        <f>INDEX(Data[],MATCH($A312,Data[Dist],0),MATCH(B$5,Data[#Headers],0))</f>
        <v>West Central</v>
      </c>
      <c r="C312" s="22">
        <f>IF(Notes!$B$2="June",ROUND('Budget by Source'!C312/10,0)+P312,ROUND('Budget by Source'!C312/10,0))</f>
        <v>7973</v>
      </c>
      <c r="D312" s="22">
        <f>IF(Notes!$B$2="June",ROUND('Budget by Source'!D312/10,0)+Q312,ROUND('Budget by Source'!D312/10,0))</f>
        <v>18662</v>
      </c>
      <c r="E312" s="22">
        <f>IF(Notes!$B$2="June",ROUND('Budget by Source'!E312/10,0)+R312,ROUND('Budget by Source'!E312/10,0))</f>
        <v>1849</v>
      </c>
      <c r="F312" s="22">
        <f>IF(Notes!$B$2="June",ROUND('Budget by Source'!F312/10,0)+S312,ROUND('Budget by Source'!F312/10,0))</f>
        <v>1965</v>
      </c>
      <c r="G312" s="22">
        <f>IF(Notes!$B$2="June",ROUND('Budget by Source'!G312/10,0)+T312,ROUND('Budget by Source'!G312/10,0))</f>
        <v>9884</v>
      </c>
      <c r="H312" s="22">
        <f t="shared" si="12"/>
        <v>122377</v>
      </c>
      <c r="I312" s="22">
        <f>INDEX(Data[],MATCH($A312,Data[Dist],0),MATCH(I$5,Data[#Headers],0))</f>
        <v>162710</v>
      </c>
      <c r="K312" s="69">
        <f>INDEX('Payment Total'!$A$7:$H$331,MATCH('Payment by Source'!$A312,'Payment Total'!$A$7:$A$331,0),3)-I312</f>
        <v>0</v>
      </c>
      <c r="P312" s="154">
        <f>INDEX('Budget by Source'!$A$6:$I$330,MATCH('Payment by Source'!$A312,'Budget by Source'!$A$6:$A$330,0),MATCH(P$3,'Budget by Source'!$A$5:$I$5,0))-(ROUND(INDEX('Budget by Source'!$A$6:$I$330,MATCH('Payment by Source'!$A312,'Budget by Source'!$A$6:$A$330,0),MATCH(P$3,'Budget by Source'!$A$5:$I$5,0))/10,0)*10)</f>
        <v>-5</v>
      </c>
      <c r="Q312" s="154">
        <f>INDEX('Budget by Source'!$A$6:$I$330,MATCH('Payment by Source'!$A312,'Budget by Source'!$A$6:$A$330,0),MATCH(Q$3,'Budget by Source'!$A$5:$I$5,0))-(ROUND(INDEX('Budget by Source'!$A$6:$I$330,MATCH('Payment by Source'!$A312,'Budget by Source'!$A$6:$A$330,0),MATCH(Q$3,'Budget by Source'!$A$5:$I$5,0))/10,0)*10)</f>
        <v>-1</v>
      </c>
      <c r="R312" s="154">
        <f>INDEX('Budget by Source'!$A$6:$I$330,MATCH('Payment by Source'!$A312,'Budget by Source'!$A$6:$A$330,0),MATCH(R$3,'Budget by Source'!$A$5:$I$5,0))-(ROUND(INDEX('Budget by Source'!$A$6:$I$330,MATCH('Payment by Source'!$A312,'Budget by Source'!$A$6:$A$330,0),MATCH(R$3,'Budget by Source'!$A$5:$I$5,0))/10,0)*10)</f>
        <v>-3</v>
      </c>
      <c r="S312" s="154">
        <f>INDEX('Budget by Source'!$A$6:$I$330,MATCH('Payment by Source'!$A312,'Budget by Source'!$A$6:$A$330,0),MATCH(S$3,'Budget by Source'!$A$5:$I$5,0))-(ROUND(INDEX('Budget by Source'!$A$6:$I$330,MATCH('Payment by Source'!$A312,'Budget by Source'!$A$6:$A$330,0),MATCH(S$3,'Budget by Source'!$A$5:$I$5,0))/10,0)*10)</f>
        <v>-4</v>
      </c>
      <c r="T312" s="154">
        <f>INDEX('Budget by Source'!$A$6:$I$330,MATCH('Payment by Source'!$A312,'Budget by Source'!$A$6:$A$330,0),MATCH(T$3,'Budget by Source'!$A$5:$I$5,0))-(ROUND(INDEX('Budget by Source'!$A$6:$I$330,MATCH('Payment by Source'!$A312,'Budget by Source'!$A$6:$A$330,0),MATCH(T$3,'Budget by Source'!$A$5:$I$5,0))/10,0)*10)</f>
        <v>0</v>
      </c>
      <c r="U312" s="155">
        <f>INDEX('Budget by Source'!$A$6:$I$330,MATCH('Payment by Source'!$A312,'Budget by Source'!$A$6:$A$330,0),MATCH(U$3,'Budget by Source'!$A$5:$I$5,0))</f>
        <v>1223779</v>
      </c>
      <c r="V312" s="152">
        <f t="shared" si="13"/>
        <v>122378</v>
      </c>
      <c r="W312" s="152">
        <f t="shared" si="14"/>
        <v>1223780</v>
      </c>
    </row>
    <row r="313" spans="1:23" x14ac:dyDescent="0.2">
      <c r="A313" s="23" t="str">
        <f>Data!B309</f>
        <v>6950</v>
      </c>
      <c r="B313" s="21" t="str">
        <f>INDEX(Data[],MATCH($A313,Data[Dist],0),MATCH(B$5,Data[#Headers],0))</f>
        <v>West Delaware Co</v>
      </c>
      <c r="C313" s="22">
        <f>IF(Notes!$B$2="June",ROUND('Budget by Source'!C313/10,0)+P313,ROUND('Budget by Source'!C313/10,0))</f>
        <v>30407</v>
      </c>
      <c r="D313" s="22">
        <f>IF(Notes!$B$2="June",ROUND('Budget by Source'!D313/10,0)+Q313,ROUND('Budget by Source'!D313/10,0))</f>
        <v>89300</v>
      </c>
      <c r="E313" s="22">
        <f>IF(Notes!$B$2="June",ROUND('Budget by Source'!E313/10,0)+R313,ROUND('Budget by Source'!E313/10,0))</f>
        <v>9870</v>
      </c>
      <c r="F313" s="22">
        <f>IF(Notes!$B$2="June",ROUND('Budget by Source'!F313/10,0)+S313,ROUND('Budget by Source'!F313/10,0))</f>
        <v>9928</v>
      </c>
      <c r="G313" s="22">
        <f>IF(Notes!$B$2="June",ROUND('Budget by Source'!G313/10,0)+T313,ROUND('Budget by Source'!G313/10,0))</f>
        <v>50249</v>
      </c>
      <c r="H313" s="22">
        <f t="shared" si="12"/>
        <v>703800</v>
      </c>
      <c r="I313" s="22">
        <f>INDEX(Data[],MATCH($A313,Data[Dist],0),MATCH(I$5,Data[#Headers],0))</f>
        <v>893554</v>
      </c>
      <c r="K313" s="69">
        <f>INDEX('Payment Total'!$A$7:$H$331,MATCH('Payment by Source'!$A313,'Payment Total'!$A$7:$A$331,0),3)-I313</f>
        <v>0</v>
      </c>
      <c r="P313" s="154">
        <f>INDEX('Budget by Source'!$A$6:$I$330,MATCH('Payment by Source'!$A313,'Budget by Source'!$A$6:$A$330,0),MATCH(P$3,'Budget by Source'!$A$5:$I$5,0))-(ROUND(INDEX('Budget by Source'!$A$6:$I$330,MATCH('Payment by Source'!$A313,'Budget by Source'!$A$6:$A$330,0),MATCH(P$3,'Budget by Source'!$A$5:$I$5,0))/10,0)*10)</f>
        <v>3</v>
      </c>
      <c r="Q313" s="154">
        <f>INDEX('Budget by Source'!$A$6:$I$330,MATCH('Payment by Source'!$A313,'Budget by Source'!$A$6:$A$330,0),MATCH(Q$3,'Budget by Source'!$A$5:$I$5,0))-(ROUND(INDEX('Budget by Source'!$A$6:$I$330,MATCH('Payment by Source'!$A313,'Budget by Source'!$A$6:$A$330,0),MATCH(Q$3,'Budget by Source'!$A$5:$I$5,0))/10,0)*10)</f>
        <v>-3</v>
      </c>
      <c r="R313" s="154">
        <f>INDEX('Budget by Source'!$A$6:$I$330,MATCH('Payment by Source'!$A313,'Budget by Source'!$A$6:$A$330,0),MATCH(R$3,'Budget by Source'!$A$5:$I$5,0))-(ROUND(INDEX('Budget by Source'!$A$6:$I$330,MATCH('Payment by Source'!$A313,'Budget by Source'!$A$6:$A$330,0),MATCH(R$3,'Budget by Source'!$A$5:$I$5,0))/10,0)*10)</f>
        <v>4</v>
      </c>
      <c r="S313" s="154">
        <f>INDEX('Budget by Source'!$A$6:$I$330,MATCH('Payment by Source'!$A313,'Budget by Source'!$A$6:$A$330,0),MATCH(S$3,'Budget by Source'!$A$5:$I$5,0))-(ROUND(INDEX('Budget by Source'!$A$6:$I$330,MATCH('Payment by Source'!$A313,'Budget by Source'!$A$6:$A$330,0),MATCH(S$3,'Budget by Source'!$A$5:$I$5,0))/10,0)*10)</f>
        <v>-4</v>
      </c>
      <c r="T313" s="154">
        <f>INDEX('Budget by Source'!$A$6:$I$330,MATCH('Payment by Source'!$A313,'Budget by Source'!$A$6:$A$330,0),MATCH(T$3,'Budget by Source'!$A$5:$I$5,0))-(ROUND(INDEX('Budget by Source'!$A$6:$I$330,MATCH('Payment by Source'!$A313,'Budget by Source'!$A$6:$A$330,0),MATCH(T$3,'Budget by Source'!$A$5:$I$5,0))/10,0)*10)</f>
        <v>1</v>
      </c>
      <c r="U313" s="155">
        <f>INDEX('Budget by Source'!$A$6:$I$330,MATCH('Payment by Source'!$A313,'Budget by Source'!$A$6:$A$330,0),MATCH(U$3,'Budget by Source'!$A$5:$I$5,0))</f>
        <v>7037997</v>
      </c>
      <c r="V313" s="152">
        <f t="shared" si="13"/>
        <v>703800</v>
      </c>
      <c r="W313" s="152">
        <f t="shared" si="14"/>
        <v>7038000</v>
      </c>
    </row>
    <row r="314" spans="1:23" x14ac:dyDescent="0.2">
      <c r="A314" s="23" t="str">
        <f>Data!B310</f>
        <v>6957</v>
      </c>
      <c r="B314" s="21" t="str">
        <f>INDEX(Data[],MATCH($A314,Data[Dist],0),MATCH(B$5,Data[#Headers],0))</f>
        <v>West Des Moines</v>
      </c>
      <c r="C314" s="22">
        <f>IF(Notes!$B$2="June",ROUND('Budget by Source'!C314/10,0)+P314,ROUND('Budget by Source'!C314/10,0))</f>
        <v>136063</v>
      </c>
      <c r="D314" s="22">
        <f>IF(Notes!$B$2="June",ROUND('Budget by Source'!D314/10,0)+Q314,ROUND('Budget by Source'!D314/10,0))</f>
        <v>545077</v>
      </c>
      <c r="E314" s="22">
        <f>IF(Notes!$B$2="June",ROUND('Budget by Source'!E314/10,0)+R314,ROUND('Budget by Source'!E314/10,0))</f>
        <v>61523</v>
      </c>
      <c r="F314" s="22">
        <f>IF(Notes!$B$2="June",ROUND('Budget by Source'!F314/10,0)+S314,ROUND('Budget by Source'!F314/10,0))</f>
        <v>62069</v>
      </c>
      <c r="G314" s="22">
        <f>IF(Notes!$B$2="June",ROUND('Budget by Source'!G314/10,0)+T314,ROUND('Budget by Source'!G314/10,0))</f>
        <v>319832</v>
      </c>
      <c r="H314" s="22">
        <f t="shared" si="12"/>
        <v>3981265</v>
      </c>
      <c r="I314" s="22">
        <f>INDEX(Data[],MATCH($A314,Data[Dist],0),MATCH(I$5,Data[#Headers],0))</f>
        <v>5105829</v>
      </c>
      <c r="K314" s="69">
        <f>INDEX('Payment Total'!$A$7:$H$331,MATCH('Payment by Source'!$A314,'Payment Total'!$A$7:$A$331,0),3)-I314</f>
        <v>0</v>
      </c>
      <c r="P314" s="154">
        <f>INDEX('Budget by Source'!$A$6:$I$330,MATCH('Payment by Source'!$A314,'Budget by Source'!$A$6:$A$330,0),MATCH(P$3,'Budget by Source'!$A$5:$I$5,0))-(ROUND(INDEX('Budget by Source'!$A$6:$I$330,MATCH('Payment by Source'!$A314,'Budget by Source'!$A$6:$A$330,0),MATCH(P$3,'Budget by Source'!$A$5:$I$5,0))/10,0)*10)</f>
        <v>4</v>
      </c>
      <c r="Q314" s="154">
        <f>INDEX('Budget by Source'!$A$6:$I$330,MATCH('Payment by Source'!$A314,'Budget by Source'!$A$6:$A$330,0),MATCH(Q$3,'Budget by Source'!$A$5:$I$5,0))-(ROUND(INDEX('Budget by Source'!$A$6:$I$330,MATCH('Payment by Source'!$A314,'Budget by Source'!$A$6:$A$330,0),MATCH(Q$3,'Budget by Source'!$A$5:$I$5,0))/10,0)*10)</f>
        <v>-2</v>
      </c>
      <c r="R314" s="154">
        <f>INDEX('Budget by Source'!$A$6:$I$330,MATCH('Payment by Source'!$A314,'Budget by Source'!$A$6:$A$330,0),MATCH(R$3,'Budget by Source'!$A$5:$I$5,0))-(ROUND(INDEX('Budget by Source'!$A$6:$I$330,MATCH('Payment by Source'!$A314,'Budget by Source'!$A$6:$A$330,0),MATCH(R$3,'Budget by Source'!$A$5:$I$5,0))/10,0)*10)</f>
        <v>-4</v>
      </c>
      <c r="S314" s="154">
        <f>INDEX('Budget by Source'!$A$6:$I$330,MATCH('Payment by Source'!$A314,'Budget by Source'!$A$6:$A$330,0),MATCH(S$3,'Budget by Source'!$A$5:$I$5,0))-(ROUND(INDEX('Budget by Source'!$A$6:$I$330,MATCH('Payment by Source'!$A314,'Budget by Source'!$A$6:$A$330,0),MATCH(S$3,'Budget by Source'!$A$5:$I$5,0))/10,0)*10)</f>
        <v>3</v>
      </c>
      <c r="T314" s="154">
        <f>INDEX('Budget by Source'!$A$6:$I$330,MATCH('Payment by Source'!$A314,'Budget by Source'!$A$6:$A$330,0),MATCH(T$3,'Budget by Source'!$A$5:$I$5,0))-(ROUND(INDEX('Budget by Source'!$A$6:$I$330,MATCH('Payment by Source'!$A314,'Budget by Source'!$A$6:$A$330,0),MATCH(T$3,'Budget by Source'!$A$5:$I$5,0))/10,0)*10)</f>
        <v>4</v>
      </c>
      <c r="U314" s="155">
        <f>INDEX('Budget by Source'!$A$6:$I$330,MATCH('Payment by Source'!$A314,'Budget by Source'!$A$6:$A$330,0),MATCH(U$3,'Budget by Source'!$A$5:$I$5,0))</f>
        <v>39812648</v>
      </c>
      <c r="V314" s="152">
        <f t="shared" si="13"/>
        <v>3981265</v>
      </c>
      <c r="W314" s="152">
        <f t="shared" si="14"/>
        <v>39812650</v>
      </c>
    </row>
    <row r="315" spans="1:23" x14ac:dyDescent="0.2">
      <c r="A315" s="23" t="str">
        <f>Data!B311</f>
        <v>6961</v>
      </c>
      <c r="B315" s="21" t="str">
        <f>INDEX(Data[],MATCH($A315,Data[Dist],0),MATCH(B$5,Data[#Headers],0))</f>
        <v>Western Dubuque Co</v>
      </c>
      <c r="C315" s="22">
        <f>IF(Notes!$B$2="June",ROUND('Budget by Source'!C315/10,0)+P315,ROUND('Budget by Source'!C315/10,0))</f>
        <v>108326</v>
      </c>
      <c r="D315" s="22">
        <f>IF(Notes!$B$2="June",ROUND('Budget by Source'!D315/10,0)+Q315,ROUND('Budget by Source'!D315/10,0))</f>
        <v>208010</v>
      </c>
      <c r="E315" s="22">
        <f>IF(Notes!$B$2="June",ROUND('Budget by Source'!E315/10,0)+R315,ROUND('Budget by Source'!E315/10,0))</f>
        <v>24027</v>
      </c>
      <c r="F315" s="22">
        <f>IF(Notes!$B$2="June",ROUND('Budget by Source'!F315/10,0)+S315,ROUND('Budget by Source'!F315/10,0))</f>
        <v>23163</v>
      </c>
      <c r="G315" s="22">
        <f>IF(Notes!$B$2="June",ROUND('Budget by Source'!G315/10,0)+T315,ROUND('Budget by Source'!G315/10,0))</f>
        <v>117937</v>
      </c>
      <c r="H315" s="22">
        <f t="shared" si="12"/>
        <v>1566339</v>
      </c>
      <c r="I315" s="22">
        <f>INDEX(Data[],MATCH($A315,Data[Dist],0),MATCH(I$5,Data[#Headers],0))</f>
        <v>2047802</v>
      </c>
      <c r="K315" s="69">
        <f>INDEX('Payment Total'!$A$7:$H$331,MATCH('Payment by Source'!$A315,'Payment Total'!$A$7:$A$331,0),3)-I315</f>
        <v>0</v>
      </c>
      <c r="P315" s="154">
        <f>INDEX('Budget by Source'!$A$6:$I$330,MATCH('Payment by Source'!$A315,'Budget by Source'!$A$6:$A$330,0),MATCH(P$3,'Budget by Source'!$A$5:$I$5,0))-(ROUND(INDEX('Budget by Source'!$A$6:$I$330,MATCH('Payment by Source'!$A315,'Budget by Source'!$A$6:$A$330,0),MATCH(P$3,'Budget by Source'!$A$5:$I$5,0))/10,0)*10)</f>
        <v>1</v>
      </c>
      <c r="Q315" s="154">
        <f>INDEX('Budget by Source'!$A$6:$I$330,MATCH('Payment by Source'!$A315,'Budget by Source'!$A$6:$A$330,0),MATCH(Q$3,'Budget by Source'!$A$5:$I$5,0))-(ROUND(INDEX('Budget by Source'!$A$6:$I$330,MATCH('Payment by Source'!$A315,'Budget by Source'!$A$6:$A$330,0),MATCH(Q$3,'Budget by Source'!$A$5:$I$5,0))/10,0)*10)</f>
        <v>-2</v>
      </c>
      <c r="R315" s="154">
        <f>INDEX('Budget by Source'!$A$6:$I$330,MATCH('Payment by Source'!$A315,'Budget by Source'!$A$6:$A$330,0),MATCH(R$3,'Budget by Source'!$A$5:$I$5,0))-(ROUND(INDEX('Budget by Source'!$A$6:$I$330,MATCH('Payment by Source'!$A315,'Budget by Source'!$A$6:$A$330,0),MATCH(R$3,'Budget by Source'!$A$5:$I$5,0))/10,0)*10)</f>
        <v>1</v>
      </c>
      <c r="S315" s="154">
        <f>INDEX('Budget by Source'!$A$6:$I$330,MATCH('Payment by Source'!$A315,'Budget by Source'!$A$6:$A$330,0),MATCH(S$3,'Budget by Source'!$A$5:$I$5,0))-(ROUND(INDEX('Budget by Source'!$A$6:$I$330,MATCH('Payment by Source'!$A315,'Budget by Source'!$A$6:$A$330,0),MATCH(S$3,'Budget by Source'!$A$5:$I$5,0))/10,0)*10)</f>
        <v>0</v>
      </c>
      <c r="T315" s="154">
        <f>INDEX('Budget by Source'!$A$6:$I$330,MATCH('Payment by Source'!$A315,'Budget by Source'!$A$6:$A$330,0),MATCH(T$3,'Budget by Source'!$A$5:$I$5,0))-(ROUND(INDEX('Budget by Source'!$A$6:$I$330,MATCH('Payment by Source'!$A315,'Budget by Source'!$A$6:$A$330,0),MATCH(T$3,'Budget by Source'!$A$5:$I$5,0))/10,0)*10)</f>
        <v>0</v>
      </c>
      <c r="U315" s="155">
        <f>INDEX('Budget by Source'!$A$6:$I$330,MATCH('Payment by Source'!$A315,'Budget by Source'!$A$6:$A$330,0),MATCH(U$3,'Budget by Source'!$A$5:$I$5,0))</f>
        <v>15663390</v>
      </c>
      <c r="V315" s="152">
        <f t="shared" si="13"/>
        <v>1566339</v>
      </c>
      <c r="W315" s="152">
        <f t="shared" si="14"/>
        <v>15663390</v>
      </c>
    </row>
    <row r="316" spans="1:23" x14ac:dyDescent="0.2">
      <c r="A316" s="23" t="str">
        <f>Data!B312</f>
        <v>6969</v>
      </c>
      <c r="B316" s="21" t="str">
        <f>INDEX(Data[],MATCH($A316,Data[Dist],0),MATCH(B$5,Data[#Headers],0))</f>
        <v>West Harrison</v>
      </c>
      <c r="C316" s="22">
        <f>IF(Notes!$B$2="June",ROUND('Budget by Source'!C316/10,0)+P316,ROUND('Budget by Source'!C316/10,0))</f>
        <v>4561</v>
      </c>
      <c r="D316" s="22">
        <f>IF(Notes!$B$2="June",ROUND('Budget by Source'!D316/10,0)+Q316,ROUND('Budget by Source'!D316/10,0))</f>
        <v>23925</v>
      </c>
      <c r="E316" s="22">
        <f>IF(Notes!$B$2="June",ROUND('Budget by Source'!E316/10,0)+R316,ROUND('Budget by Source'!E316/10,0))</f>
        <v>2283</v>
      </c>
      <c r="F316" s="22">
        <f>IF(Notes!$B$2="June",ROUND('Budget by Source'!F316/10,0)+S316,ROUND('Budget by Source'!F316/10,0))</f>
        <v>2623</v>
      </c>
      <c r="G316" s="22">
        <f>IF(Notes!$B$2="June",ROUND('Budget by Source'!G316/10,0)+T316,ROUND('Budget by Source'!G316/10,0))</f>
        <v>13131</v>
      </c>
      <c r="H316" s="22">
        <f t="shared" si="12"/>
        <v>153057</v>
      </c>
      <c r="I316" s="22">
        <f>INDEX(Data[],MATCH($A316,Data[Dist],0),MATCH(I$5,Data[#Headers],0))</f>
        <v>199580</v>
      </c>
      <c r="K316" s="69">
        <f>INDEX('Payment Total'!$A$7:$H$331,MATCH('Payment by Source'!$A316,'Payment Total'!$A$7:$A$331,0),3)-I316</f>
        <v>0</v>
      </c>
      <c r="P316" s="154">
        <f>INDEX('Budget by Source'!$A$6:$I$330,MATCH('Payment by Source'!$A316,'Budget by Source'!$A$6:$A$330,0),MATCH(P$3,'Budget by Source'!$A$5:$I$5,0))-(ROUND(INDEX('Budget by Source'!$A$6:$I$330,MATCH('Payment by Source'!$A316,'Budget by Source'!$A$6:$A$330,0),MATCH(P$3,'Budget by Source'!$A$5:$I$5,0))/10,0)*10)</f>
        <v>1</v>
      </c>
      <c r="Q316" s="154">
        <f>INDEX('Budget by Source'!$A$6:$I$330,MATCH('Payment by Source'!$A316,'Budget by Source'!$A$6:$A$330,0),MATCH(Q$3,'Budget by Source'!$A$5:$I$5,0))-(ROUND(INDEX('Budget by Source'!$A$6:$I$330,MATCH('Payment by Source'!$A316,'Budget by Source'!$A$6:$A$330,0),MATCH(Q$3,'Budget by Source'!$A$5:$I$5,0))/10,0)*10)</f>
        <v>2</v>
      </c>
      <c r="R316" s="154">
        <f>INDEX('Budget by Source'!$A$6:$I$330,MATCH('Payment by Source'!$A316,'Budget by Source'!$A$6:$A$330,0),MATCH(R$3,'Budget by Source'!$A$5:$I$5,0))-(ROUND(INDEX('Budget by Source'!$A$6:$I$330,MATCH('Payment by Source'!$A316,'Budget by Source'!$A$6:$A$330,0),MATCH(R$3,'Budget by Source'!$A$5:$I$5,0))/10,0)*10)</f>
        <v>2</v>
      </c>
      <c r="S316" s="154">
        <f>INDEX('Budget by Source'!$A$6:$I$330,MATCH('Payment by Source'!$A316,'Budget by Source'!$A$6:$A$330,0),MATCH(S$3,'Budget by Source'!$A$5:$I$5,0))-(ROUND(INDEX('Budget by Source'!$A$6:$I$330,MATCH('Payment by Source'!$A316,'Budget by Source'!$A$6:$A$330,0),MATCH(S$3,'Budget by Source'!$A$5:$I$5,0))/10,0)*10)</f>
        <v>-3</v>
      </c>
      <c r="T316" s="154">
        <f>INDEX('Budget by Source'!$A$6:$I$330,MATCH('Payment by Source'!$A316,'Budget by Source'!$A$6:$A$330,0),MATCH(T$3,'Budget by Source'!$A$5:$I$5,0))-(ROUND(INDEX('Budget by Source'!$A$6:$I$330,MATCH('Payment by Source'!$A316,'Budget by Source'!$A$6:$A$330,0),MATCH(T$3,'Budget by Source'!$A$5:$I$5,0))/10,0)*10)</f>
        <v>-3</v>
      </c>
      <c r="U316" s="155">
        <f>INDEX('Budget by Source'!$A$6:$I$330,MATCH('Payment by Source'!$A316,'Budget by Source'!$A$6:$A$330,0),MATCH(U$3,'Budget by Source'!$A$5:$I$5,0))</f>
        <v>1530571</v>
      </c>
      <c r="V316" s="152">
        <f t="shared" si="13"/>
        <v>153057</v>
      </c>
      <c r="W316" s="152">
        <f t="shared" si="14"/>
        <v>1530570</v>
      </c>
    </row>
    <row r="317" spans="1:23" x14ac:dyDescent="0.2">
      <c r="A317" s="23" t="str">
        <f>Data!B313</f>
        <v>6975</v>
      </c>
      <c r="B317" s="21" t="str">
        <f>INDEX(Data[],MATCH($A317,Data[Dist],0),MATCH(B$5,Data[#Headers],0))</f>
        <v>West Liberty</v>
      </c>
      <c r="C317" s="22">
        <f>IF(Notes!$B$2="June",ROUND('Budget by Source'!C317/10,0)+P317,ROUND('Budget by Source'!C317/10,0))</f>
        <v>23946</v>
      </c>
      <c r="D317" s="22">
        <f>IF(Notes!$B$2="June",ROUND('Budget by Source'!D317/10,0)+Q317,ROUND('Budget by Source'!D317/10,0))</f>
        <v>81698</v>
      </c>
      <c r="E317" s="22">
        <f>IF(Notes!$B$2="June",ROUND('Budget by Source'!E317/10,0)+R317,ROUND('Budget by Source'!E317/10,0))</f>
        <v>11102</v>
      </c>
      <c r="F317" s="22">
        <f>IF(Notes!$B$2="June",ROUND('Budget by Source'!F317/10,0)+S317,ROUND('Budget by Source'!F317/10,0))</f>
        <v>8616</v>
      </c>
      <c r="G317" s="22">
        <f>IF(Notes!$B$2="June",ROUND('Budget by Source'!G317/10,0)+T317,ROUND('Budget by Source'!G317/10,0))</f>
        <v>45517</v>
      </c>
      <c r="H317" s="22">
        <f t="shared" si="12"/>
        <v>810786</v>
      </c>
      <c r="I317" s="22">
        <f>INDEX(Data[],MATCH($A317,Data[Dist],0),MATCH(I$5,Data[#Headers],0))</f>
        <v>981665</v>
      </c>
      <c r="K317" s="69">
        <f>INDEX('Payment Total'!$A$7:$H$331,MATCH('Payment by Source'!$A317,'Payment Total'!$A$7:$A$331,0),3)-I317</f>
        <v>0</v>
      </c>
      <c r="P317" s="154">
        <f>INDEX('Budget by Source'!$A$6:$I$330,MATCH('Payment by Source'!$A317,'Budget by Source'!$A$6:$A$330,0),MATCH(P$3,'Budget by Source'!$A$5:$I$5,0))-(ROUND(INDEX('Budget by Source'!$A$6:$I$330,MATCH('Payment by Source'!$A317,'Budget by Source'!$A$6:$A$330,0),MATCH(P$3,'Budget by Source'!$A$5:$I$5,0))/10,0)*10)</f>
        <v>-2</v>
      </c>
      <c r="Q317" s="154">
        <f>INDEX('Budget by Source'!$A$6:$I$330,MATCH('Payment by Source'!$A317,'Budget by Source'!$A$6:$A$330,0),MATCH(Q$3,'Budget by Source'!$A$5:$I$5,0))-(ROUND(INDEX('Budget by Source'!$A$6:$I$330,MATCH('Payment by Source'!$A317,'Budget by Source'!$A$6:$A$330,0),MATCH(Q$3,'Budget by Source'!$A$5:$I$5,0))/10,0)*10)</f>
        <v>2</v>
      </c>
      <c r="R317" s="154">
        <f>INDEX('Budget by Source'!$A$6:$I$330,MATCH('Payment by Source'!$A317,'Budget by Source'!$A$6:$A$330,0),MATCH(R$3,'Budget by Source'!$A$5:$I$5,0))-(ROUND(INDEX('Budget by Source'!$A$6:$I$330,MATCH('Payment by Source'!$A317,'Budget by Source'!$A$6:$A$330,0),MATCH(R$3,'Budget by Source'!$A$5:$I$5,0))/10,0)*10)</f>
        <v>3</v>
      </c>
      <c r="S317" s="154">
        <f>INDEX('Budget by Source'!$A$6:$I$330,MATCH('Payment by Source'!$A317,'Budget by Source'!$A$6:$A$330,0),MATCH(S$3,'Budget by Source'!$A$5:$I$5,0))-(ROUND(INDEX('Budget by Source'!$A$6:$I$330,MATCH('Payment by Source'!$A317,'Budget by Source'!$A$6:$A$330,0),MATCH(S$3,'Budget by Source'!$A$5:$I$5,0))/10,0)*10)</f>
        <v>1</v>
      </c>
      <c r="T317" s="154">
        <f>INDEX('Budget by Source'!$A$6:$I$330,MATCH('Payment by Source'!$A317,'Budget by Source'!$A$6:$A$330,0),MATCH(T$3,'Budget by Source'!$A$5:$I$5,0))-(ROUND(INDEX('Budget by Source'!$A$6:$I$330,MATCH('Payment by Source'!$A317,'Budget by Source'!$A$6:$A$330,0),MATCH(T$3,'Budget by Source'!$A$5:$I$5,0))/10,0)*10)</f>
        <v>1</v>
      </c>
      <c r="U317" s="155">
        <f>INDEX('Budget by Source'!$A$6:$I$330,MATCH('Payment by Source'!$A317,'Budget by Source'!$A$6:$A$330,0),MATCH(U$3,'Budget by Source'!$A$5:$I$5,0))</f>
        <v>8107853</v>
      </c>
      <c r="V317" s="152">
        <f t="shared" si="13"/>
        <v>810785</v>
      </c>
      <c r="W317" s="152">
        <f t="shared" si="14"/>
        <v>8107850</v>
      </c>
    </row>
    <row r="318" spans="1:23" x14ac:dyDescent="0.2">
      <c r="A318" s="23" t="str">
        <f>Data!B314</f>
        <v>6983</v>
      </c>
      <c r="B318" s="21" t="str">
        <f>INDEX(Data[],MATCH($A318,Data[Dist],0),MATCH(B$5,Data[#Headers],0))</f>
        <v>West Lyon</v>
      </c>
      <c r="C318" s="22">
        <f>IF(Notes!$B$2="June",ROUND('Budget by Source'!C318/10,0)+P318,ROUND('Budget by Source'!C318/10,0))</f>
        <v>30027</v>
      </c>
      <c r="D318" s="22">
        <f>IF(Notes!$B$2="June",ROUND('Budget by Source'!D318/10,0)+Q318,ROUND('Budget by Source'!D318/10,0))</f>
        <v>58261</v>
      </c>
      <c r="E318" s="22">
        <f>IF(Notes!$B$2="June",ROUND('Budget by Source'!E318/10,0)+R318,ROUND('Budget by Source'!E318/10,0))</f>
        <v>6741</v>
      </c>
      <c r="F318" s="22">
        <f>IF(Notes!$B$2="June",ROUND('Budget by Source'!F318/10,0)+S318,ROUND('Budget by Source'!F318/10,0))</f>
        <v>6558</v>
      </c>
      <c r="G318" s="22">
        <f>IF(Notes!$B$2="June",ROUND('Budget by Source'!G318/10,0)+T318,ROUND('Budget by Source'!G318/10,0))</f>
        <v>34583</v>
      </c>
      <c r="H318" s="22">
        <f t="shared" si="12"/>
        <v>427403</v>
      </c>
      <c r="I318" s="22">
        <f>INDEX(Data[],MATCH($A318,Data[Dist],0),MATCH(I$5,Data[#Headers],0))</f>
        <v>563573</v>
      </c>
      <c r="K318" s="69">
        <f>INDEX('Payment Total'!$A$7:$H$331,MATCH('Payment by Source'!$A318,'Payment Total'!$A$7:$A$331,0),3)-I318</f>
        <v>0</v>
      </c>
      <c r="P318" s="154">
        <f>INDEX('Budget by Source'!$A$6:$I$330,MATCH('Payment by Source'!$A318,'Budget by Source'!$A$6:$A$330,0),MATCH(P$3,'Budget by Source'!$A$5:$I$5,0))-(ROUND(INDEX('Budget by Source'!$A$6:$I$330,MATCH('Payment by Source'!$A318,'Budget by Source'!$A$6:$A$330,0),MATCH(P$3,'Budget by Source'!$A$5:$I$5,0))/10,0)*10)</f>
        <v>3</v>
      </c>
      <c r="Q318" s="154">
        <f>INDEX('Budget by Source'!$A$6:$I$330,MATCH('Payment by Source'!$A318,'Budget by Source'!$A$6:$A$330,0),MATCH(Q$3,'Budget by Source'!$A$5:$I$5,0))-(ROUND(INDEX('Budget by Source'!$A$6:$I$330,MATCH('Payment by Source'!$A318,'Budget by Source'!$A$6:$A$330,0),MATCH(Q$3,'Budget by Source'!$A$5:$I$5,0))/10,0)*10)</f>
        <v>-4</v>
      </c>
      <c r="R318" s="154">
        <f>INDEX('Budget by Source'!$A$6:$I$330,MATCH('Payment by Source'!$A318,'Budget by Source'!$A$6:$A$330,0),MATCH(R$3,'Budget by Source'!$A$5:$I$5,0))-(ROUND(INDEX('Budget by Source'!$A$6:$I$330,MATCH('Payment by Source'!$A318,'Budget by Source'!$A$6:$A$330,0),MATCH(R$3,'Budget by Source'!$A$5:$I$5,0))/10,0)*10)</f>
        <v>-5</v>
      </c>
      <c r="S318" s="154">
        <f>INDEX('Budget by Source'!$A$6:$I$330,MATCH('Payment by Source'!$A318,'Budget by Source'!$A$6:$A$330,0),MATCH(S$3,'Budget by Source'!$A$5:$I$5,0))-(ROUND(INDEX('Budget by Source'!$A$6:$I$330,MATCH('Payment by Source'!$A318,'Budget by Source'!$A$6:$A$330,0),MATCH(S$3,'Budget by Source'!$A$5:$I$5,0))/10,0)*10)</f>
        <v>-5</v>
      </c>
      <c r="T318" s="154">
        <f>INDEX('Budget by Source'!$A$6:$I$330,MATCH('Payment by Source'!$A318,'Budget by Source'!$A$6:$A$330,0),MATCH(T$3,'Budget by Source'!$A$5:$I$5,0))-(ROUND(INDEX('Budget by Source'!$A$6:$I$330,MATCH('Payment by Source'!$A318,'Budget by Source'!$A$6:$A$330,0),MATCH(T$3,'Budget by Source'!$A$5:$I$5,0))/10,0)*10)</f>
        <v>-1</v>
      </c>
      <c r="U318" s="155">
        <f>INDEX('Budget by Source'!$A$6:$I$330,MATCH('Payment by Source'!$A318,'Budget by Source'!$A$6:$A$330,0),MATCH(U$3,'Budget by Source'!$A$5:$I$5,0))</f>
        <v>4274046</v>
      </c>
      <c r="V318" s="152">
        <f t="shared" si="13"/>
        <v>427405</v>
      </c>
      <c r="W318" s="152">
        <f t="shared" si="14"/>
        <v>4274050</v>
      </c>
    </row>
    <row r="319" spans="1:23" x14ac:dyDescent="0.2">
      <c r="A319" s="23" t="str">
        <f>Data!B315</f>
        <v>6985</v>
      </c>
      <c r="B319" s="21" t="str">
        <f>INDEX(Data[],MATCH($A319,Data[Dist],0),MATCH(B$5,Data[#Headers],0))</f>
        <v>West Marshall</v>
      </c>
      <c r="C319" s="22">
        <f>IF(Notes!$B$2="June",ROUND('Budget by Source'!C319/10,0)+P319,ROUND('Budget by Source'!C319/10,0))</f>
        <v>17864</v>
      </c>
      <c r="D319" s="22">
        <f>IF(Notes!$B$2="June",ROUND('Budget by Source'!D319/10,0)+Q319,ROUND('Budget by Source'!D319/10,0))</f>
        <v>51772</v>
      </c>
      <c r="E319" s="22">
        <f>IF(Notes!$B$2="June",ROUND('Budget by Source'!E319/10,0)+R319,ROUND('Budget by Source'!E319/10,0))</f>
        <v>6242</v>
      </c>
      <c r="F319" s="22">
        <f>IF(Notes!$B$2="June",ROUND('Budget by Source'!F319/10,0)+S319,ROUND('Budget by Source'!F319/10,0))</f>
        <v>5126</v>
      </c>
      <c r="G319" s="22">
        <f>IF(Notes!$B$2="June",ROUND('Budget by Source'!G319/10,0)+T319,ROUND('Budget by Source'!G319/10,0))</f>
        <v>29111</v>
      </c>
      <c r="H319" s="22">
        <f t="shared" si="12"/>
        <v>410749</v>
      </c>
      <c r="I319" s="22">
        <f>INDEX(Data[],MATCH($A319,Data[Dist],0),MATCH(I$5,Data[#Headers],0))</f>
        <v>520864</v>
      </c>
      <c r="K319" s="69">
        <f>INDEX('Payment Total'!$A$7:$H$331,MATCH('Payment by Source'!$A319,'Payment Total'!$A$7:$A$331,0),3)-I319</f>
        <v>0</v>
      </c>
      <c r="P319" s="154">
        <f>INDEX('Budget by Source'!$A$6:$I$330,MATCH('Payment by Source'!$A319,'Budget by Source'!$A$6:$A$330,0),MATCH(P$3,'Budget by Source'!$A$5:$I$5,0))-(ROUND(INDEX('Budget by Source'!$A$6:$I$330,MATCH('Payment by Source'!$A319,'Budget by Source'!$A$6:$A$330,0),MATCH(P$3,'Budget by Source'!$A$5:$I$5,0))/10,0)*10)</f>
        <v>4</v>
      </c>
      <c r="Q319" s="154">
        <f>INDEX('Budget by Source'!$A$6:$I$330,MATCH('Payment by Source'!$A319,'Budget by Source'!$A$6:$A$330,0),MATCH(Q$3,'Budget by Source'!$A$5:$I$5,0))-(ROUND(INDEX('Budget by Source'!$A$6:$I$330,MATCH('Payment by Source'!$A319,'Budget by Source'!$A$6:$A$330,0),MATCH(Q$3,'Budget by Source'!$A$5:$I$5,0))/10,0)*10)</f>
        <v>-2</v>
      </c>
      <c r="R319" s="154">
        <f>INDEX('Budget by Source'!$A$6:$I$330,MATCH('Payment by Source'!$A319,'Budget by Source'!$A$6:$A$330,0),MATCH(R$3,'Budget by Source'!$A$5:$I$5,0))-(ROUND(INDEX('Budget by Source'!$A$6:$I$330,MATCH('Payment by Source'!$A319,'Budget by Source'!$A$6:$A$330,0),MATCH(R$3,'Budget by Source'!$A$5:$I$5,0))/10,0)*10)</f>
        <v>-1</v>
      </c>
      <c r="S319" s="154">
        <f>INDEX('Budget by Source'!$A$6:$I$330,MATCH('Payment by Source'!$A319,'Budget by Source'!$A$6:$A$330,0),MATCH(S$3,'Budget by Source'!$A$5:$I$5,0))-(ROUND(INDEX('Budget by Source'!$A$6:$I$330,MATCH('Payment by Source'!$A319,'Budget by Source'!$A$6:$A$330,0),MATCH(S$3,'Budget by Source'!$A$5:$I$5,0))/10,0)*10)</f>
        <v>1</v>
      </c>
      <c r="T319" s="154">
        <f>INDEX('Budget by Source'!$A$6:$I$330,MATCH('Payment by Source'!$A319,'Budget by Source'!$A$6:$A$330,0),MATCH(T$3,'Budget by Source'!$A$5:$I$5,0))-(ROUND(INDEX('Budget by Source'!$A$6:$I$330,MATCH('Payment by Source'!$A319,'Budget by Source'!$A$6:$A$330,0),MATCH(T$3,'Budget by Source'!$A$5:$I$5,0))/10,0)*10)</f>
        <v>-4</v>
      </c>
      <c r="U319" s="155">
        <f>INDEX('Budget by Source'!$A$6:$I$330,MATCH('Payment by Source'!$A319,'Budget by Source'!$A$6:$A$330,0),MATCH(U$3,'Budget by Source'!$A$5:$I$5,0))</f>
        <v>4107490</v>
      </c>
      <c r="V319" s="152">
        <f t="shared" si="13"/>
        <v>410749</v>
      </c>
      <c r="W319" s="152">
        <f t="shared" si="14"/>
        <v>4107490</v>
      </c>
    </row>
    <row r="320" spans="1:23" x14ac:dyDescent="0.2">
      <c r="A320" s="23" t="str">
        <f>Data!B316</f>
        <v>6987</v>
      </c>
      <c r="B320" s="21" t="str">
        <f>INDEX(Data[],MATCH($A320,Data[Dist],0),MATCH(B$5,Data[#Headers],0))</f>
        <v>West Monona</v>
      </c>
      <c r="C320" s="22">
        <f>IF(Notes!$B$2="June",ROUND('Budget by Source'!C320/10,0)+P320,ROUND('Budget by Source'!C320/10,0))</f>
        <v>11792</v>
      </c>
      <c r="D320" s="22">
        <f>IF(Notes!$B$2="June",ROUND('Budget by Source'!D320/10,0)+Q320,ROUND('Budget by Source'!D320/10,0))</f>
        <v>40718</v>
      </c>
      <c r="E320" s="22">
        <f>IF(Notes!$B$2="June",ROUND('Budget by Source'!E320/10,0)+R320,ROUND('Budget by Source'!E320/10,0))</f>
        <v>4654</v>
      </c>
      <c r="F320" s="22">
        <f>IF(Notes!$B$2="June",ROUND('Budget by Source'!F320/10,0)+S320,ROUND('Budget by Source'!F320/10,0))</f>
        <v>4340</v>
      </c>
      <c r="G320" s="22">
        <f>IF(Notes!$B$2="June",ROUND('Budget by Source'!G320/10,0)+T320,ROUND('Budget by Source'!G320/10,0))</f>
        <v>22178</v>
      </c>
      <c r="H320" s="22">
        <f t="shared" si="12"/>
        <v>318536</v>
      </c>
      <c r="I320" s="22">
        <f>INDEX(Data[],MATCH($A320,Data[Dist],0),MATCH(I$5,Data[#Headers],0))</f>
        <v>402218</v>
      </c>
      <c r="K320" s="69">
        <f>INDEX('Payment Total'!$A$7:$H$331,MATCH('Payment by Source'!$A320,'Payment Total'!$A$7:$A$331,0),3)-I320</f>
        <v>0</v>
      </c>
      <c r="P320" s="154">
        <f>INDEX('Budget by Source'!$A$6:$I$330,MATCH('Payment by Source'!$A320,'Budget by Source'!$A$6:$A$330,0),MATCH(P$3,'Budget by Source'!$A$5:$I$5,0))-(ROUND(INDEX('Budget by Source'!$A$6:$I$330,MATCH('Payment by Source'!$A320,'Budget by Source'!$A$6:$A$330,0),MATCH(P$3,'Budget by Source'!$A$5:$I$5,0))/10,0)*10)</f>
        <v>2</v>
      </c>
      <c r="Q320" s="154">
        <f>INDEX('Budget by Source'!$A$6:$I$330,MATCH('Payment by Source'!$A320,'Budget by Source'!$A$6:$A$330,0),MATCH(Q$3,'Budget by Source'!$A$5:$I$5,0))-(ROUND(INDEX('Budget by Source'!$A$6:$I$330,MATCH('Payment by Source'!$A320,'Budget by Source'!$A$6:$A$330,0),MATCH(Q$3,'Budget by Source'!$A$5:$I$5,0))/10,0)*10)</f>
        <v>4</v>
      </c>
      <c r="R320" s="154">
        <f>INDEX('Budget by Source'!$A$6:$I$330,MATCH('Payment by Source'!$A320,'Budget by Source'!$A$6:$A$330,0),MATCH(R$3,'Budget by Source'!$A$5:$I$5,0))-(ROUND(INDEX('Budget by Source'!$A$6:$I$330,MATCH('Payment by Source'!$A320,'Budget by Source'!$A$6:$A$330,0),MATCH(R$3,'Budget by Source'!$A$5:$I$5,0))/10,0)*10)</f>
        <v>-3</v>
      </c>
      <c r="S320" s="154">
        <f>INDEX('Budget by Source'!$A$6:$I$330,MATCH('Payment by Source'!$A320,'Budget by Source'!$A$6:$A$330,0),MATCH(S$3,'Budget by Source'!$A$5:$I$5,0))-(ROUND(INDEX('Budget by Source'!$A$6:$I$330,MATCH('Payment by Source'!$A320,'Budget by Source'!$A$6:$A$330,0),MATCH(S$3,'Budget by Source'!$A$5:$I$5,0))/10,0)*10)</f>
        <v>-4</v>
      </c>
      <c r="T320" s="154">
        <f>INDEX('Budget by Source'!$A$6:$I$330,MATCH('Payment by Source'!$A320,'Budget by Source'!$A$6:$A$330,0),MATCH(T$3,'Budget by Source'!$A$5:$I$5,0))-(ROUND(INDEX('Budget by Source'!$A$6:$I$330,MATCH('Payment by Source'!$A320,'Budget by Source'!$A$6:$A$330,0),MATCH(T$3,'Budget by Source'!$A$5:$I$5,0))/10,0)*10)</f>
        <v>1</v>
      </c>
      <c r="U320" s="155">
        <f>INDEX('Budget by Source'!$A$6:$I$330,MATCH('Payment by Source'!$A320,'Budget by Source'!$A$6:$A$330,0),MATCH(U$3,'Budget by Source'!$A$5:$I$5,0))</f>
        <v>3185363</v>
      </c>
      <c r="V320" s="152">
        <f t="shared" si="13"/>
        <v>318536</v>
      </c>
      <c r="W320" s="152">
        <f t="shared" si="14"/>
        <v>3185360</v>
      </c>
    </row>
    <row r="321" spans="1:23" x14ac:dyDescent="0.2">
      <c r="A321" s="23" t="str">
        <f>Data!B317</f>
        <v>6990</v>
      </c>
      <c r="B321" s="21" t="str">
        <f>INDEX(Data[],MATCH($A321,Data[Dist],0),MATCH(B$5,Data[#Headers],0))</f>
        <v>West Sioux</v>
      </c>
      <c r="C321" s="22">
        <f>IF(Notes!$B$2="June",ROUND('Budget by Source'!C321/10,0)+P321,ROUND('Budget by Source'!C321/10,0))</f>
        <v>14063</v>
      </c>
      <c r="D321" s="22">
        <f>IF(Notes!$B$2="June",ROUND('Budget by Source'!D321/10,0)+Q321,ROUND('Budget by Source'!D321/10,0))</f>
        <v>54621</v>
      </c>
      <c r="E321" s="22">
        <f>IF(Notes!$B$2="June",ROUND('Budget by Source'!E321/10,0)+R321,ROUND('Budget by Source'!E321/10,0))</f>
        <v>6499</v>
      </c>
      <c r="F321" s="22">
        <f>IF(Notes!$B$2="June",ROUND('Budget by Source'!F321/10,0)+S321,ROUND('Budget by Source'!F321/10,0))</f>
        <v>6266</v>
      </c>
      <c r="G321" s="22">
        <f>IF(Notes!$B$2="June",ROUND('Budget by Source'!G321/10,0)+T321,ROUND('Budget by Source'!G321/10,0))</f>
        <v>29302</v>
      </c>
      <c r="H321" s="22">
        <f t="shared" si="12"/>
        <v>532970</v>
      </c>
      <c r="I321" s="22">
        <f>INDEX(Data[],MATCH($A321,Data[Dist],0),MATCH(I$5,Data[#Headers],0))</f>
        <v>643721</v>
      </c>
      <c r="K321" s="69">
        <f>INDEX('Payment Total'!$A$7:$H$331,MATCH('Payment by Source'!$A321,'Payment Total'!$A$7:$A$331,0),3)-I321</f>
        <v>0</v>
      </c>
      <c r="P321" s="154">
        <f>INDEX('Budget by Source'!$A$6:$I$330,MATCH('Payment by Source'!$A321,'Budget by Source'!$A$6:$A$330,0),MATCH(P$3,'Budget by Source'!$A$5:$I$5,0))-(ROUND(INDEX('Budget by Source'!$A$6:$I$330,MATCH('Payment by Source'!$A321,'Budget by Source'!$A$6:$A$330,0),MATCH(P$3,'Budget by Source'!$A$5:$I$5,0))/10,0)*10)</f>
        <v>4</v>
      </c>
      <c r="Q321" s="154">
        <f>INDEX('Budget by Source'!$A$6:$I$330,MATCH('Payment by Source'!$A321,'Budget by Source'!$A$6:$A$330,0),MATCH(Q$3,'Budget by Source'!$A$5:$I$5,0))-(ROUND(INDEX('Budget by Source'!$A$6:$I$330,MATCH('Payment by Source'!$A321,'Budget by Source'!$A$6:$A$330,0),MATCH(Q$3,'Budget by Source'!$A$5:$I$5,0))/10,0)*10)</f>
        <v>0</v>
      </c>
      <c r="R321" s="154">
        <f>INDEX('Budget by Source'!$A$6:$I$330,MATCH('Payment by Source'!$A321,'Budget by Source'!$A$6:$A$330,0),MATCH(R$3,'Budget by Source'!$A$5:$I$5,0))-(ROUND(INDEX('Budget by Source'!$A$6:$I$330,MATCH('Payment by Source'!$A321,'Budget by Source'!$A$6:$A$330,0),MATCH(R$3,'Budget by Source'!$A$5:$I$5,0))/10,0)*10)</f>
        <v>1</v>
      </c>
      <c r="S321" s="154">
        <f>INDEX('Budget by Source'!$A$6:$I$330,MATCH('Payment by Source'!$A321,'Budget by Source'!$A$6:$A$330,0),MATCH(S$3,'Budget by Source'!$A$5:$I$5,0))-(ROUND(INDEX('Budget by Source'!$A$6:$I$330,MATCH('Payment by Source'!$A321,'Budget by Source'!$A$6:$A$330,0),MATCH(S$3,'Budget by Source'!$A$5:$I$5,0))/10,0)*10)</f>
        <v>2</v>
      </c>
      <c r="T321" s="154">
        <f>INDEX('Budget by Source'!$A$6:$I$330,MATCH('Payment by Source'!$A321,'Budget by Source'!$A$6:$A$330,0),MATCH(T$3,'Budget by Source'!$A$5:$I$5,0))-(ROUND(INDEX('Budget by Source'!$A$6:$I$330,MATCH('Payment by Source'!$A321,'Budget by Source'!$A$6:$A$330,0),MATCH(T$3,'Budget by Source'!$A$5:$I$5,0))/10,0)*10)</f>
        <v>-2</v>
      </c>
      <c r="U321" s="155">
        <f>INDEX('Budget by Source'!$A$6:$I$330,MATCH('Payment by Source'!$A321,'Budget by Source'!$A$6:$A$330,0),MATCH(U$3,'Budget by Source'!$A$5:$I$5,0))</f>
        <v>5329698</v>
      </c>
      <c r="V321" s="152">
        <f t="shared" si="13"/>
        <v>532970</v>
      </c>
      <c r="W321" s="152">
        <f t="shared" si="14"/>
        <v>5329700</v>
      </c>
    </row>
    <row r="322" spans="1:23" x14ac:dyDescent="0.2">
      <c r="A322" s="23" t="str">
        <f>Data!B318</f>
        <v>6992</v>
      </c>
      <c r="B322" s="21" t="str">
        <f>INDEX(Data[],MATCH($A322,Data[Dist],0),MATCH(B$5,Data[#Headers],0))</f>
        <v>Westwood</v>
      </c>
      <c r="C322" s="22">
        <f>IF(Notes!$B$2="June",ROUND('Budget by Source'!C322/10,0)+P322,ROUND('Budget by Source'!C322/10,0))</f>
        <v>12543</v>
      </c>
      <c r="D322" s="22">
        <f>IF(Notes!$B$2="June",ROUND('Budget by Source'!D322/10,0)+Q322,ROUND('Budget by Source'!D322/10,0))</f>
        <v>36699</v>
      </c>
      <c r="E322" s="22">
        <f>IF(Notes!$B$2="June",ROUND('Budget by Source'!E322/10,0)+R322,ROUND('Budget by Source'!E322/10,0))</f>
        <v>4203</v>
      </c>
      <c r="F322" s="22">
        <f>IF(Notes!$B$2="June",ROUND('Budget by Source'!F322/10,0)+S322,ROUND('Budget by Source'!F322/10,0))</f>
        <v>4225</v>
      </c>
      <c r="G322" s="22">
        <f>IF(Notes!$B$2="June",ROUND('Budget by Source'!G322/10,0)+T322,ROUND('Budget by Source'!G322/10,0))</f>
        <v>19595</v>
      </c>
      <c r="H322" s="22">
        <f t="shared" si="12"/>
        <v>199104</v>
      </c>
      <c r="I322" s="22">
        <f>INDEX(Data[],MATCH($A322,Data[Dist],0),MATCH(I$5,Data[#Headers],0))</f>
        <v>276369</v>
      </c>
      <c r="K322" s="69">
        <f>INDEX('Payment Total'!$A$7:$H$331,MATCH('Payment by Source'!$A322,'Payment Total'!$A$7:$A$331,0),3)-I322</f>
        <v>0</v>
      </c>
      <c r="P322" s="154">
        <f>INDEX('Budget by Source'!$A$6:$I$330,MATCH('Payment by Source'!$A322,'Budget by Source'!$A$6:$A$330,0),MATCH(P$3,'Budget by Source'!$A$5:$I$5,0))-(ROUND(INDEX('Budget by Source'!$A$6:$I$330,MATCH('Payment by Source'!$A322,'Budget by Source'!$A$6:$A$330,0),MATCH(P$3,'Budget by Source'!$A$5:$I$5,0))/10,0)*10)</f>
        <v>1</v>
      </c>
      <c r="Q322" s="154">
        <f>INDEX('Budget by Source'!$A$6:$I$330,MATCH('Payment by Source'!$A322,'Budget by Source'!$A$6:$A$330,0),MATCH(Q$3,'Budget by Source'!$A$5:$I$5,0))-(ROUND(INDEX('Budget by Source'!$A$6:$I$330,MATCH('Payment by Source'!$A322,'Budget by Source'!$A$6:$A$330,0),MATCH(Q$3,'Budget by Source'!$A$5:$I$5,0))/10,0)*10)</f>
        <v>0</v>
      </c>
      <c r="R322" s="154">
        <f>INDEX('Budget by Source'!$A$6:$I$330,MATCH('Payment by Source'!$A322,'Budget by Source'!$A$6:$A$330,0),MATCH(R$3,'Budget by Source'!$A$5:$I$5,0))-(ROUND(INDEX('Budget by Source'!$A$6:$I$330,MATCH('Payment by Source'!$A322,'Budget by Source'!$A$6:$A$330,0),MATCH(R$3,'Budget by Source'!$A$5:$I$5,0))/10,0)*10)</f>
        <v>1</v>
      </c>
      <c r="S322" s="154">
        <f>INDEX('Budget by Source'!$A$6:$I$330,MATCH('Payment by Source'!$A322,'Budget by Source'!$A$6:$A$330,0),MATCH(S$3,'Budget by Source'!$A$5:$I$5,0))-(ROUND(INDEX('Budget by Source'!$A$6:$I$330,MATCH('Payment by Source'!$A322,'Budget by Source'!$A$6:$A$330,0),MATCH(S$3,'Budget by Source'!$A$5:$I$5,0))/10,0)*10)</f>
        <v>4</v>
      </c>
      <c r="T322" s="154">
        <f>INDEX('Budget by Source'!$A$6:$I$330,MATCH('Payment by Source'!$A322,'Budget by Source'!$A$6:$A$330,0),MATCH(T$3,'Budget by Source'!$A$5:$I$5,0))-(ROUND(INDEX('Budget by Source'!$A$6:$I$330,MATCH('Payment by Source'!$A322,'Budget by Source'!$A$6:$A$330,0),MATCH(T$3,'Budget by Source'!$A$5:$I$5,0))/10,0)*10)</f>
        <v>-3</v>
      </c>
      <c r="U322" s="155">
        <f>INDEX('Budget by Source'!$A$6:$I$330,MATCH('Payment by Source'!$A322,'Budget by Source'!$A$6:$A$330,0),MATCH(U$3,'Budget by Source'!$A$5:$I$5,0))</f>
        <v>1991038</v>
      </c>
      <c r="V322" s="152">
        <f t="shared" si="13"/>
        <v>199104</v>
      </c>
      <c r="W322" s="152">
        <f t="shared" si="14"/>
        <v>1991040</v>
      </c>
    </row>
    <row r="323" spans="1:23" x14ac:dyDescent="0.2">
      <c r="A323" s="23" t="str">
        <f>Data!B319</f>
        <v>7002</v>
      </c>
      <c r="B323" s="21" t="str">
        <f>INDEX(Data[],MATCH($A323,Data[Dist],0),MATCH(B$5,Data[#Headers],0))</f>
        <v>Whiting</v>
      </c>
      <c r="C323" s="22">
        <f>IF(Notes!$B$2="June",ROUND('Budget by Source'!C323/10,0)+P323,ROUND('Budget by Source'!C323/10,0))</f>
        <v>4181</v>
      </c>
      <c r="D323" s="22">
        <f>IF(Notes!$B$2="June",ROUND('Budget by Source'!D323/10,0)+Q323,ROUND('Budget by Source'!D323/10,0))</f>
        <v>14890</v>
      </c>
      <c r="E323" s="22">
        <f>IF(Notes!$B$2="June",ROUND('Budget by Source'!E323/10,0)+R323,ROUND('Budget by Source'!E323/10,0))</f>
        <v>1847</v>
      </c>
      <c r="F323" s="22">
        <f>IF(Notes!$B$2="June",ROUND('Budget by Source'!F323/10,0)+S323,ROUND('Budget by Source'!F323/10,0))</f>
        <v>1679</v>
      </c>
      <c r="G323" s="22">
        <f>IF(Notes!$B$2="June",ROUND('Budget by Source'!G323/10,0)+T323,ROUND('Budget by Source'!G323/10,0))</f>
        <v>6906</v>
      </c>
      <c r="H323" s="22">
        <f t="shared" si="12"/>
        <v>75717</v>
      </c>
      <c r="I323" s="22">
        <f>INDEX(Data[],MATCH($A323,Data[Dist],0),MATCH(I$5,Data[#Headers],0))</f>
        <v>105220</v>
      </c>
      <c r="K323" s="69">
        <f>INDEX('Payment Total'!$A$7:$H$331,MATCH('Payment by Source'!$A323,'Payment Total'!$A$7:$A$331,0),3)-I323</f>
        <v>0</v>
      </c>
      <c r="P323" s="154">
        <f>INDEX('Budget by Source'!$A$6:$I$330,MATCH('Payment by Source'!$A323,'Budget by Source'!$A$6:$A$330,0),MATCH(P$3,'Budget by Source'!$A$5:$I$5,0))-(ROUND(INDEX('Budget by Source'!$A$6:$I$330,MATCH('Payment by Source'!$A323,'Budget by Source'!$A$6:$A$330,0),MATCH(P$3,'Budget by Source'!$A$5:$I$5,0))/10,0)*10)</f>
        <v>1</v>
      </c>
      <c r="Q323" s="154">
        <f>INDEX('Budget by Source'!$A$6:$I$330,MATCH('Payment by Source'!$A323,'Budget by Source'!$A$6:$A$330,0),MATCH(Q$3,'Budget by Source'!$A$5:$I$5,0))-(ROUND(INDEX('Budget by Source'!$A$6:$I$330,MATCH('Payment by Source'!$A323,'Budget by Source'!$A$6:$A$330,0),MATCH(Q$3,'Budget by Source'!$A$5:$I$5,0))/10,0)*10)</f>
        <v>3</v>
      </c>
      <c r="R323" s="154">
        <f>INDEX('Budget by Source'!$A$6:$I$330,MATCH('Payment by Source'!$A323,'Budget by Source'!$A$6:$A$330,0),MATCH(R$3,'Budget by Source'!$A$5:$I$5,0))-(ROUND(INDEX('Budget by Source'!$A$6:$I$330,MATCH('Payment by Source'!$A323,'Budget by Source'!$A$6:$A$330,0),MATCH(R$3,'Budget by Source'!$A$5:$I$5,0))/10,0)*10)</f>
        <v>4</v>
      </c>
      <c r="S323" s="154">
        <f>INDEX('Budget by Source'!$A$6:$I$330,MATCH('Payment by Source'!$A323,'Budget by Source'!$A$6:$A$330,0),MATCH(S$3,'Budget by Source'!$A$5:$I$5,0))-(ROUND(INDEX('Budget by Source'!$A$6:$I$330,MATCH('Payment by Source'!$A323,'Budget by Source'!$A$6:$A$330,0),MATCH(S$3,'Budget by Source'!$A$5:$I$5,0))/10,0)*10)</f>
        <v>3</v>
      </c>
      <c r="T323" s="154">
        <f>INDEX('Budget by Source'!$A$6:$I$330,MATCH('Payment by Source'!$A323,'Budget by Source'!$A$6:$A$330,0),MATCH(T$3,'Budget by Source'!$A$5:$I$5,0))-(ROUND(INDEX('Budget by Source'!$A$6:$I$330,MATCH('Payment by Source'!$A323,'Budget by Source'!$A$6:$A$330,0),MATCH(T$3,'Budget by Source'!$A$5:$I$5,0))/10,0)*10)</f>
        <v>-5</v>
      </c>
      <c r="U323" s="155">
        <f>INDEX('Budget by Source'!$A$6:$I$330,MATCH('Payment by Source'!$A323,'Budget by Source'!$A$6:$A$330,0),MATCH(U$3,'Budget by Source'!$A$5:$I$5,0))</f>
        <v>757163</v>
      </c>
      <c r="V323" s="152">
        <f t="shared" si="13"/>
        <v>75716</v>
      </c>
      <c r="W323" s="152">
        <f t="shared" si="14"/>
        <v>757160</v>
      </c>
    </row>
    <row r="324" spans="1:23" x14ac:dyDescent="0.2">
      <c r="A324" s="23" t="str">
        <f>Data!B320</f>
        <v>7029</v>
      </c>
      <c r="B324" s="21" t="str">
        <f>INDEX(Data[],MATCH($A324,Data[Dist],0),MATCH(B$5,Data[#Headers],0))</f>
        <v>Williamsburg</v>
      </c>
      <c r="C324" s="22">
        <f>IF(Notes!$B$2="June",ROUND('Budget by Source'!C324/10,0)+P324,ROUND('Budget by Source'!C324/10,0))</f>
        <v>23575</v>
      </c>
      <c r="D324" s="22">
        <f>IF(Notes!$B$2="June",ROUND('Budget by Source'!D324/10,0)+Q324,ROUND('Budget by Source'!D324/10,0))</f>
        <v>76102</v>
      </c>
      <c r="E324" s="22">
        <f>IF(Notes!$B$2="June",ROUND('Budget by Source'!E324/10,0)+R324,ROUND('Budget by Source'!E324/10,0))</f>
        <v>7467</v>
      </c>
      <c r="F324" s="22">
        <f>IF(Notes!$B$2="June",ROUND('Budget by Source'!F324/10,0)+S324,ROUND('Budget by Source'!F324/10,0))</f>
        <v>8355</v>
      </c>
      <c r="G324" s="22">
        <f>IF(Notes!$B$2="June",ROUND('Budget by Source'!G324/10,0)+T324,ROUND('Budget by Source'!G324/10,0))</f>
        <v>42757</v>
      </c>
      <c r="H324" s="22">
        <f t="shared" si="12"/>
        <v>622875</v>
      </c>
      <c r="I324" s="22">
        <f>INDEX(Data[],MATCH($A324,Data[Dist],0),MATCH(I$5,Data[#Headers],0))</f>
        <v>781131</v>
      </c>
      <c r="K324" s="69">
        <f>INDEX('Payment Total'!$A$7:$H$331,MATCH('Payment by Source'!$A324,'Payment Total'!$A$7:$A$331,0),3)-I324</f>
        <v>0</v>
      </c>
      <c r="P324" s="154">
        <f>INDEX('Budget by Source'!$A$6:$I$330,MATCH('Payment by Source'!$A324,'Budget by Source'!$A$6:$A$330,0),MATCH(P$3,'Budget by Source'!$A$5:$I$5,0))-(ROUND(INDEX('Budget by Source'!$A$6:$I$330,MATCH('Payment by Source'!$A324,'Budget by Source'!$A$6:$A$330,0),MATCH(P$3,'Budget by Source'!$A$5:$I$5,0))/10,0)*10)</f>
        <v>1</v>
      </c>
      <c r="Q324" s="154">
        <f>INDEX('Budget by Source'!$A$6:$I$330,MATCH('Payment by Source'!$A324,'Budget by Source'!$A$6:$A$330,0),MATCH(Q$3,'Budget by Source'!$A$5:$I$5,0))-(ROUND(INDEX('Budget by Source'!$A$6:$I$330,MATCH('Payment by Source'!$A324,'Budget by Source'!$A$6:$A$330,0),MATCH(Q$3,'Budget by Source'!$A$5:$I$5,0))/10,0)*10)</f>
        <v>2</v>
      </c>
      <c r="R324" s="154">
        <f>INDEX('Budget by Source'!$A$6:$I$330,MATCH('Payment by Source'!$A324,'Budget by Source'!$A$6:$A$330,0),MATCH(R$3,'Budget by Source'!$A$5:$I$5,0))-(ROUND(INDEX('Budget by Source'!$A$6:$I$330,MATCH('Payment by Source'!$A324,'Budget by Source'!$A$6:$A$330,0),MATCH(R$3,'Budget by Source'!$A$5:$I$5,0))/10,0)*10)</f>
        <v>0</v>
      </c>
      <c r="S324" s="154">
        <f>INDEX('Budget by Source'!$A$6:$I$330,MATCH('Payment by Source'!$A324,'Budget by Source'!$A$6:$A$330,0),MATCH(S$3,'Budget by Source'!$A$5:$I$5,0))-(ROUND(INDEX('Budget by Source'!$A$6:$I$330,MATCH('Payment by Source'!$A324,'Budget by Source'!$A$6:$A$330,0),MATCH(S$3,'Budget by Source'!$A$5:$I$5,0))/10,0)*10)</f>
        <v>-4</v>
      </c>
      <c r="T324" s="154">
        <f>INDEX('Budget by Source'!$A$6:$I$330,MATCH('Payment by Source'!$A324,'Budget by Source'!$A$6:$A$330,0),MATCH(T$3,'Budget by Source'!$A$5:$I$5,0))-(ROUND(INDEX('Budget by Source'!$A$6:$I$330,MATCH('Payment by Source'!$A324,'Budget by Source'!$A$6:$A$330,0),MATCH(T$3,'Budget by Source'!$A$5:$I$5,0))/10,0)*10)</f>
        <v>-1</v>
      </c>
      <c r="U324" s="155">
        <f>INDEX('Budget by Source'!$A$6:$I$330,MATCH('Payment by Source'!$A324,'Budget by Source'!$A$6:$A$330,0),MATCH(U$3,'Budget by Source'!$A$5:$I$5,0))</f>
        <v>6228749</v>
      </c>
      <c r="V324" s="152">
        <f t="shared" si="13"/>
        <v>622875</v>
      </c>
      <c r="W324" s="152">
        <f t="shared" si="14"/>
        <v>6228750</v>
      </c>
    </row>
    <row r="325" spans="1:23" x14ac:dyDescent="0.2">
      <c r="A325" s="23" t="str">
        <f>Data!B321</f>
        <v>7038</v>
      </c>
      <c r="B325" s="21" t="str">
        <f>INDEX(Data[],MATCH($A325,Data[Dist],0),MATCH(B$5,Data[#Headers],0))</f>
        <v>Wilton</v>
      </c>
      <c r="C325" s="22">
        <f>IF(Notes!$B$2="June",ROUND('Budget by Source'!C325/10,0)+P325,ROUND('Budget by Source'!C325/10,0))</f>
        <v>21285</v>
      </c>
      <c r="D325" s="22">
        <f>IF(Notes!$B$2="June",ROUND('Budget by Source'!D325/10,0)+Q325,ROUND('Budget by Source'!D325/10,0))</f>
        <v>57074</v>
      </c>
      <c r="E325" s="22">
        <f>IF(Notes!$B$2="June",ROUND('Budget by Source'!E325/10,0)+R325,ROUND('Budget by Source'!E325/10,0))</f>
        <v>6528</v>
      </c>
      <c r="F325" s="22">
        <f>IF(Notes!$B$2="June",ROUND('Budget by Source'!F325/10,0)+S325,ROUND('Budget by Source'!F325/10,0))</f>
        <v>6382</v>
      </c>
      <c r="G325" s="22">
        <f>IF(Notes!$B$2="June",ROUND('Budget by Source'!G325/10,0)+T325,ROUND('Budget by Source'!G325/10,0))</f>
        <v>31395</v>
      </c>
      <c r="H325" s="22">
        <f t="shared" si="12"/>
        <v>505917</v>
      </c>
      <c r="I325" s="22">
        <f>INDEX(Data[],MATCH($A325,Data[Dist],0),MATCH(I$5,Data[#Headers],0))</f>
        <v>628581</v>
      </c>
      <c r="K325" s="69">
        <f>INDEX('Payment Total'!$A$7:$H$331,MATCH('Payment by Source'!$A325,'Payment Total'!$A$7:$A$331,0),3)-I325</f>
        <v>0</v>
      </c>
      <c r="P325" s="154">
        <f>INDEX('Budget by Source'!$A$6:$I$330,MATCH('Payment by Source'!$A325,'Budget by Source'!$A$6:$A$330,0),MATCH(P$3,'Budget by Source'!$A$5:$I$5,0))-(ROUND(INDEX('Budget by Source'!$A$6:$I$330,MATCH('Payment by Source'!$A325,'Budget by Source'!$A$6:$A$330,0),MATCH(P$3,'Budget by Source'!$A$5:$I$5,0))/10,0)*10)</f>
        <v>1</v>
      </c>
      <c r="Q325" s="154">
        <f>INDEX('Budget by Source'!$A$6:$I$330,MATCH('Payment by Source'!$A325,'Budget by Source'!$A$6:$A$330,0),MATCH(Q$3,'Budget by Source'!$A$5:$I$5,0))-(ROUND(INDEX('Budget by Source'!$A$6:$I$330,MATCH('Payment by Source'!$A325,'Budget by Source'!$A$6:$A$330,0),MATCH(Q$3,'Budget by Source'!$A$5:$I$5,0))/10,0)*10)</f>
        <v>-1</v>
      </c>
      <c r="R325" s="154">
        <f>INDEX('Budget by Source'!$A$6:$I$330,MATCH('Payment by Source'!$A325,'Budget by Source'!$A$6:$A$330,0),MATCH(R$3,'Budget by Source'!$A$5:$I$5,0))-(ROUND(INDEX('Budget by Source'!$A$6:$I$330,MATCH('Payment by Source'!$A325,'Budget by Source'!$A$6:$A$330,0),MATCH(R$3,'Budget by Source'!$A$5:$I$5,0))/10,0)*10)</f>
        <v>1</v>
      </c>
      <c r="S325" s="154">
        <f>INDEX('Budget by Source'!$A$6:$I$330,MATCH('Payment by Source'!$A325,'Budget by Source'!$A$6:$A$330,0),MATCH(S$3,'Budget by Source'!$A$5:$I$5,0))-(ROUND(INDEX('Budget by Source'!$A$6:$I$330,MATCH('Payment by Source'!$A325,'Budget by Source'!$A$6:$A$330,0),MATCH(S$3,'Budget by Source'!$A$5:$I$5,0))/10,0)*10)</f>
        <v>4</v>
      </c>
      <c r="T325" s="154">
        <f>INDEX('Budget by Source'!$A$6:$I$330,MATCH('Payment by Source'!$A325,'Budget by Source'!$A$6:$A$330,0),MATCH(T$3,'Budget by Source'!$A$5:$I$5,0))-(ROUND(INDEX('Budget by Source'!$A$6:$I$330,MATCH('Payment by Source'!$A325,'Budget by Source'!$A$6:$A$330,0),MATCH(T$3,'Budget by Source'!$A$5:$I$5,0))/10,0)*10)</f>
        <v>1</v>
      </c>
      <c r="U325" s="155">
        <f>INDEX('Budget by Source'!$A$6:$I$330,MATCH('Payment by Source'!$A325,'Budget by Source'!$A$6:$A$330,0),MATCH(U$3,'Budget by Source'!$A$5:$I$5,0))</f>
        <v>5059160</v>
      </c>
      <c r="V325" s="152">
        <f t="shared" si="13"/>
        <v>505916</v>
      </c>
      <c r="W325" s="152">
        <f t="shared" si="14"/>
        <v>5059160</v>
      </c>
    </row>
    <row r="326" spans="1:23" x14ac:dyDescent="0.2">
      <c r="A326" s="23" t="str">
        <f>Data!B322</f>
        <v>7047</v>
      </c>
      <c r="B326" s="21" t="str">
        <f>INDEX(Data[],MATCH($A326,Data[Dist],0),MATCH(B$5,Data[#Headers],0))</f>
        <v>Winfield-Mt Union</v>
      </c>
      <c r="C326" s="22">
        <f>IF(Notes!$B$2="June",ROUND('Budget by Source'!C326/10,0)+P326,ROUND('Budget by Source'!C326/10,0))</f>
        <v>7222</v>
      </c>
      <c r="D326" s="22">
        <f>IF(Notes!$B$2="June",ROUND('Budget by Source'!D326/10,0)+Q326,ROUND('Budget by Source'!D326/10,0))</f>
        <v>20915</v>
      </c>
      <c r="E326" s="22">
        <f>IF(Notes!$B$2="June",ROUND('Budget by Source'!E326/10,0)+R326,ROUND('Budget by Source'!E326/10,0))</f>
        <v>2575</v>
      </c>
      <c r="F326" s="22">
        <f>IF(Notes!$B$2="June",ROUND('Budget by Source'!F326/10,0)+S326,ROUND('Budget by Source'!F326/10,0))</f>
        <v>2278</v>
      </c>
      <c r="G326" s="22">
        <f>IF(Notes!$B$2="June",ROUND('Budget by Source'!G326/10,0)+T326,ROUND('Budget by Source'!G326/10,0))</f>
        <v>11284</v>
      </c>
      <c r="H326" s="22">
        <f t="shared" si="12"/>
        <v>173974</v>
      </c>
      <c r="I326" s="22">
        <f>INDEX(Data[],MATCH($A326,Data[Dist],0),MATCH(I$5,Data[#Headers],0))</f>
        <v>218248</v>
      </c>
      <c r="K326" s="69">
        <f>INDEX('Payment Total'!$A$7:$H$331,MATCH('Payment by Source'!$A326,'Payment Total'!$A$7:$A$331,0),3)-I326</f>
        <v>0</v>
      </c>
      <c r="P326" s="154">
        <f>INDEX('Budget by Source'!$A$6:$I$330,MATCH('Payment by Source'!$A326,'Budget by Source'!$A$6:$A$330,0),MATCH(P$3,'Budget by Source'!$A$5:$I$5,0))-(ROUND(INDEX('Budget by Source'!$A$6:$I$330,MATCH('Payment by Source'!$A326,'Budget by Source'!$A$6:$A$330,0),MATCH(P$3,'Budget by Source'!$A$5:$I$5,0))/10,0)*10)</f>
        <v>-2</v>
      </c>
      <c r="Q326" s="154">
        <f>INDEX('Budget by Source'!$A$6:$I$330,MATCH('Payment by Source'!$A326,'Budget by Source'!$A$6:$A$330,0),MATCH(Q$3,'Budget by Source'!$A$5:$I$5,0))-(ROUND(INDEX('Budget by Source'!$A$6:$I$330,MATCH('Payment by Source'!$A326,'Budget by Source'!$A$6:$A$330,0),MATCH(Q$3,'Budget by Source'!$A$5:$I$5,0))/10,0)*10)</f>
        <v>-2</v>
      </c>
      <c r="R326" s="154">
        <f>INDEX('Budget by Source'!$A$6:$I$330,MATCH('Payment by Source'!$A326,'Budget by Source'!$A$6:$A$330,0),MATCH(R$3,'Budget by Source'!$A$5:$I$5,0))-(ROUND(INDEX('Budget by Source'!$A$6:$I$330,MATCH('Payment by Source'!$A326,'Budget by Source'!$A$6:$A$330,0),MATCH(R$3,'Budget by Source'!$A$5:$I$5,0))/10,0)*10)</f>
        <v>-3</v>
      </c>
      <c r="S326" s="154">
        <f>INDEX('Budget by Source'!$A$6:$I$330,MATCH('Payment by Source'!$A326,'Budget by Source'!$A$6:$A$330,0),MATCH(S$3,'Budget by Source'!$A$5:$I$5,0))-(ROUND(INDEX('Budget by Source'!$A$6:$I$330,MATCH('Payment by Source'!$A326,'Budget by Source'!$A$6:$A$330,0),MATCH(S$3,'Budget by Source'!$A$5:$I$5,0))/10,0)*10)</f>
        <v>-5</v>
      </c>
      <c r="T326" s="154">
        <f>INDEX('Budget by Source'!$A$6:$I$330,MATCH('Payment by Source'!$A326,'Budget by Source'!$A$6:$A$330,0),MATCH(T$3,'Budget by Source'!$A$5:$I$5,0))-(ROUND(INDEX('Budget by Source'!$A$6:$I$330,MATCH('Payment by Source'!$A326,'Budget by Source'!$A$6:$A$330,0),MATCH(T$3,'Budget by Source'!$A$5:$I$5,0))/10,0)*10)</f>
        <v>4</v>
      </c>
      <c r="U326" s="155">
        <f>INDEX('Budget by Source'!$A$6:$I$330,MATCH('Payment by Source'!$A326,'Budget by Source'!$A$6:$A$330,0),MATCH(U$3,'Budget by Source'!$A$5:$I$5,0))</f>
        <v>1739743</v>
      </c>
      <c r="V326" s="152">
        <f t="shared" si="13"/>
        <v>173974</v>
      </c>
      <c r="W326" s="152">
        <f t="shared" si="14"/>
        <v>1739740</v>
      </c>
    </row>
    <row r="327" spans="1:23" x14ac:dyDescent="0.2">
      <c r="A327" s="23" t="str">
        <f>Data!B323</f>
        <v>7056</v>
      </c>
      <c r="B327" s="21" t="str">
        <f>INDEX(Data[],MATCH($A327,Data[Dist],0),MATCH(B$5,Data[#Headers],0))</f>
        <v>Winterset</v>
      </c>
      <c r="C327" s="22">
        <f>IF(Notes!$B$2="June",ROUND('Budget by Source'!C327/10,0)+P327,ROUND('Budget by Source'!C327/10,0))</f>
        <v>25466</v>
      </c>
      <c r="D327" s="22">
        <f>IF(Notes!$B$2="June",ROUND('Budget by Source'!D327/10,0)+Q327,ROUND('Budget by Source'!D327/10,0))</f>
        <v>106167</v>
      </c>
      <c r="E327" s="22">
        <f>IF(Notes!$B$2="June",ROUND('Budget by Source'!E327/10,0)+R327,ROUND('Budget by Source'!E327/10,0))</f>
        <v>13702</v>
      </c>
      <c r="F327" s="22">
        <f>IF(Notes!$B$2="June",ROUND('Budget by Source'!F327/10,0)+S327,ROUND('Budget by Source'!F327/10,0))</f>
        <v>11544</v>
      </c>
      <c r="G327" s="22">
        <f>IF(Notes!$B$2="June",ROUND('Budget by Source'!G327/10,0)+T327,ROUND('Budget by Source'!G327/10,0))</f>
        <v>61445</v>
      </c>
      <c r="H327" s="22">
        <f t="shared" ref="H327:H330" si="15">I327-SUM(C327:G327)</f>
        <v>963330</v>
      </c>
      <c r="I327" s="22">
        <f>INDEX(Data[],MATCH($A327,Data[Dist],0),MATCH(I$5,Data[#Headers],0))</f>
        <v>1181654</v>
      </c>
      <c r="K327" s="69">
        <f>INDEX('Payment Total'!$A$7:$H$331,MATCH('Payment by Source'!$A327,'Payment Total'!$A$7:$A$331,0),3)-I327</f>
        <v>0</v>
      </c>
      <c r="P327" s="154">
        <f>INDEX('Budget by Source'!$A$6:$I$330,MATCH('Payment by Source'!$A327,'Budget by Source'!$A$6:$A$330,0),MATCH(P$3,'Budget by Source'!$A$5:$I$5,0))-(ROUND(INDEX('Budget by Source'!$A$6:$I$330,MATCH('Payment by Source'!$A327,'Budget by Source'!$A$6:$A$330,0),MATCH(P$3,'Budget by Source'!$A$5:$I$5,0))/10,0)*10)</f>
        <v>2</v>
      </c>
      <c r="Q327" s="154">
        <f>INDEX('Budget by Source'!$A$6:$I$330,MATCH('Payment by Source'!$A327,'Budget by Source'!$A$6:$A$330,0),MATCH(Q$3,'Budget by Source'!$A$5:$I$5,0))-(ROUND(INDEX('Budget by Source'!$A$6:$I$330,MATCH('Payment by Source'!$A327,'Budget by Source'!$A$6:$A$330,0),MATCH(Q$3,'Budget by Source'!$A$5:$I$5,0))/10,0)*10)</f>
        <v>0</v>
      </c>
      <c r="R327" s="154">
        <f>INDEX('Budget by Source'!$A$6:$I$330,MATCH('Payment by Source'!$A327,'Budget by Source'!$A$6:$A$330,0),MATCH(R$3,'Budget by Source'!$A$5:$I$5,0))-(ROUND(INDEX('Budget by Source'!$A$6:$I$330,MATCH('Payment by Source'!$A327,'Budget by Source'!$A$6:$A$330,0),MATCH(R$3,'Budget by Source'!$A$5:$I$5,0))/10,0)*10)</f>
        <v>-1</v>
      </c>
      <c r="S327" s="154">
        <f>INDEX('Budget by Source'!$A$6:$I$330,MATCH('Payment by Source'!$A327,'Budget by Source'!$A$6:$A$330,0),MATCH(S$3,'Budget by Source'!$A$5:$I$5,0))-(ROUND(INDEX('Budget by Source'!$A$6:$I$330,MATCH('Payment by Source'!$A327,'Budget by Source'!$A$6:$A$330,0),MATCH(S$3,'Budget by Source'!$A$5:$I$5,0))/10,0)*10)</f>
        <v>4</v>
      </c>
      <c r="T327" s="154">
        <f>INDEX('Budget by Source'!$A$6:$I$330,MATCH('Payment by Source'!$A327,'Budget by Source'!$A$6:$A$330,0),MATCH(T$3,'Budget by Source'!$A$5:$I$5,0))-(ROUND(INDEX('Budget by Source'!$A$6:$I$330,MATCH('Payment by Source'!$A327,'Budget by Source'!$A$6:$A$330,0),MATCH(T$3,'Budget by Source'!$A$5:$I$5,0))/10,0)*10)</f>
        <v>0</v>
      </c>
      <c r="U327" s="155">
        <f>INDEX('Budget by Source'!$A$6:$I$330,MATCH('Payment by Source'!$A327,'Budget by Source'!$A$6:$A$330,0),MATCH(U$3,'Budget by Source'!$A$5:$I$5,0))</f>
        <v>9633299</v>
      </c>
      <c r="V327" s="152">
        <f t="shared" ref="V327:V329" si="16">ROUND(U327/10,0)</f>
        <v>963330</v>
      </c>
      <c r="W327" s="152">
        <f t="shared" ref="W327:W329" si="17">V327*10</f>
        <v>9633300</v>
      </c>
    </row>
    <row r="328" spans="1:23" x14ac:dyDescent="0.2">
      <c r="A328" s="23" t="str">
        <f>Data!B324</f>
        <v>7092</v>
      </c>
      <c r="B328" s="21" t="str">
        <f>INDEX(Data[],MATCH($A328,Data[Dist],0),MATCH(B$5,Data[#Headers],0))</f>
        <v>Woodbine</v>
      </c>
      <c r="C328" s="22">
        <f>IF(Notes!$B$2="June",ROUND('Budget by Source'!C328/10,0)+P328,ROUND('Budget by Source'!C328/10,0))</f>
        <v>15204</v>
      </c>
      <c r="D328" s="22">
        <f>IF(Notes!$B$2="June",ROUND('Budget by Source'!D328/10,0)+Q328,ROUND('Budget by Source'!D328/10,0))</f>
        <v>32929</v>
      </c>
      <c r="E328" s="22">
        <f>IF(Notes!$B$2="June",ROUND('Budget by Source'!E328/10,0)+R328,ROUND('Budget by Source'!E328/10,0))</f>
        <v>3854</v>
      </c>
      <c r="F328" s="22">
        <f>IF(Notes!$B$2="June",ROUND('Budget by Source'!F328/10,0)+S328,ROUND('Budget by Source'!F328/10,0))</f>
        <v>3692</v>
      </c>
      <c r="G328" s="22">
        <f>IF(Notes!$B$2="June",ROUND('Budget by Source'!G328/10,0)+T328,ROUND('Budget by Source'!G328/10,0))</f>
        <v>17174</v>
      </c>
      <c r="H328" s="22">
        <f t="shared" si="15"/>
        <v>252445</v>
      </c>
      <c r="I328" s="22">
        <f>INDEX(Data[],MATCH($A328,Data[Dist],0),MATCH(I$5,Data[#Headers],0))</f>
        <v>325298</v>
      </c>
      <c r="K328" s="69">
        <f>INDEX('Payment Total'!$A$7:$H$331,MATCH('Payment by Source'!$A328,'Payment Total'!$A$7:$A$331,0),3)-I328</f>
        <v>0</v>
      </c>
      <c r="P328" s="154">
        <f>INDEX('Budget by Source'!$A$6:$I$330,MATCH('Payment by Source'!$A328,'Budget by Source'!$A$6:$A$330,0),MATCH(P$3,'Budget by Source'!$A$5:$I$5,0))-(ROUND(INDEX('Budget by Source'!$A$6:$I$330,MATCH('Payment by Source'!$A328,'Budget by Source'!$A$6:$A$330,0),MATCH(P$3,'Budget by Source'!$A$5:$I$5,0))/10,0)*10)</f>
        <v>-3</v>
      </c>
      <c r="Q328" s="154">
        <f>INDEX('Budget by Source'!$A$6:$I$330,MATCH('Payment by Source'!$A328,'Budget by Source'!$A$6:$A$330,0),MATCH(Q$3,'Budget by Source'!$A$5:$I$5,0))-(ROUND(INDEX('Budget by Source'!$A$6:$I$330,MATCH('Payment by Source'!$A328,'Budget by Source'!$A$6:$A$330,0),MATCH(Q$3,'Budget by Source'!$A$5:$I$5,0))/10,0)*10)</f>
        <v>0</v>
      </c>
      <c r="R328" s="154">
        <f>INDEX('Budget by Source'!$A$6:$I$330,MATCH('Payment by Source'!$A328,'Budget by Source'!$A$6:$A$330,0),MATCH(R$3,'Budget by Source'!$A$5:$I$5,0))-(ROUND(INDEX('Budget by Source'!$A$6:$I$330,MATCH('Payment by Source'!$A328,'Budget by Source'!$A$6:$A$330,0),MATCH(R$3,'Budget by Source'!$A$5:$I$5,0))/10,0)*10)</f>
        <v>3</v>
      </c>
      <c r="S328" s="154">
        <f>INDEX('Budget by Source'!$A$6:$I$330,MATCH('Payment by Source'!$A328,'Budget by Source'!$A$6:$A$330,0),MATCH(S$3,'Budget by Source'!$A$5:$I$5,0))-(ROUND(INDEX('Budget by Source'!$A$6:$I$330,MATCH('Payment by Source'!$A328,'Budget by Source'!$A$6:$A$330,0),MATCH(S$3,'Budget by Source'!$A$5:$I$5,0))/10,0)*10)</f>
        <v>-3</v>
      </c>
      <c r="T328" s="154">
        <f>INDEX('Budget by Source'!$A$6:$I$330,MATCH('Payment by Source'!$A328,'Budget by Source'!$A$6:$A$330,0),MATCH(T$3,'Budget by Source'!$A$5:$I$5,0))-(ROUND(INDEX('Budget by Source'!$A$6:$I$330,MATCH('Payment by Source'!$A328,'Budget by Source'!$A$6:$A$330,0),MATCH(T$3,'Budget by Source'!$A$5:$I$5,0))/10,0)*10)</f>
        <v>-5</v>
      </c>
      <c r="U328" s="155">
        <f>INDEX('Budget by Source'!$A$6:$I$330,MATCH('Payment by Source'!$A328,'Budget by Source'!$A$6:$A$330,0),MATCH(U$3,'Budget by Source'!$A$5:$I$5,0))</f>
        <v>2524462</v>
      </c>
      <c r="V328" s="152">
        <f t="shared" si="16"/>
        <v>252446</v>
      </c>
      <c r="W328" s="152">
        <f t="shared" si="17"/>
        <v>2524460</v>
      </c>
    </row>
    <row r="329" spans="1:23" x14ac:dyDescent="0.2">
      <c r="A329" s="23" t="str">
        <f>Data!B325</f>
        <v>7098</v>
      </c>
      <c r="B329" s="21" t="str">
        <f>INDEX(Data[],MATCH($A329,Data[Dist],0),MATCH(B$5,Data[#Headers],0))</f>
        <v>Woodbury Central</v>
      </c>
      <c r="C329" s="22">
        <f>IF(Notes!$B$2="June",ROUND('Budget by Source'!C329/10,0)+P329,ROUND('Budget by Source'!C329/10,0))</f>
        <v>10263</v>
      </c>
      <c r="D329" s="22">
        <f>IF(Notes!$B$2="June",ROUND('Budget by Source'!D329/10,0)+Q329,ROUND('Budget by Source'!D329/10,0))</f>
        <v>33984</v>
      </c>
      <c r="E329" s="22">
        <f>IF(Notes!$B$2="June",ROUND('Budget by Source'!E329/10,0)+R329,ROUND('Budget by Source'!E329/10,0))</f>
        <v>3901</v>
      </c>
      <c r="F329" s="22">
        <f>IF(Notes!$B$2="June",ROUND('Budget by Source'!F329/10,0)+S329,ROUND('Budget by Source'!F329/10,0))</f>
        <v>3717</v>
      </c>
      <c r="G329" s="22">
        <f>IF(Notes!$B$2="June",ROUND('Budget by Source'!G329/10,0)+T329,ROUND('Budget by Source'!G329/10,0))</f>
        <v>19035</v>
      </c>
      <c r="H329" s="22">
        <f t="shared" si="15"/>
        <v>294305</v>
      </c>
      <c r="I329" s="22">
        <f>INDEX(Data[],MATCH($A329,Data[Dist],0),MATCH(I$5,Data[#Headers],0))</f>
        <v>365205</v>
      </c>
      <c r="K329" s="69">
        <f>INDEX('Payment Total'!$A$7:$H$331,MATCH('Payment by Source'!$A329,'Payment Total'!$A$7:$A$331,0),3)-I329</f>
        <v>0</v>
      </c>
      <c r="P329" s="154">
        <f>INDEX('Budget by Source'!$A$6:$I$330,MATCH('Payment by Source'!$A329,'Budget by Source'!$A$6:$A$330,0),MATCH(P$3,'Budget by Source'!$A$5:$I$5,0))-(ROUND(INDEX('Budget by Source'!$A$6:$I$330,MATCH('Payment by Source'!$A329,'Budget by Source'!$A$6:$A$330,0),MATCH(P$3,'Budget by Source'!$A$5:$I$5,0))/10,0)*10)</f>
        <v>-5</v>
      </c>
      <c r="Q329" s="154">
        <f>INDEX('Budget by Source'!$A$6:$I$330,MATCH('Payment by Source'!$A329,'Budget by Source'!$A$6:$A$330,0),MATCH(Q$3,'Budget by Source'!$A$5:$I$5,0))-(ROUND(INDEX('Budget by Source'!$A$6:$I$330,MATCH('Payment by Source'!$A329,'Budget by Source'!$A$6:$A$330,0),MATCH(Q$3,'Budget by Source'!$A$5:$I$5,0))/10,0)*10)</f>
        <v>-4</v>
      </c>
      <c r="R329" s="154">
        <f>INDEX('Budget by Source'!$A$6:$I$330,MATCH('Payment by Source'!$A329,'Budget by Source'!$A$6:$A$330,0),MATCH(R$3,'Budget by Source'!$A$5:$I$5,0))-(ROUND(INDEX('Budget by Source'!$A$6:$I$330,MATCH('Payment by Source'!$A329,'Budget by Source'!$A$6:$A$330,0),MATCH(R$3,'Budget by Source'!$A$5:$I$5,0))/10,0)*10)</f>
        <v>1</v>
      </c>
      <c r="S329" s="154">
        <f>INDEX('Budget by Source'!$A$6:$I$330,MATCH('Payment by Source'!$A329,'Budget by Source'!$A$6:$A$330,0),MATCH(S$3,'Budget by Source'!$A$5:$I$5,0))-(ROUND(INDEX('Budget by Source'!$A$6:$I$330,MATCH('Payment by Source'!$A329,'Budget by Source'!$A$6:$A$330,0),MATCH(S$3,'Budget by Source'!$A$5:$I$5,0))/10,0)*10)</f>
        <v>3</v>
      </c>
      <c r="T329" s="154">
        <f>INDEX('Budget by Source'!$A$6:$I$330,MATCH('Payment by Source'!$A329,'Budget by Source'!$A$6:$A$330,0),MATCH(T$3,'Budget by Source'!$A$5:$I$5,0))-(ROUND(INDEX('Budget by Source'!$A$6:$I$330,MATCH('Payment by Source'!$A329,'Budget by Source'!$A$6:$A$330,0),MATCH(T$3,'Budget by Source'!$A$5:$I$5,0))/10,0)*10)</f>
        <v>-4</v>
      </c>
      <c r="U329" s="155">
        <f>INDEX('Budget by Source'!$A$6:$I$330,MATCH('Payment by Source'!$A329,'Budget by Source'!$A$6:$A$330,0),MATCH(U$3,'Budget by Source'!$A$5:$I$5,0))</f>
        <v>2943054</v>
      </c>
      <c r="V329" s="152">
        <f t="shared" si="16"/>
        <v>294305</v>
      </c>
      <c r="W329" s="152">
        <f t="shared" si="17"/>
        <v>2943050</v>
      </c>
    </row>
    <row r="330" spans="1:23" x14ac:dyDescent="0.2">
      <c r="A330" s="23" t="str">
        <f>Data!B326</f>
        <v>7110</v>
      </c>
      <c r="B330" s="21" t="str">
        <f>INDEX(Data[],MATCH($A330,Data[Dist],0),MATCH(B$5,Data[#Headers],0))</f>
        <v>Woodward-Granger</v>
      </c>
      <c r="C330" s="22">
        <f>IF(Notes!$B$2="June",ROUND('Budget by Source'!C330/10,0)+P330,ROUND('Budget by Source'!C330/10,0))</f>
        <v>24326</v>
      </c>
      <c r="D330" s="22">
        <f>IF(Notes!$B$2="June",ROUND('Budget by Source'!D330/10,0)+Q330,ROUND('Budget by Source'!D330/10,0))</f>
        <v>69180</v>
      </c>
      <c r="E330" s="22">
        <f>IF(Notes!$B$2="June",ROUND('Budget by Source'!E330/10,0)+R330,ROUND('Budget by Source'!E330/10,0))</f>
        <v>7751</v>
      </c>
      <c r="F330" s="22">
        <f>IF(Notes!$B$2="June",ROUND('Budget by Source'!F330/10,0)+S330,ROUND('Budget by Source'!F330/10,0))</f>
        <v>7311</v>
      </c>
      <c r="G330" s="22">
        <f>IF(Notes!$B$2="June",ROUND('Budget by Source'!G330/10,0)+T330,ROUND('Budget by Source'!G330/10,0))</f>
        <v>39171</v>
      </c>
      <c r="H330" s="22">
        <f t="shared" si="15"/>
        <v>593225</v>
      </c>
      <c r="I330" s="22">
        <f>INDEX(Data[],MATCH($A330,Data[Dist],0),MATCH(I$5,Data[#Headers],0))</f>
        <v>740964</v>
      </c>
      <c r="K330" s="69">
        <f>INDEX('Payment Total'!$A$7:$H$331,MATCH('Payment by Source'!$A330,'Payment Total'!$A$7:$A$331,0),3)-I330</f>
        <v>0</v>
      </c>
      <c r="P330" s="154">
        <f>INDEX('Budget by Source'!$A$6:$I$330,MATCH('Payment by Source'!$A330,'Budget by Source'!$A$6:$A$330,0),MATCH(P$3,'Budget by Source'!$A$5:$I$5,0))-(ROUND(INDEX('Budget by Source'!$A$6:$I$330,MATCH('Payment by Source'!$A330,'Budget by Source'!$A$6:$A$330,0),MATCH(P$3,'Budget by Source'!$A$5:$I$5,0))/10,0)*10)</f>
        <v>-1</v>
      </c>
      <c r="Q330" s="154">
        <f>INDEX('Budget by Source'!$A$6:$I$330,MATCH('Payment by Source'!$A330,'Budget by Source'!$A$6:$A$330,0),MATCH(Q$3,'Budget by Source'!$A$5:$I$5,0))-(ROUND(INDEX('Budget by Source'!$A$6:$I$330,MATCH('Payment by Source'!$A330,'Budget by Source'!$A$6:$A$330,0),MATCH(Q$3,'Budget by Source'!$A$5:$I$5,0))/10,0)*10)</f>
        <v>-1</v>
      </c>
      <c r="R330" s="154">
        <f>INDEX('Budget by Source'!$A$6:$I$330,MATCH('Payment by Source'!$A330,'Budget by Source'!$A$6:$A$330,0),MATCH(R$3,'Budget by Source'!$A$5:$I$5,0))-(ROUND(INDEX('Budget by Source'!$A$6:$I$330,MATCH('Payment by Source'!$A330,'Budget by Source'!$A$6:$A$330,0),MATCH(R$3,'Budget by Source'!$A$5:$I$5,0))/10,0)*10)</f>
        <v>-3</v>
      </c>
      <c r="S330" s="154">
        <f>INDEX('Budget by Source'!$A$6:$I$330,MATCH('Payment by Source'!$A330,'Budget by Source'!$A$6:$A$330,0),MATCH(S$3,'Budget by Source'!$A$5:$I$5,0))-(ROUND(INDEX('Budget by Source'!$A$6:$I$330,MATCH('Payment by Source'!$A330,'Budget by Source'!$A$6:$A$330,0),MATCH(S$3,'Budget by Source'!$A$5:$I$5,0))/10,0)*10)</f>
        <v>-4</v>
      </c>
      <c r="T330" s="154">
        <f>INDEX('Budget by Source'!$A$6:$I$330,MATCH('Payment by Source'!$A330,'Budget by Source'!$A$6:$A$330,0),MATCH(T$3,'Budget by Source'!$A$5:$I$5,0))-(ROUND(INDEX('Budget by Source'!$A$6:$I$330,MATCH('Payment by Source'!$A330,'Budget by Source'!$A$6:$A$330,0),MATCH(T$3,'Budget by Source'!$A$5:$I$5,0))/10,0)*10)</f>
        <v>1</v>
      </c>
      <c r="U330" s="155">
        <f>INDEX('Budget by Source'!$A$6:$I$330,MATCH('Payment by Source'!$A330,'Budget by Source'!$A$6:$A$330,0),MATCH(U$3,'Budget by Source'!$A$5:$I$5,0))</f>
        <v>5932253</v>
      </c>
      <c r="V330" s="152">
        <f>ROUND(U330/10,0)</f>
        <v>593225</v>
      </c>
      <c r="W330" s="152">
        <f>V330*10</f>
        <v>5932250</v>
      </c>
    </row>
    <row r="331" spans="1:23" ht="13.5" thickBot="1" x14ac:dyDescent="0.25">
      <c r="A331" s="122" t="s">
        <v>788</v>
      </c>
      <c r="B331" s="21" t="s">
        <v>787</v>
      </c>
      <c r="C331" s="24">
        <f t="shared" ref="C331:I331" si="18">SUM(C6:C330)</f>
        <v>8982323</v>
      </c>
      <c r="D331" s="24">
        <f t="shared" si="18"/>
        <v>31793036</v>
      </c>
      <c r="E331" s="24">
        <f t="shared" si="18"/>
        <v>3911609</v>
      </c>
      <c r="F331" s="24">
        <f t="shared" si="18"/>
        <v>3598708</v>
      </c>
      <c r="G331" s="24">
        <f t="shared" si="18"/>
        <v>17941539</v>
      </c>
      <c r="H331" s="24">
        <f t="shared" si="18"/>
        <v>281151247</v>
      </c>
      <c r="I331" s="24">
        <f t="shared" si="18"/>
        <v>347378462</v>
      </c>
    </row>
    <row r="332" spans="1:23" ht="13.5" thickTop="1" x14ac:dyDescent="0.2"/>
  </sheetData>
  <sheetProtection sheet="1" formatCells="0" formatColumns="0" formatRows="0"/>
  <mergeCells count="2">
    <mergeCell ref="A1:I1"/>
    <mergeCell ref="L1:O4"/>
  </mergeCells>
  <pageMargins left="0.5" right="0.45" top="0.5" bottom="0.55000000000000004" header="0.3" footer="0.3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34"/>
  <sheetViews>
    <sheetView workbookViewId="0">
      <pane xSplit="7" ySplit="5" topLeftCell="H306" activePane="bottomRight" state="frozen"/>
      <selection pane="topRight" activeCell="C1" sqref="C1"/>
      <selection pane="bottomLeft" activeCell="A6" sqref="A6"/>
      <selection pane="bottomRight" activeCell="A6" sqref="A6:U332"/>
    </sheetView>
  </sheetViews>
  <sheetFormatPr defaultRowHeight="15" x14ac:dyDescent="0.25"/>
  <cols>
    <col min="1" max="2" width="9.140625" style="171" customWidth="1"/>
    <col min="3" max="3" width="5" style="187" bestFit="1" customWidth="1"/>
    <col min="4" max="6" width="5" style="187" customWidth="1"/>
    <col min="7" max="7" width="32.28515625" style="171" bestFit="1" customWidth="1"/>
    <col min="8" max="8" width="11" style="171" bestFit="1" customWidth="1"/>
    <col min="9" max="9" width="12.7109375" style="171" customWidth="1"/>
    <col min="10" max="10" width="1.7109375" style="171" customWidth="1"/>
    <col min="11" max="11" width="12.7109375" style="171" bestFit="1" customWidth="1"/>
    <col min="12" max="12" width="13.5703125" style="171" bestFit="1" customWidth="1"/>
    <col min="13" max="13" width="12.85546875" style="171" bestFit="1" customWidth="1"/>
    <col min="14" max="14" width="1.7109375" style="171" customWidth="1"/>
    <col min="15" max="15" width="13.28515625" style="171" customWidth="1"/>
    <col min="16" max="16" width="12.42578125" style="171" customWidth="1"/>
    <col min="17" max="17" width="13.85546875" style="171" customWidth="1"/>
    <col min="18" max="18" width="1.7109375" style="171" customWidth="1"/>
    <col min="19" max="19" width="13.85546875" style="171" customWidth="1"/>
    <col min="20" max="20" width="12.7109375" style="171" customWidth="1"/>
    <col min="21" max="21" width="13.85546875" style="171" bestFit="1" customWidth="1"/>
    <col min="22" max="16384" width="9.140625" style="171"/>
  </cols>
  <sheetData>
    <row r="1" spans="1:22" x14ac:dyDescent="0.25">
      <c r="A1" s="188"/>
      <c r="B1" s="188"/>
      <c r="C1" s="189"/>
      <c r="D1" s="188"/>
      <c r="E1" s="188"/>
      <c r="F1" s="190"/>
      <c r="G1" s="225" t="str">
        <f>_xlfn.CONCAT("School District Income Surtax Payment - FY ",Notes!$B$1)</f>
        <v>School District Income Surtax Payment - FY 2024</v>
      </c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</row>
    <row r="2" spans="1:22" x14ac:dyDescent="0.25">
      <c r="A2" s="188"/>
      <c r="B2" s="188"/>
      <c r="C2" s="189"/>
      <c r="D2" s="188"/>
      <c r="E2" s="188"/>
      <c r="F2" s="190"/>
      <c r="G2" s="225" t="str">
        <f>_xlfn.CONCAT("Based upon income surtax rates in FY ",Notes!B1-1," budgets")</f>
        <v>Based upon income surtax rates in FY 2023 budgets</v>
      </c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</row>
    <row r="3" spans="1:22" x14ac:dyDescent="0.25">
      <c r="A3" s="188"/>
      <c r="B3" s="188"/>
      <c r="C3" s="189"/>
      <c r="D3" s="188"/>
      <c r="E3" s="188"/>
      <c r="F3" s="172"/>
      <c r="G3" s="173"/>
      <c r="H3" s="173"/>
      <c r="I3" s="173"/>
      <c r="J3" s="173"/>
      <c r="K3" s="173"/>
      <c r="L3" s="173"/>
      <c r="M3" s="173"/>
      <c r="N3" s="189"/>
      <c r="O3" s="189"/>
      <c r="P3" s="189"/>
      <c r="Q3" s="189"/>
      <c r="R3" s="189"/>
      <c r="S3" s="189"/>
      <c r="T3" s="189"/>
      <c r="U3" s="189"/>
    </row>
    <row r="4" spans="1:22" ht="15" customHeight="1" x14ac:dyDescent="0.25">
      <c r="A4" s="188"/>
      <c r="B4" s="188"/>
      <c r="C4" s="189"/>
      <c r="D4" s="188"/>
      <c r="E4" s="188"/>
      <c r="F4" s="174"/>
      <c r="G4" s="175"/>
      <c r="H4" s="189"/>
      <c r="I4" s="189"/>
      <c r="J4" s="191"/>
      <c r="K4" s="224" t="str">
        <f>CONCATENATE("First Payment - 12/01/",Notes!$B$1-1)</f>
        <v>First Payment - 12/01/2023</v>
      </c>
      <c r="L4" s="224"/>
      <c r="M4" s="224"/>
      <c r="N4" s="191"/>
      <c r="O4" s="224" t="str">
        <f>CONCATENATE("Second Payment - 02/01/",Notes!$B$1)</f>
        <v>Second Payment - 02/01/2024</v>
      </c>
      <c r="P4" s="224"/>
      <c r="Q4" s="224"/>
      <c r="R4" s="176"/>
      <c r="S4" s="224" t="s">
        <v>791</v>
      </c>
      <c r="T4" s="224"/>
      <c r="U4" s="224"/>
    </row>
    <row r="5" spans="1:22" ht="45" x14ac:dyDescent="0.25">
      <c r="A5" s="188" t="s">
        <v>352</v>
      </c>
      <c r="B5" s="188" t="s">
        <v>815</v>
      </c>
      <c r="C5" s="177" t="s">
        <v>797</v>
      </c>
      <c r="D5" s="188" t="s">
        <v>816</v>
      </c>
      <c r="E5" s="188" t="s">
        <v>817</v>
      </c>
      <c r="F5" s="178" t="s">
        <v>353</v>
      </c>
      <c r="G5" s="179" t="s">
        <v>802</v>
      </c>
      <c r="H5" s="180" t="s">
        <v>792</v>
      </c>
      <c r="I5" s="181" t="s">
        <v>793</v>
      </c>
      <c r="J5" s="182"/>
      <c r="K5" s="183" t="s">
        <v>726</v>
      </c>
      <c r="L5" s="181" t="s">
        <v>794</v>
      </c>
      <c r="M5" s="181" t="s">
        <v>795</v>
      </c>
      <c r="N5" s="191"/>
      <c r="O5" s="184" t="s">
        <v>726</v>
      </c>
      <c r="P5" s="180" t="s">
        <v>794</v>
      </c>
      <c r="Q5" s="180" t="s">
        <v>795</v>
      </c>
      <c r="R5" s="191"/>
      <c r="S5" s="184" t="s">
        <v>726</v>
      </c>
      <c r="T5" s="180" t="s">
        <v>794</v>
      </c>
      <c r="U5" s="180" t="s">
        <v>795</v>
      </c>
    </row>
    <row r="6" spans="1:22" x14ac:dyDescent="0.25">
      <c r="A6" s="192">
        <v>2021</v>
      </c>
      <c r="B6" s="192" t="s">
        <v>818</v>
      </c>
      <c r="C6" s="193" t="s">
        <v>20</v>
      </c>
      <c r="D6" s="194" t="s">
        <v>819</v>
      </c>
      <c r="E6" s="194" t="s">
        <v>819</v>
      </c>
      <c r="F6" s="194" t="s">
        <v>20</v>
      </c>
      <c r="G6" s="193" t="s">
        <v>380</v>
      </c>
      <c r="H6" s="195">
        <v>4</v>
      </c>
      <c r="I6" s="195">
        <v>4</v>
      </c>
      <c r="J6" s="196"/>
      <c r="K6" s="195">
        <v>115914.75</v>
      </c>
      <c r="L6" s="195">
        <v>57957.38</v>
      </c>
      <c r="M6" s="195">
        <v>57957.37</v>
      </c>
      <c r="N6" s="196"/>
      <c r="O6" s="195">
        <v>48642.25</v>
      </c>
      <c r="P6" s="195">
        <v>24321.13</v>
      </c>
      <c r="Q6" s="195">
        <v>24321.119999999999</v>
      </c>
      <c r="R6" s="196"/>
      <c r="S6" s="195">
        <v>164557</v>
      </c>
      <c r="T6" s="195">
        <v>82278.509999999995</v>
      </c>
      <c r="U6" s="195">
        <v>82278.490000000005</v>
      </c>
      <c r="V6" s="185"/>
    </row>
    <row r="7" spans="1:22" x14ac:dyDescent="0.25">
      <c r="A7" s="192">
        <v>2021</v>
      </c>
      <c r="B7" s="192" t="s">
        <v>818</v>
      </c>
      <c r="C7" s="193" t="s">
        <v>21</v>
      </c>
      <c r="D7" s="194" t="s">
        <v>819</v>
      </c>
      <c r="E7" s="194" t="s">
        <v>819</v>
      </c>
      <c r="F7" s="194" t="s">
        <v>21</v>
      </c>
      <c r="G7" s="193" t="s">
        <v>381</v>
      </c>
      <c r="H7" s="195">
        <v>0</v>
      </c>
      <c r="I7" s="195">
        <v>0</v>
      </c>
      <c r="J7" s="196"/>
      <c r="K7" s="195">
        <v>0</v>
      </c>
      <c r="L7" s="195">
        <v>0</v>
      </c>
      <c r="M7" s="195">
        <v>0</v>
      </c>
      <c r="N7" s="196"/>
      <c r="O7" s="195">
        <v>0</v>
      </c>
      <c r="P7" s="195">
        <v>0</v>
      </c>
      <c r="Q7" s="195">
        <v>0</v>
      </c>
      <c r="R7" s="196"/>
      <c r="S7" s="195">
        <v>0</v>
      </c>
      <c r="T7" s="195">
        <v>0</v>
      </c>
      <c r="U7" s="195">
        <v>0</v>
      </c>
      <c r="V7" s="185"/>
    </row>
    <row r="8" spans="1:22" x14ac:dyDescent="0.25">
      <c r="A8" s="192">
        <v>2021</v>
      </c>
      <c r="B8" s="192" t="s">
        <v>820</v>
      </c>
      <c r="C8" s="193" t="s">
        <v>19</v>
      </c>
      <c r="D8" s="194" t="s">
        <v>819</v>
      </c>
      <c r="E8" s="194" t="s">
        <v>819</v>
      </c>
      <c r="F8" s="194" t="s">
        <v>19</v>
      </c>
      <c r="G8" s="193" t="s">
        <v>0</v>
      </c>
      <c r="H8" s="195">
        <v>8</v>
      </c>
      <c r="I8" s="195">
        <v>0</v>
      </c>
      <c r="J8" s="196"/>
      <c r="K8" s="195">
        <v>254678.25</v>
      </c>
      <c r="L8" s="195">
        <v>254678.25</v>
      </c>
      <c r="M8" s="195">
        <v>0</v>
      </c>
      <c r="N8" s="196"/>
      <c r="O8" s="195">
        <v>91966.75</v>
      </c>
      <c r="P8" s="195">
        <v>91966.75</v>
      </c>
      <c r="Q8" s="195">
        <v>0</v>
      </c>
      <c r="R8" s="196"/>
      <c r="S8" s="195">
        <v>346645</v>
      </c>
      <c r="T8" s="195">
        <v>346645</v>
      </c>
      <c r="U8" s="195">
        <v>0</v>
      </c>
      <c r="V8" s="185"/>
    </row>
    <row r="9" spans="1:22" x14ac:dyDescent="0.25">
      <c r="A9" s="192">
        <v>2021</v>
      </c>
      <c r="B9" s="192" t="s">
        <v>821</v>
      </c>
      <c r="C9" s="193" t="s">
        <v>41</v>
      </c>
      <c r="D9" s="194" t="s">
        <v>819</v>
      </c>
      <c r="E9" s="194" t="s">
        <v>819</v>
      </c>
      <c r="F9" s="194" t="s">
        <v>41</v>
      </c>
      <c r="G9" s="193" t="s">
        <v>18</v>
      </c>
      <c r="H9" s="195">
        <v>0</v>
      </c>
      <c r="I9" s="195">
        <v>10</v>
      </c>
      <c r="J9" s="196"/>
      <c r="K9" s="195">
        <v>297183.75</v>
      </c>
      <c r="L9" s="195">
        <v>0</v>
      </c>
      <c r="M9" s="195">
        <v>297183.75</v>
      </c>
      <c r="N9" s="196"/>
      <c r="O9" s="195">
        <v>117582.25</v>
      </c>
      <c r="P9" s="195">
        <v>0</v>
      </c>
      <c r="Q9" s="195">
        <v>117582.25</v>
      </c>
      <c r="R9" s="196"/>
      <c r="S9" s="195">
        <v>414766</v>
      </c>
      <c r="T9" s="195">
        <v>0</v>
      </c>
      <c r="U9" s="195">
        <v>414766</v>
      </c>
      <c r="V9" s="185"/>
    </row>
    <row r="10" spans="1:22" x14ac:dyDescent="0.25">
      <c r="A10" s="192">
        <v>2021</v>
      </c>
      <c r="B10" s="192" t="s">
        <v>822</v>
      </c>
      <c r="C10" s="193" t="s">
        <v>22</v>
      </c>
      <c r="D10" s="194" t="s">
        <v>819</v>
      </c>
      <c r="E10" s="194" t="s">
        <v>819</v>
      </c>
      <c r="F10" s="194" t="s">
        <v>22</v>
      </c>
      <c r="G10" s="193" t="s">
        <v>382</v>
      </c>
      <c r="H10" s="195">
        <v>0</v>
      </c>
      <c r="I10" s="195">
        <v>4</v>
      </c>
      <c r="J10" s="196"/>
      <c r="K10" s="195">
        <v>82251</v>
      </c>
      <c r="L10" s="195">
        <v>0</v>
      </c>
      <c r="M10" s="195">
        <v>82251</v>
      </c>
      <c r="N10" s="196"/>
      <c r="O10" s="195">
        <v>32273</v>
      </c>
      <c r="P10" s="195">
        <v>0</v>
      </c>
      <c r="Q10" s="195">
        <v>32273</v>
      </c>
      <c r="R10" s="196"/>
      <c r="S10" s="195">
        <v>114524</v>
      </c>
      <c r="T10" s="195">
        <v>0</v>
      </c>
      <c r="U10" s="195">
        <v>114524</v>
      </c>
      <c r="V10" s="185"/>
    </row>
    <row r="11" spans="1:22" x14ac:dyDescent="0.25">
      <c r="A11" s="192">
        <v>2021</v>
      </c>
      <c r="B11" s="192" t="s">
        <v>823</v>
      </c>
      <c r="C11" s="193" t="s">
        <v>23</v>
      </c>
      <c r="D11" s="194" t="s">
        <v>819</v>
      </c>
      <c r="E11" s="194" t="s">
        <v>819</v>
      </c>
      <c r="F11" s="194" t="s">
        <v>23</v>
      </c>
      <c r="G11" s="193" t="s">
        <v>383</v>
      </c>
      <c r="H11" s="195">
        <v>0</v>
      </c>
      <c r="I11" s="195">
        <v>0</v>
      </c>
      <c r="J11" s="196"/>
      <c r="K11" s="195">
        <v>0</v>
      </c>
      <c r="L11" s="195">
        <v>0</v>
      </c>
      <c r="M11" s="195">
        <v>0</v>
      </c>
      <c r="N11" s="196"/>
      <c r="O11" s="195">
        <v>0</v>
      </c>
      <c r="P11" s="195">
        <v>0</v>
      </c>
      <c r="Q11" s="195">
        <v>0</v>
      </c>
      <c r="R11" s="196"/>
      <c r="S11" s="195">
        <v>0</v>
      </c>
      <c r="T11" s="195">
        <v>0</v>
      </c>
      <c r="U11" s="195">
        <v>0</v>
      </c>
      <c r="V11" s="185"/>
    </row>
    <row r="12" spans="1:22" x14ac:dyDescent="0.25">
      <c r="A12" s="192">
        <v>2021</v>
      </c>
      <c r="B12" s="192" t="s">
        <v>824</v>
      </c>
      <c r="C12" s="193" t="s">
        <v>24</v>
      </c>
      <c r="D12" s="194" t="s">
        <v>819</v>
      </c>
      <c r="E12" s="194" t="s">
        <v>819</v>
      </c>
      <c r="F12" s="194" t="s">
        <v>24</v>
      </c>
      <c r="G12" s="193" t="s">
        <v>384</v>
      </c>
      <c r="H12" s="195">
        <v>0</v>
      </c>
      <c r="I12" s="195">
        <v>1</v>
      </c>
      <c r="J12" s="196"/>
      <c r="K12" s="195">
        <v>44015.25</v>
      </c>
      <c r="L12" s="195">
        <v>0</v>
      </c>
      <c r="M12" s="195">
        <v>44015.25</v>
      </c>
      <c r="N12" s="196"/>
      <c r="O12" s="195">
        <v>15923.75</v>
      </c>
      <c r="P12" s="195">
        <v>0</v>
      </c>
      <c r="Q12" s="195">
        <v>15923.75</v>
      </c>
      <c r="R12" s="196"/>
      <c r="S12" s="195">
        <v>59939</v>
      </c>
      <c r="T12" s="195">
        <v>0</v>
      </c>
      <c r="U12" s="195">
        <v>59939</v>
      </c>
      <c r="V12" s="185"/>
    </row>
    <row r="13" spans="1:22" x14ac:dyDescent="0.25">
      <c r="A13" s="192">
        <v>2021</v>
      </c>
      <c r="B13" s="192" t="s">
        <v>825</v>
      </c>
      <c r="C13" s="193" t="s">
        <v>25</v>
      </c>
      <c r="D13" s="194" t="s">
        <v>819</v>
      </c>
      <c r="E13" s="194" t="s">
        <v>819</v>
      </c>
      <c r="F13" s="194" t="s">
        <v>25</v>
      </c>
      <c r="G13" s="193" t="s">
        <v>385</v>
      </c>
      <c r="H13" s="195">
        <v>1</v>
      </c>
      <c r="I13" s="195">
        <v>0</v>
      </c>
      <c r="J13" s="196"/>
      <c r="K13" s="195">
        <v>32905.5</v>
      </c>
      <c r="L13" s="195">
        <v>32905.5</v>
      </c>
      <c r="M13" s="195">
        <v>0</v>
      </c>
      <c r="N13" s="196"/>
      <c r="O13" s="195">
        <v>12157.5</v>
      </c>
      <c r="P13" s="195">
        <v>12157.5</v>
      </c>
      <c r="Q13" s="195">
        <v>0</v>
      </c>
      <c r="R13" s="196"/>
      <c r="S13" s="195">
        <v>45063</v>
      </c>
      <c r="T13" s="195">
        <v>45063</v>
      </c>
      <c r="U13" s="195">
        <v>0</v>
      </c>
      <c r="V13" s="185"/>
    </row>
    <row r="14" spans="1:22" x14ac:dyDescent="0.25">
      <c r="A14" s="192">
        <v>2021</v>
      </c>
      <c r="B14" s="192" t="s">
        <v>820</v>
      </c>
      <c r="C14" s="193" t="s">
        <v>26</v>
      </c>
      <c r="D14" s="194" t="s">
        <v>819</v>
      </c>
      <c r="E14" s="194" t="s">
        <v>819</v>
      </c>
      <c r="F14" s="194" t="s">
        <v>26</v>
      </c>
      <c r="G14" s="193" t="s">
        <v>386</v>
      </c>
      <c r="H14" s="195">
        <v>0</v>
      </c>
      <c r="I14" s="195">
        <v>7</v>
      </c>
      <c r="J14" s="196"/>
      <c r="K14" s="195">
        <v>69137.25</v>
      </c>
      <c r="L14" s="195">
        <v>0</v>
      </c>
      <c r="M14" s="195">
        <v>69137.25</v>
      </c>
      <c r="N14" s="196"/>
      <c r="O14" s="195">
        <v>23500.75</v>
      </c>
      <c r="P14" s="195">
        <v>0</v>
      </c>
      <c r="Q14" s="195">
        <v>23500.75</v>
      </c>
      <c r="R14" s="196"/>
      <c r="S14" s="195">
        <v>92638</v>
      </c>
      <c r="T14" s="195">
        <v>0</v>
      </c>
      <c r="U14" s="195">
        <v>92638</v>
      </c>
      <c r="V14" s="185"/>
    </row>
    <row r="15" spans="1:22" x14ac:dyDescent="0.25">
      <c r="A15" s="192">
        <v>2021</v>
      </c>
      <c r="B15" s="192" t="s">
        <v>823</v>
      </c>
      <c r="C15" s="193" t="s">
        <v>27</v>
      </c>
      <c r="D15" s="194" t="s">
        <v>826</v>
      </c>
      <c r="E15" s="194" t="s">
        <v>819</v>
      </c>
      <c r="F15" s="194" t="s">
        <v>27</v>
      </c>
      <c r="G15" s="193" t="s">
        <v>387</v>
      </c>
      <c r="H15" s="195">
        <v>0</v>
      </c>
      <c r="I15" s="195">
        <v>6</v>
      </c>
      <c r="J15" s="196"/>
      <c r="K15" s="195">
        <v>470724.75</v>
      </c>
      <c r="L15" s="195">
        <v>0</v>
      </c>
      <c r="M15" s="195">
        <v>470724.75</v>
      </c>
      <c r="N15" s="196"/>
      <c r="O15" s="195">
        <v>176486.25</v>
      </c>
      <c r="P15" s="195">
        <v>0</v>
      </c>
      <c r="Q15" s="195">
        <v>176486.25</v>
      </c>
      <c r="R15" s="196"/>
      <c r="S15" s="195">
        <v>647211</v>
      </c>
      <c r="T15" s="195">
        <v>0</v>
      </c>
      <c r="U15" s="195">
        <v>647211</v>
      </c>
      <c r="V15" s="185"/>
    </row>
    <row r="16" spans="1:22" x14ac:dyDescent="0.25">
      <c r="A16" s="192">
        <v>2021</v>
      </c>
      <c r="B16" s="192" t="s">
        <v>827</v>
      </c>
      <c r="C16" s="193" t="s">
        <v>28</v>
      </c>
      <c r="D16" s="194" t="s">
        <v>819</v>
      </c>
      <c r="E16" s="194" t="s">
        <v>819</v>
      </c>
      <c r="F16" s="194" t="s">
        <v>28</v>
      </c>
      <c r="G16" s="193" t="s">
        <v>388</v>
      </c>
      <c r="H16" s="195">
        <v>8</v>
      </c>
      <c r="I16" s="195">
        <v>0</v>
      </c>
      <c r="J16" s="196"/>
      <c r="K16" s="195">
        <v>368304.75</v>
      </c>
      <c r="L16" s="195">
        <v>368304.75</v>
      </c>
      <c r="M16" s="195">
        <v>0</v>
      </c>
      <c r="N16" s="196"/>
      <c r="O16" s="195">
        <v>132349.25</v>
      </c>
      <c r="P16" s="195">
        <v>132349.25</v>
      </c>
      <c r="Q16" s="195">
        <v>0</v>
      </c>
      <c r="R16" s="196"/>
      <c r="S16" s="195">
        <v>500654</v>
      </c>
      <c r="T16" s="195">
        <v>500654</v>
      </c>
      <c r="U16" s="195">
        <v>0</v>
      </c>
      <c r="V16" s="185"/>
    </row>
    <row r="17" spans="1:22" x14ac:dyDescent="0.25">
      <c r="A17" s="192">
        <v>2021</v>
      </c>
      <c r="B17" s="192" t="s">
        <v>823</v>
      </c>
      <c r="C17" s="193" t="s">
        <v>30</v>
      </c>
      <c r="D17" s="194" t="s">
        <v>40</v>
      </c>
      <c r="E17" s="194" t="s">
        <v>819</v>
      </c>
      <c r="F17" s="194" t="s">
        <v>30</v>
      </c>
      <c r="G17" s="193" t="s">
        <v>798</v>
      </c>
      <c r="H17" s="195">
        <v>0</v>
      </c>
      <c r="I17" s="195">
        <v>9</v>
      </c>
      <c r="J17" s="196"/>
      <c r="K17" s="195">
        <v>322301.25</v>
      </c>
      <c r="L17" s="195">
        <v>0</v>
      </c>
      <c r="M17" s="195">
        <v>322301.25</v>
      </c>
      <c r="N17" s="196"/>
      <c r="O17" s="195">
        <v>113225.75</v>
      </c>
      <c r="P17" s="195">
        <v>0</v>
      </c>
      <c r="Q17" s="195">
        <v>113225.75</v>
      </c>
      <c r="R17" s="196"/>
      <c r="S17" s="195">
        <v>435527</v>
      </c>
      <c r="T17" s="195">
        <v>0</v>
      </c>
      <c r="U17" s="195">
        <v>435527</v>
      </c>
      <c r="V17" s="185"/>
    </row>
    <row r="18" spans="1:22" x14ac:dyDescent="0.25">
      <c r="A18" s="192">
        <v>2021</v>
      </c>
      <c r="B18" s="192" t="s">
        <v>818</v>
      </c>
      <c r="C18" s="193" t="s">
        <v>31</v>
      </c>
      <c r="D18" s="194" t="s">
        <v>819</v>
      </c>
      <c r="E18" s="194" t="s">
        <v>819</v>
      </c>
      <c r="F18" s="194" t="s">
        <v>31</v>
      </c>
      <c r="G18" s="193" t="s">
        <v>390</v>
      </c>
      <c r="H18" s="195">
        <v>0</v>
      </c>
      <c r="I18" s="195">
        <v>4</v>
      </c>
      <c r="J18" s="196"/>
      <c r="K18" s="195">
        <v>1532883.75</v>
      </c>
      <c r="L18" s="195">
        <v>0</v>
      </c>
      <c r="M18" s="195">
        <v>1532883.75</v>
      </c>
      <c r="N18" s="196"/>
      <c r="O18" s="195">
        <v>610205.25</v>
      </c>
      <c r="P18" s="195">
        <v>0</v>
      </c>
      <c r="Q18" s="195">
        <v>610205.25</v>
      </c>
      <c r="R18" s="196"/>
      <c r="S18" s="195">
        <v>2143089</v>
      </c>
      <c r="T18" s="195">
        <v>0</v>
      </c>
      <c r="U18" s="195">
        <v>2143089</v>
      </c>
      <c r="V18" s="185"/>
    </row>
    <row r="19" spans="1:22" x14ac:dyDescent="0.25">
      <c r="A19" s="192">
        <v>2021</v>
      </c>
      <c r="B19" s="192" t="s">
        <v>825</v>
      </c>
      <c r="C19" s="193" t="s">
        <v>32</v>
      </c>
      <c r="D19" s="194" t="s">
        <v>819</v>
      </c>
      <c r="E19" s="194" t="s">
        <v>819</v>
      </c>
      <c r="F19" s="194" t="s">
        <v>32</v>
      </c>
      <c r="G19" s="193" t="s">
        <v>391</v>
      </c>
      <c r="H19" s="195">
        <v>0</v>
      </c>
      <c r="I19" s="195">
        <v>7</v>
      </c>
      <c r="J19" s="196"/>
      <c r="K19" s="195">
        <v>443761.5</v>
      </c>
      <c r="L19" s="195">
        <v>0</v>
      </c>
      <c r="M19" s="195">
        <v>443761.5</v>
      </c>
      <c r="N19" s="196"/>
      <c r="O19" s="195">
        <v>159859.5</v>
      </c>
      <c r="P19" s="195">
        <v>0</v>
      </c>
      <c r="Q19" s="195">
        <v>159859.5</v>
      </c>
      <c r="R19" s="196"/>
      <c r="S19" s="195">
        <v>603621</v>
      </c>
      <c r="T19" s="195">
        <v>0</v>
      </c>
      <c r="U19" s="195">
        <v>603621</v>
      </c>
      <c r="V19" s="185"/>
    </row>
    <row r="20" spans="1:22" x14ac:dyDescent="0.25">
      <c r="A20" s="192">
        <v>2021</v>
      </c>
      <c r="B20" s="192" t="s">
        <v>828</v>
      </c>
      <c r="C20" s="193" t="s">
        <v>33</v>
      </c>
      <c r="D20" s="194" t="s">
        <v>819</v>
      </c>
      <c r="E20" s="194" t="s">
        <v>819</v>
      </c>
      <c r="F20" s="194" t="s">
        <v>33</v>
      </c>
      <c r="G20" s="193" t="s">
        <v>392</v>
      </c>
      <c r="H20" s="195">
        <v>0</v>
      </c>
      <c r="I20" s="195">
        <v>5</v>
      </c>
      <c r="J20" s="196"/>
      <c r="K20" s="195">
        <v>47743.5</v>
      </c>
      <c r="L20" s="195">
        <v>0</v>
      </c>
      <c r="M20" s="195">
        <v>47743.5</v>
      </c>
      <c r="N20" s="196"/>
      <c r="O20" s="195">
        <v>17680.5</v>
      </c>
      <c r="P20" s="195">
        <v>0</v>
      </c>
      <c r="Q20" s="195">
        <v>17680.5</v>
      </c>
      <c r="R20" s="196"/>
      <c r="S20" s="195">
        <v>65424</v>
      </c>
      <c r="T20" s="195">
        <v>0</v>
      </c>
      <c r="U20" s="195">
        <v>65424</v>
      </c>
      <c r="V20" s="185"/>
    </row>
    <row r="21" spans="1:22" x14ac:dyDescent="0.25">
      <c r="A21" s="192">
        <v>2021</v>
      </c>
      <c r="B21" s="192" t="s">
        <v>818</v>
      </c>
      <c r="C21" s="193" t="s">
        <v>34</v>
      </c>
      <c r="D21" s="194" t="s">
        <v>819</v>
      </c>
      <c r="E21" s="194" t="s">
        <v>819</v>
      </c>
      <c r="F21" s="194" t="s">
        <v>34</v>
      </c>
      <c r="G21" s="193" t="s">
        <v>393</v>
      </c>
      <c r="H21" s="195">
        <v>0</v>
      </c>
      <c r="I21" s="195">
        <v>0</v>
      </c>
      <c r="J21" s="196"/>
      <c r="K21" s="195">
        <v>0</v>
      </c>
      <c r="L21" s="195">
        <v>0</v>
      </c>
      <c r="M21" s="195">
        <v>0</v>
      </c>
      <c r="N21" s="196"/>
      <c r="O21" s="195">
        <v>0</v>
      </c>
      <c r="P21" s="195">
        <v>0</v>
      </c>
      <c r="Q21" s="195">
        <v>0</v>
      </c>
      <c r="R21" s="196"/>
      <c r="S21" s="195">
        <v>0</v>
      </c>
      <c r="T21" s="195">
        <v>0</v>
      </c>
      <c r="U21" s="195">
        <v>0</v>
      </c>
      <c r="V21" s="185"/>
    </row>
    <row r="22" spans="1:22" x14ac:dyDescent="0.25">
      <c r="A22" s="192">
        <v>2021</v>
      </c>
      <c r="B22" s="192" t="s">
        <v>820</v>
      </c>
      <c r="C22" s="193" t="s">
        <v>35</v>
      </c>
      <c r="D22" s="194" t="s">
        <v>819</v>
      </c>
      <c r="E22" s="194" t="s">
        <v>819</v>
      </c>
      <c r="F22" s="194" t="s">
        <v>35</v>
      </c>
      <c r="G22" s="193" t="s">
        <v>394</v>
      </c>
      <c r="H22" s="195">
        <v>0</v>
      </c>
      <c r="I22" s="195">
        <v>7</v>
      </c>
      <c r="J22" s="196"/>
      <c r="K22" s="195">
        <v>298909.5</v>
      </c>
      <c r="L22" s="195">
        <v>0</v>
      </c>
      <c r="M22" s="195">
        <v>298909.5</v>
      </c>
      <c r="N22" s="196"/>
      <c r="O22" s="195">
        <v>129060.5</v>
      </c>
      <c r="P22" s="195">
        <v>0</v>
      </c>
      <c r="Q22" s="195">
        <v>129060.5</v>
      </c>
      <c r="R22" s="196"/>
      <c r="S22" s="195">
        <v>427970</v>
      </c>
      <c r="T22" s="195">
        <v>0</v>
      </c>
      <c r="U22" s="195">
        <v>427970</v>
      </c>
      <c r="V22" s="185"/>
    </row>
    <row r="23" spans="1:22" x14ac:dyDescent="0.25">
      <c r="A23" s="192">
        <v>2021</v>
      </c>
      <c r="B23" s="192" t="s">
        <v>822</v>
      </c>
      <c r="C23" s="193" t="s">
        <v>37</v>
      </c>
      <c r="D23" s="194" t="s">
        <v>819</v>
      </c>
      <c r="E23" s="194" t="s">
        <v>819</v>
      </c>
      <c r="F23" s="194" t="s">
        <v>37</v>
      </c>
      <c r="G23" s="193" t="s">
        <v>396</v>
      </c>
      <c r="H23" s="195">
        <v>0</v>
      </c>
      <c r="I23" s="195">
        <v>9</v>
      </c>
      <c r="J23" s="196"/>
      <c r="K23" s="195">
        <v>133154.25</v>
      </c>
      <c r="L23" s="195">
        <v>0</v>
      </c>
      <c r="M23" s="195">
        <v>133154.25</v>
      </c>
      <c r="N23" s="196"/>
      <c r="O23" s="195">
        <v>49466.75</v>
      </c>
      <c r="P23" s="195">
        <v>0</v>
      </c>
      <c r="Q23" s="195">
        <v>49466.75</v>
      </c>
      <c r="R23" s="196"/>
      <c r="S23" s="195">
        <v>182621</v>
      </c>
      <c r="T23" s="195">
        <v>0</v>
      </c>
      <c r="U23" s="195">
        <v>182621</v>
      </c>
      <c r="V23" s="185"/>
    </row>
    <row r="24" spans="1:22" x14ac:dyDescent="0.25">
      <c r="A24" s="192">
        <v>2021</v>
      </c>
      <c r="B24" s="192" t="s">
        <v>821</v>
      </c>
      <c r="C24" s="193" t="s">
        <v>38</v>
      </c>
      <c r="D24" s="194" t="s">
        <v>819</v>
      </c>
      <c r="E24" s="194" t="s">
        <v>819</v>
      </c>
      <c r="F24" s="194" t="s">
        <v>38</v>
      </c>
      <c r="G24" s="193" t="s">
        <v>397</v>
      </c>
      <c r="H24" s="195">
        <v>4</v>
      </c>
      <c r="I24" s="195">
        <v>8</v>
      </c>
      <c r="J24" s="196"/>
      <c r="K24" s="195">
        <v>655338.75</v>
      </c>
      <c r="L24" s="195">
        <v>218446.25</v>
      </c>
      <c r="M24" s="195">
        <v>436892.5</v>
      </c>
      <c r="N24" s="196"/>
      <c r="O24" s="195">
        <v>302223.25</v>
      </c>
      <c r="P24" s="195">
        <v>100741.08</v>
      </c>
      <c r="Q24" s="195">
        <v>201482.16999999998</v>
      </c>
      <c r="R24" s="196"/>
      <c r="S24" s="195">
        <v>957562</v>
      </c>
      <c r="T24" s="195">
        <v>319187.33</v>
      </c>
      <c r="U24" s="195">
        <v>638374.66999999993</v>
      </c>
      <c r="V24" s="185"/>
    </row>
    <row r="25" spans="1:22" x14ac:dyDescent="0.25">
      <c r="A25" s="192">
        <v>2021</v>
      </c>
      <c r="B25" s="192" t="s">
        <v>818</v>
      </c>
      <c r="C25" s="193" t="s">
        <v>39</v>
      </c>
      <c r="D25" s="194" t="s">
        <v>819</v>
      </c>
      <c r="E25" s="194" t="s">
        <v>819</v>
      </c>
      <c r="F25" s="194" t="s">
        <v>39</v>
      </c>
      <c r="G25" s="193" t="s">
        <v>398</v>
      </c>
      <c r="H25" s="195">
        <v>0</v>
      </c>
      <c r="I25" s="195">
        <v>6</v>
      </c>
      <c r="J25" s="196"/>
      <c r="K25" s="195">
        <v>145886.25</v>
      </c>
      <c r="L25" s="195">
        <v>0</v>
      </c>
      <c r="M25" s="195">
        <v>145886.25</v>
      </c>
      <c r="N25" s="196"/>
      <c r="O25" s="195">
        <v>59015.75</v>
      </c>
      <c r="P25" s="195">
        <v>0</v>
      </c>
      <c r="Q25" s="195">
        <v>59015.75</v>
      </c>
      <c r="R25" s="196"/>
      <c r="S25" s="195">
        <v>204902</v>
      </c>
      <c r="T25" s="195">
        <v>0</v>
      </c>
      <c r="U25" s="195">
        <v>204902</v>
      </c>
      <c r="V25" s="185"/>
    </row>
    <row r="26" spans="1:22" x14ac:dyDescent="0.25">
      <c r="A26" s="192">
        <v>2021</v>
      </c>
      <c r="B26" s="192" t="s">
        <v>818</v>
      </c>
      <c r="C26" s="193" t="s">
        <v>42</v>
      </c>
      <c r="D26" s="194" t="s">
        <v>819</v>
      </c>
      <c r="E26" s="194" t="s">
        <v>819</v>
      </c>
      <c r="F26" s="194" t="s">
        <v>42</v>
      </c>
      <c r="G26" s="193" t="s">
        <v>399</v>
      </c>
      <c r="H26" s="195">
        <v>2</v>
      </c>
      <c r="I26" s="195">
        <v>0</v>
      </c>
      <c r="J26" s="196"/>
      <c r="K26" s="195">
        <v>165458.25</v>
      </c>
      <c r="L26" s="195">
        <v>165458.25</v>
      </c>
      <c r="M26" s="195">
        <v>0</v>
      </c>
      <c r="N26" s="196"/>
      <c r="O26" s="195">
        <v>64323.75</v>
      </c>
      <c r="P26" s="195">
        <v>64323.75</v>
      </c>
      <c r="Q26" s="195">
        <v>0</v>
      </c>
      <c r="R26" s="196"/>
      <c r="S26" s="195">
        <v>229782</v>
      </c>
      <c r="T26" s="195">
        <v>229782</v>
      </c>
      <c r="U26" s="195">
        <v>0</v>
      </c>
      <c r="V26" s="185"/>
    </row>
    <row r="27" spans="1:22" x14ac:dyDescent="0.25">
      <c r="A27" s="192">
        <v>2021</v>
      </c>
      <c r="B27" s="192" t="s">
        <v>818</v>
      </c>
      <c r="C27" s="193" t="s">
        <v>44</v>
      </c>
      <c r="D27" s="194" t="s">
        <v>819</v>
      </c>
      <c r="E27" s="194" t="s">
        <v>819</v>
      </c>
      <c r="F27" s="194" t="s">
        <v>44</v>
      </c>
      <c r="G27" s="193" t="s">
        <v>400</v>
      </c>
      <c r="H27" s="195">
        <v>0</v>
      </c>
      <c r="I27" s="195">
        <v>7</v>
      </c>
      <c r="J27" s="196"/>
      <c r="K27" s="195">
        <v>102060.75</v>
      </c>
      <c r="L27" s="195">
        <v>0</v>
      </c>
      <c r="M27" s="195">
        <v>102060.75</v>
      </c>
      <c r="N27" s="196"/>
      <c r="O27" s="195">
        <v>38890.25</v>
      </c>
      <c r="P27" s="195">
        <v>0</v>
      </c>
      <c r="Q27" s="195">
        <v>38890.25</v>
      </c>
      <c r="R27" s="196"/>
      <c r="S27" s="195">
        <v>140951</v>
      </c>
      <c r="T27" s="195">
        <v>0</v>
      </c>
      <c r="U27" s="195">
        <v>140951</v>
      </c>
      <c r="V27" s="185"/>
    </row>
    <row r="28" spans="1:22" x14ac:dyDescent="0.25">
      <c r="A28" s="192">
        <v>2021</v>
      </c>
      <c r="B28" s="192" t="s">
        <v>820</v>
      </c>
      <c r="C28" s="193" t="s">
        <v>45</v>
      </c>
      <c r="D28" s="194" t="s">
        <v>819</v>
      </c>
      <c r="E28" s="194" t="s">
        <v>819</v>
      </c>
      <c r="F28" s="194" t="s">
        <v>45</v>
      </c>
      <c r="G28" s="193" t="s">
        <v>1</v>
      </c>
      <c r="H28" s="195">
        <v>0</v>
      </c>
      <c r="I28" s="195">
        <v>9</v>
      </c>
      <c r="J28" s="196"/>
      <c r="K28" s="195">
        <v>222549</v>
      </c>
      <c r="L28" s="195">
        <v>0</v>
      </c>
      <c r="M28" s="195">
        <v>222549</v>
      </c>
      <c r="N28" s="196"/>
      <c r="O28" s="195">
        <v>83697</v>
      </c>
      <c r="P28" s="195">
        <v>0</v>
      </c>
      <c r="Q28" s="195">
        <v>83697</v>
      </c>
      <c r="R28" s="196"/>
      <c r="S28" s="195">
        <v>306246</v>
      </c>
      <c r="T28" s="195">
        <v>0</v>
      </c>
      <c r="U28" s="195">
        <v>306246</v>
      </c>
      <c r="V28" s="185"/>
    </row>
    <row r="29" spans="1:22" x14ac:dyDescent="0.25">
      <c r="A29" s="192">
        <v>2021</v>
      </c>
      <c r="B29" s="192" t="s">
        <v>821</v>
      </c>
      <c r="C29" s="193" t="s">
        <v>46</v>
      </c>
      <c r="D29" s="194" t="s">
        <v>819</v>
      </c>
      <c r="E29" s="194" t="s">
        <v>819</v>
      </c>
      <c r="F29" s="194" t="s">
        <v>46</v>
      </c>
      <c r="G29" s="193" t="s">
        <v>401</v>
      </c>
      <c r="H29" s="195">
        <v>0</v>
      </c>
      <c r="I29" s="195">
        <v>10</v>
      </c>
      <c r="J29" s="196"/>
      <c r="K29" s="195">
        <v>143180.25</v>
      </c>
      <c r="L29" s="195">
        <v>0</v>
      </c>
      <c r="M29" s="195">
        <v>143180.25</v>
      </c>
      <c r="N29" s="196"/>
      <c r="O29" s="195">
        <v>58185.75</v>
      </c>
      <c r="P29" s="195">
        <v>0</v>
      </c>
      <c r="Q29" s="195">
        <v>58185.75</v>
      </c>
      <c r="R29" s="196"/>
      <c r="S29" s="195">
        <v>201366</v>
      </c>
      <c r="T29" s="195">
        <v>0</v>
      </c>
      <c r="U29" s="195">
        <v>201366</v>
      </c>
      <c r="V29" s="185"/>
    </row>
    <row r="30" spans="1:22" x14ac:dyDescent="0.25">
      <c r="A30" s="192">
        <v>2021</v>
      </c>
      <c r="B30" s="192" t="s">
        <v>825</v>
      </c>
      <c r="C30" s="193" t="s">
        <v>47</v>
      </c>
      <c r="D30" s="194" t="s">
        <v>819</v>
      </c>
      <c r="E30" s="194" t="s">
        <v>819</v>
      </c>
      <c r="F30" s="194" t="s">
        <v>47</v>
      </c>
      <c r="G30" s="193" t="s">
        <v>402</v>
      </c>
      <c r="H30" s="195">
        <v>1</v>
      </c>
      <c r="I30" s="195">
        <v>5</v>
      </c>
      <c r="J30" s="196"/>
      <c r="K30" s="195">
        <v>134185.5</v>
      </c>
      <c r="L30" s="195">
        <v>22364.25</v>
      </c>
      <c r="M30" s="195">
        <v>111821.25</v>
      </c>
      <c r="N30" s="196"/>
      <c r="O30" s="195">
        <v>46554.5</v>
      </c>
      <c r="P30" s="195">
        <v>7759.08</v>
      </c>
      <c r="Q30" s="195">
        <v>38795.42</v>
      </c>
      <c r="R30" s="196"/>
      <c r="S30" s="195">
        <v>180740</v>
      </c>
      <c r="T30" s="195">
        <v>30123.33</v>
      </c>
      <c r="U30" s="195">
        <v>150616.66999999998</v>
      </c>
      <c r="V30" s="185"/>
    </row>
    <row r="31" spans="1:22" x14ac:dyDescent="0.25">
      <c r="A31" s="192">
        <v>2021</v>
      </c>
      <c r="B31" s="192" t="s">
        <v>828</v>
      </c>
      <c r="C31" s="193" t="s">
        <v>48</v>
      </c>
      <c r="D31" s="194" t="s">
        <v>819</v>
      </c>
      <c r="E31" s="194" t="s">
        <v>819</v>
      </c>
      <c r="F31" s="194" t="s">
        <v>48</v>
      </c>
      <c r="G31" s="193" t="s">
        <v>403</v>
      </c>
      <c r="H31" s="195">
        <v>4</v>
      </c>
      <c r="I31" s="195">
        <v>0</v>
      </c>
      <c r="J31" s="196"/>
      <c r="K31" s="195">
        <v>151726.5</v>
      </c>
      <c r="L31" s="195">
        <v>151726.5</v>
      </c>
      <c r="M31" s="195">
        <v>0</v>
      </c>
      <c r="N31" s="196"/>
      <c r="O31" s="195">
        <v>63380.5</v>
      </c>
      <c r="P31" s="195">
        <v>63380.5</v>
      </c>
      <c r="Q31" s="195">
        <v>0</v>
      </c>
      <c r="R31" s="196"/>
      <c r="S31" s="195">
        <v>215107</v>
      </c>
      <c r="T31" s="195">
        <v>215107</v>
      </c>
      <c r="U31" s="195">
        <v>0</v>
      </c>
      <c r="V31" s="185"/>
    </row>
    <row r="32" spans="1:22" x14ac:dyDescent="0.25">
      <c r="A32" s="192">
        <v>2021</v>
      </c>
      <c r="B32" s="192" t="s">
        <v>820</v>
      </c>
      <c r="C32" s="193" t="s">
        <v>49</v>
      </c>
      <c r="D32" s="194" t="s">
        <v>819</v>
      </c>
      <c r="E32" s="194" t="s">
        <v>819</v>
      </c>
      <c r="F32" s="194" t="s">
        <v>49</v>
      </c>
      <c r="G32" s="193" t="s">
        <v>404</v>
      </c>
      <c r="H32" s="195">
        <v>0</v>
      </c>
      <c r="I32" s="195">
        <v>3</v>
      </c>
      <c r="J32" s="196"/>
      <c r="K32" s="195">
        <v>76185.75</v>
      </c>
      <c r="L32" s="195">
        <v>0</v>
      </c>
      <c r="M32" s="195">
        <v>76185.75</v>
      </c>
      <c r="N32" s="196"/>
      <c r="O32" s="195">
        <v>29324.25</v>
      </c>
      <c r="P32" s="195">
        <v>0</v>
      </c>
      <c r="Q32" s="195">
        <v>29324.25</v>
      </c>
      <c r="R32" s="196"/>
      <c r="S32" s="195">
        <v>105510</v>
      </c>
      <c r="T32" s="195">
        <v>0</v>
      </c>
      <c r="U32" s="195">
        <v>105510</v>
      </c>
      <c r="V32" s="185"/>
    </row>
    <row r="33" spans="1:22" x14ac:dyDescent="0.25">
      <c r="A33" s="192">
        <v>2021</v>
      </c>
      <c r="B33" s="192" t="s">
        <v>828</v>
      </c>
      <c r="C33" s="193" t="s">
        <v>50</v>
      </c>
      <c r="D33" s="194" t="s">
        <v>819</v>
      </c>
      <c r="E33" s="194" t="s">
        <v>819</v>
      </c>
      <c r="F33" s="194" t="s">
        <v>50</v>
      </c>
      <c r="G33" s="193" t="s">
        <v>405</v>
      </c>
      <c r="H33" s="195">
        <v>0</v>
      </c>
      <c r="I33" s="195">
        <v>1</v>
      </c>
      <c r="J33" s="196"/>
      <c r="K33" s="195">
        <v>11602.5</v>
      </c>
      <c r="L33" s="195">
        <v>0</v>
      </c>
      <c r="M33" s="195">
        <v>11602.5</v>
      </c>
      <c r="N33" s="196"/>
      <c r="O33" s="195">
        <v>3783.5</v>
      </c>
      <c r="P33" s="195">
        <v>0</v>
      </c>
      <c r="Q33" s="195">
        <v>3783.5</v>
      </c>
      <c r="R33" s="196"/>
      <c r="S33" s="195">
        <v>15386</v>
      </c>
      <c r="T33" s="195">
        <v>0</v>
      </c>
      <c r="U33" s="195">
        <v>15386</v>
      </c>
      <c r="V33" s="185"/>
    </row>
    <row r="34" spans="1:22" x14ac:dyDescent="0.25">
      <c r="A34" s="192">
        <v>2021</v>
      </c>
      <c r="B34" s="192" t="s">
        <v>825</v>
      </c>
      <c r="C34" s="193" t="s">
        <v>51</v>
      </c>
      <c r="D34" s="194" t="s">
        <v>819</v>
      </c>
      <c r="E34" s="194" t="s">
        <v>819</v>
      </c>
      <c r="F34" s="194" t="s">
        <v>51</v>
      </c>
      <c r="G34" s="193" t="s">
        <v>406</v>
      </c>
      <c r="H34" s="195">
        <v>0</v>
      </c>
      <c r="I34" s="195">
        <v>4</v>
      </c>
      <c r="J34" s="196"/>
      <c r="K34" s="195">
        <v>329938.5</v>
      </c>
      <c r="L34" s="195">
        <v>0</v>
      </c>
      <c r="M34" s="195">
        <v>329938.5</v>
      </c>
      <c r="N34" s="196"/>
      <c r="O34" s="195">
        <v>117845.5</v>
      </c>
      <c r="P34" s="195">
        <v>0</v>
      </c>
      <c r="Q34" s="195">
        <v>117845.5</v>
      </c>
      <c r="R34" s="196"/>
      <c r="S34" s="195">
        <v>447784</v>
      </c>
      <c r="T34" s="195">
        <v>0</v>
      </c>
      <c r="U34" s="195">
        <v>447784</v>
      </c>
      <c r="V34" s="185"/>
    </row>
    <row r="35" spans="1:22" x14ac:dyDescent="0.25">
      <c r="A35" s="192">
        <v>2021</v>
      </c>
      <c r="B35" s="192" t="s">
        <v>828</v>
      </c>
      <c r="C35" s="193" t="s">
        <v>52</v>
      </c>
      <c r="D35" s="194" t="s">
        <v>819</v>
      </c>
      <c r="E35" s="194" t="s">
        <v>819</v>
      </c>
      <c r="F35" s="194" t="s">
        <v>52</v>
      </c>
      <c r="G35" s="193" t="s">
        <v>407</v>
      </c>
      <c r="H35" s="195">
        <v>0</v>
      </c>
      <c r="I35" s="195">
        <v>0</v>
      </c>
      <c r="J35" s="196"/>
      <c r="K35" s="195">
        <v>0</v>
      </c>
      <c r="L35" s="195">
        <v>0</v>
      </c>
      <c r="M35" s="195">
        <v>0</v>
      </c>
      <c r="N35" s="196"/>
      <c r="O35" s="195">
        <v>0</v>
      </c>
      <c r="P35" s="195">
        <v>0</v>
      </c>
      <c r="Q35" s="195">
        <v>0</v>
      </c>
      <c r="R35" s="196"/>
      <c r="S35" s="195">
        <v>0</v>
      </c>
      <c r="T35" s="195">
        <v>0</v>
      </c>
      <c r="U35" s="195">
        <v>0</v>
      </c>
      <c r="V35" s="185"/>
    </row>
    <row r="36" spans="1:22" x14ac:dyDescent="0.25">
      <c r="A36" s="192">
        <v>2021</v>
      </c>
      <c r="B36" s="192" t="s">
        <v>818</v>
      </c>
      <c r="C36" s="193" t="s">
        <v>54</v>
      </c>
      <c r="D36" s="194" t="s">
        <v>819</v>
      </c>
      <c r="E36" s="194" t="s">
        <v>819</v>
      </c>
      <c r="F36" s="194" t="s">
        <v>54</v>
      </c>
      <c r="G36" s="193" t="s">
        <v>409</v>
      </c>
      <c r="H36" s="195">
        <v>0</v>
      </c>
      <c r="I36" s="195">
        <v>3</v>
      </c>
      <c r="J36" s="196"/>
      <c r="K36" s="195">
        <v>283572</v>
      </c>
      <c r="L36" s="195">
        <v>0</v>
      </c>
      <c r="M36" s="195">
        <v>283572</v>
      </c>
      <c r="N36" s="196"/>
      <c r="O36" s="195">
        <v>106392</v>
      </c>
      <c r="P36" s="195">
        <v>0</v>
      </c>
      <c r="Q36" s="195">
        <v>106392</v>
      </c>
      <c r="R36" s="196"/>
      <c r="S36" s="195">
        <v>389964</v>
      </c>
      <c r="T36" s="195">
        <v>0</v>
      </c>
      <c r="U36" s="195">
        <v>389964</v>
      </c>
      <c r="V36" s="185"/>
    </row>
    <row r="37" spans="1:22" x14ac:dyDescent="0.25">
      <c r="A37" s="192">
        <v>2021</v>
      </c>
      <c r="B37" s="192" t="s">
        <v>818</v>
      </c>
      <c r="C37" s="193" t="s">
        <v>55</v>
      </c>
      <c r="D37" s="194" t="s">
        <v>819</v>
      </c>
      <c r="E37" s="194" t="s">
        <v>819</v>
      </c>
      <c r="F37" s="194" t="s">
        <v>55</v>
      </c>
      <c r="G37" s="193" t="s">
        <v>410</v>
      </c>
      <c r="H37" s="195">
        <v>0</v>
      </c>
      <c r="I37" s="195">
        <v>4</v>
      </c>
      <c r="J37" s="196"/>
      <c r="K37" s="195">
        <v>405579</v>
      </c>
      <c r="L37" s="195">
        <v>0</v>
      </c>
      <c r="M37" s="195">
        <v>405579</v>
      </c>
      <c r="N37" s="196"/>
      <c r="O37" s="195">
        <v>148141</v>
      </c>
      <c r="P37" s="195">
        <v>0</v>
      </c>
      <c r="Q37" s="195">
        <v>148141</v>
      </c>
      <c r="R37" s="196"/>
      <c r="S37" s="195">
        <v>553720</v>
      </c>
      <c r="T37" s="195">
        <v>0</v>
      </c>
      <c r="U37" s="195">
        <v>553720</v>
      </c>
      <c r="V37" s="185"/>
    </row>
    <row r="38" spans="1:22" x14ac:dyDescent="0.25">
      <c r="A38" s="192">
        <v>2021</v>
      </c>
      <c r="B38" s="192" t="s">
        <v>822</v>
      </c>
      <c r="C38" s="193" t="s">
        <v>56</v>
      </c>
      <c r="D38" s="194" t="s">
        <v>819</v>
      </c>
      <c r="E38" s="194" t="s">
        <v>819</v>
      </c>
      <c r="F38" s="194" t="s">
        <v>56</v>
      </c>
      <c r="G38" s="193" t="s">
        <v>411</v>
      </c>
      <c r="H38" s="195">
        <v>0</v>
      </c>
      <c r="I38" s="195">
        <v>4</v>
      </c>
      <c r="J38" s="196"/>
      <c r="K38" s="195">
        <v>121431</v>
      </c>
      <c r="L38" s="195">
        <v>0</v>
      </c>
      <c r="M38" s="195">
        <v>121431</v>
      </c>
      <c r="N38" s="196"/>
      <c r="O38" s="195">
        <v>45138</v>
      </c>
      <c r="P38" s="195">
        <v>0</v>
      </c>
      <c r="Q38" s="195">
        <v>45138</v>
      </c>
      <c r="R38" s="196"/>
      <c r="S38" s="195">
        <v>166569</v>
      </c>
      <c r="T38" s="195">
        <v>0</v>
      </c>
      <c r="U38" s="195">
        <v>166569</v>
      </c>
      <c r="V38" s="185"/>
    </row>
    <row r="39" spans="1:22" x14ac:dyDescent="0.25">
      <c r="A39" s="192">
        <v>2021</v>
      </c>
      <c r="B39" s="192" t="s">
        <v>821</v>
      </c>
      <c r="C39" s="193" t="s">
        <v>112</v>
      </c>
      <c r="D39" s="194" t="s">
        <v>819</v>
      </c>
      <c r="E39" s="194" t="s">
        <v>819</v>
      </c>
      <c r="F39" s="194" t="s">
        <v>112</v>
      </c>
      <c r="G39" s="193" t="s">
        <v>465</v>
      </c>
      <c r="H39" s="195">
        <v>0</v>
      </c>
      <c r="I39" s="195">
        <v>10</v>
      </c>
      <c r="J39" s="196"/>
      <c r="K39" s="195">
        <v>158204.25</v>
      </c>
      <c r="L39" s="195">
        <v>0</v>
      </c>
      <c r="M39" s="195">
        <v>158204.25</v>
      </c>
      <c r="N39" s="196"/>
      <c r="O39" s="195">
        <v>58211.75</v>
      </c>
      <c r="P39" s="195">
        <v>0</v>
      </c>
      <c r="Q39" s="195">
        <v>58211.75</v>
      </c>
      <c r="R39" s="196"/>
      <c r="S39" s="195">
        <v>216416</v>
      </c>
      <c r="T39" s="195">
        <v>0</v>
      </c>
      <c r="U39" s="195">
        <v>216416</v>
      </c>
      <c r="V39" s="185"/>
    </row>
    <row r="40" spans="1:22" x14ac:dyDescent="0.25">
      <c r="A40" s="192">
        <v>2021</v>
      </c>
      <c r="B40" s="192" t="s">
        <v>820</v>
      </c>
      <c r="C40" s="193" t="s">
        <v>58</v>
      </c>
      <c r="D40" s="194" t="s">
        <v>819</v>
      </c>
      <c r="E40" s="194" t="s">
        <v>819</v>
      </c>
      <c r="F40" s="194" t="s">
        <v>58</v>
      </c>
      <c r="G40" s="193" t="s">
        <v>413</v>
      </c>
      <c r="H40" s="195">
        <v>3</v>
      </c>
      <c r="I40" s="195">
        <v>2</v>
      </c>
      <c r="J40" s="196"/>
      <c r="K40" s="195">
        <v>118373.25</v>
      </c>
      <c r="L40" s="195">
        <v>71023.95</v>
      </c>
      <c r="M40" s="195">
        <v>47349.3</v>
      </c>
      <c r="N40" s="196"/>
      <c r="O40" s="195">
        <v>56677.75</v>
      </c>
      <c r="P40" s="195">
        <v>34006.65</v>
      </c>
      <c r="Q40" s="195">
        <v>22671.1</v>
      </c>
      <c r="R40" s="196"/>
      <c r="S40" s="195">
        <v>175051</v>
      </c>
      <c r="T40" s="195">
        <v>105030.6</v>
      </c>
      <c r="U40" s="195">
        <v>70020.399999999994</v>
      </c>
      <c r="V40" s="185"/>
    </row>
    <row r="41" spans="1:22" x14ac:dyDescent="0.25">
      <c r="A41" s="192">
        <v>2021</v>
      </c>
      <c r="B41" s="192" t="s">
        <v>824</v>
      </c>
      <c r="C41" s="193" t="s">
        <v>60</v>
      </c>
      <c r="D41" s="194" t="s">
        <v>819</v>
      </c>
      <c r="E41" s="194" t="s">
        <v>819</v>
      </c>
      <c r="F41" s="194" t="s">
        <v>60</v>
      </c>
      <c r="G41" s="193" t="s">
        <v>415</v>
      </c>
      <c r="H41" s="195">
        <v>0</v>
      </c>
      <c r="I41" s="195">
        <v>0</v>
      </c>
      <c r="J41" s="196"/>
      <c r="K41" s="195">
        <v>0</v>
      </c>
      <c r="L41" s="195">
        <v>0</v>
      </c>
      <c r="M41" s="195">
        <v>0</v>
      </c>
      <c r="N41" s="196"/>
      <c r="O41" s="195">
        <v>0</v>
      </c>
      <c r="P41" s="195">
        <v>0</v>
      </c>
      <c r="Q41" s="195">
        <v>0</v>
      </c>
      <c r="R41" s="196"/>
      <c r="S41" s="195">
        <v>0</v>
      </c>
      <c r="T41" s="195">
        <v>0</v>
      </c>
      <c r="U41" s="195">
        <v>0</v>
      </c>
      <c r="V41" s="185"/>
    </row>
    <row r="42" spans="1:22" x14ac:dyDescent="0.25">
      <c r="A42" s="192">
        <v>2021</v>
      </c>
      <c r="B42" s="192" t="s">
        <v>820</v>
      </c>
      <c r="C42" s="193" t="s">
        <v>62</v>
      </c>
      <c r="D42" s="194" t="s">
        <v>819</v>
      </c>
      <c r="E42" s="194" t="s">
        <v>819</v>
      </c>
      <c r="F42" s="194" t="s">
        <v>62</v>
      </c>
      <c r="G42" s="193" t="s">
        <v>3</v>
      </c>
      <c r="H42" s="195">
        <v>3</v>
      </c>
      <c r="I42" s="195">
        <v>8</v>
      </c>
      <c r="J42" s="196"/>
      <c r="K42" s="195">
        <v>95676.75</v>
      </c>
      <c r="L42" s="195">
        <v>26093.66</v>
      </c>
      <c r="M42" s="195">
        <v>69583.09</v>
      </c>
      <c r="N42" s="196"/>
      <c r="O42" s="195">
        <v>34357.25</v>
      </c>
      <c r="P42" s="195">
        <v>9370.16</v>
      </c>
      <c r="Q42" s="195">
        <v>24987.09</v>
      </c>
      <c r="R42" s="196"/>
      <c r="S42" s="195">
        <v>130034</v>
      </c>
      <c r="T42" s="195">
        <v>35463.82</v>
      </c>
      <c r="U42" s="195">
        <v>94570.18</v>
      </c>
      <c r="V42" s="185"/>
    </row>
    <row r="43" spans="1:22" x14ac:dyDescent="0.25">
      <c r="A43" s="192">
        <v>2021</v>
      </c>
      <c r="B43" s="192" t="s">
        <v>828</v>
      </c>
      <c r="C43" s="193" t="s">
        <v>63</v>
      </c>
      <c r="D43" s="194" t="s">
        <v>819</v>
      </c>
      <c r="E43" s="194" t="s">
        <v>819</v>
      </c>
      <c r="F43" s="194" t="s">
        <v>63</v>
      </c>
      <c r="G43" s="193" t="s">
        <v>416</v>
      </c>
      <c r="H43" s="195">
        <v>0</v>
      </c>
      <c r="I43" s="195">
        <v>3</v>
      </c>
      <c r="J43" s="196"/>
      <c r="K43" s="195">
        <v>51897</v>
      </c>
      <c r="L43" s="195">
        <v>0</v>
      </c>
      <c r="M43" s="195">
        <v>51897</v>
      </c>
      <c r="N43" s="196"/>
      <c r="O43" s="195">
        <v>18110</v>
      </c>
      <c r="P43" s="195">
        <v>0</v>
      </c>
      <c r="Q43" s="195">
        <v>18110</v>
      </c>
      <c r="R43" s="196"/>
      <c r="S43" s="195">
        <v>70007</v>
      </c>
      <c r="T43" s="195">
        <v>0</v>
      </c>
      <c r="U43" s="195">
        <v>70007</v>
      </c>
      <c r="V43" s="185"/>
    </row>
    <row r="44" spans="1:22" x14ac:dyDescent="0.25">
      <c r="A44" s="192">
        <v>2021</v>
      </c>
      <c r="B44" s="192" t="s">
        <v>821</v>
      </c>
      <c r="C44" s="193" t="s">
        <v>61</v>
      </c>
      <c r="D44" s="194" t="s">
        <v>819</v>
      </c>
      <c r="E44" s="194" t="s">
        <v>819</v>
      </c>
      <c r="F44" s="194" t="s">
        <v>61</v>
      </c>
      <c r="G44" s="193" t="s">
        <v>2</v>
      </c>
      <c r="H44" s="195">
        <v>0</v>
      </c>
      <c r="I44" s="195">
        <v>10</v>
      </c>
      <c r="J44" s="196"/>
      <c r="K44" s="195">
        <v>163948.5</v>
      </c>
      <c r="L44" s="195">
        <v>0</v>
      </c>
      <c r="M44" s="195">
        <v>163948.5</v>
      </c>
      <c r="N44" s="196"/>
      <c r="O44" s="195">
        <v>60099.5</v>
      </c>
      <c r="P44" s="195">
        <v>0</v>
      </c>
      <c r="Q44" s="195">
        <v>60099.5</v>
      </c>
      <c r="R44" s="196"/>
      <c r="S44" s="195">
        <v>224048</v>
      </c>
      <c r="T44" s="195">
        <v>0</v>
      </c>
      <c r="U44" s="195">
        <v>224048</v>
      </c>
      <c r="V44" s="185"/>
    </row>
    <row r="45" spans="1:22" x14ac:dyDescent="0.25">
      <c r="A45" s="192">
        <v>2021</v>
      </c>
      <c r="B45" s="192" t="s">
        <v>828</v>
      </c>
      <c r="C45" s="193" t="s">
        <v>64</v>
      </c>
      <c r="D45" s="194" t="s">
        <v>819</v>
      </c>
      <c r="E45" s="194" t="s">
        <v>819</v>
      </c>
      <c r="F45" s="194" t="s">
        <v>64</v>
      </c>
      <c r="G45" s="193" t="s">
        <v>417</v>
      </c>
      <c r="H45" s="195">
        <v>0</v>
      </c>
      <c r="I45" s="195">
        <v>0</v>
      </c>
      <c r="J45" s="196"/>
      <c r="K45" s="195">
        <v>0</v>
      </c>
      <c r="L45" s="195">
        <v>0</v>
      </c>
      <c r="M45" s="195">
        <v>0</v>
      </c>
      <c r="N45" s="196"/>
      <c r="O45" s="195">
        <v>0</v>
      </c>
      <c r="P45" s="195">
        <v>0</v>
      </c>
      <c r="Q45" s="195">
        <v>0</v>
      </c>
      <c r="R45" s="196"/>
      <c r="S45" s="195">
        <v>0</v>
      </c>
      <c r="T45" s="195">
        <v>0</v>
      </c>
      <c r="U45" s="195">
        <v>0</v>
      </c>
      <c r="V45" s="185"/>
    </row>
    <row r="46" spans="1:22" x14ac:dyDescent="0.25">
      <c r="A46" s="192">
        <v>2021</v>
      </c>
      <c r="B46" s="192" t="s">
        <v>824</v>
      </c>
      <c r="C46" s="193" t="s">
        <v>65</v>
      </c>
      <c r="D46" s="194" t="s">
        <v>819</v>
      </c>
      <c r="E46" s="194" t="s">
        <v>819</v>
      </c>
      <c r="F46" s="194" t="s">
        <v>65</v>
      </c>
      <c r="G46" s="193" t="s">
        <v>418</v>
      </c>
      <c r="H46" s="195">
        <v>0</v>
      </c>
      <c r="I46" s="195">
        <v>10</v>
      </c>
      <c r="J46" s="196"/>
      <c r="K46" s="195">
        <v>224721</v>
      </c>
      <c r="L46" s="195">
        <v>0</v>
      </c>
      <c r="M46" s="195">
        <v>224721</v>
      </c>
      <c r="N46" s="196"/>
      <c r="O46" s="195">
        <v>76226</v>
      </c>
      <c r="P46" s="195">
        <v>0</v>
      </c>
      <c r="Q46" s="195">
        <v>76226</v>
      </c>
      <c r="R46" s="196"/>
      <c r="S46" s="195">
        <v>300947</v>
      </c>
      <c r="T46" s="195">
        <v>0</v>
      </c>
      <c r="U46" s="195">
        <v>300947</v>
      </c>
      <c r="V46" s="185"/>
    </row>
    <row r="47" spans="1:22" x14ac:dyDescent="0.25">
      <c r="A47" s="192">
        <v>2021</v>
      </c>
      <c r="B47" s="192" t="s">
        <v>818</v>
      </c>
      <c r="C47" s="193" t="s">
        <v>66</v>
      </c>
      <c r="D47" s="194" t="s">
        <v>819</v>
      </c>
      <c r="E47" s="194" t="s">
        <v>819</v>
      </c>
      <c r="F47" s="194" t="s">
        <v>66</v>
      </c>
      <c r="G47" s="193" t="s">
        <v>419</v>
      </c>
      <c r="H47" s="195">
        <v>0</v>
      </c>
      <c r="I47" s="195">
        <v>0</v>
      </c>
      <c r="J47" s="196"/>
      <c r="K47" s="195">
        <v>0</v>
      </c>
      <c r="L47" s="195">
        <v>0</v>
      </c>
      <c r="M47" s="195">
        <v>0</v>
      </c>
      <c r="N47" s="196"/>
      <c r="O47" s="195">
        <v>0</v>
      </c>
      <c r="P47" s="195">
        <v>0</v>
      </c>
      <c r="Q47" s="195">
        <v>0</v>
      </c>
      <c r="R47" s="196"/>
      <c r="S47" s="195">
        <v>0</v>
      </c>
      <c r="T47" s="195">
        <v>0</v>
      </c>
      <c r="U47" s="195">
        <v>0</v>
      </c>
      <c r="V47" s="185"/>
    </row>
    <row r="48" spans="1:22" x14ac:dyDescent="0.25">
      <c r="A48" s="192">
        <v>2021</v>
      </c>
      <c r="B48" s="192" t="s">
        <v>818</v>
      </c>
      <c r="C48" s="193" t="s">
        <v>67</v>
      </c>
      <c r="D48" s="194" t="s">
        <v>819</v>
      </c>
      <c r="E48" s="194" t="s">
        <v>819</v>
      </c>
      <c r="F48" s="194" t="s">
        <v>67</v>
      </c>
      <c r="G48" s="193" t="s">
        <v>420</v>
      </c>
      <c r="H48" s="195">
        <v>0</v>
      </c>
      <c r="I48" s="195">
        <v>3</v>
      </c>
      <c r="J48" s="196"/>
      <c r="K48" s="195">
        <v>363668.25</v>
      </c>
      <c r="L48" s="195">
        <v>0</v>
      </c>
      <c r="M48" s="195">
        <v>363668.25</v>
      </c>
      <c r="N48" s="196"/>
      <c r="O48" s="195">
        <v>133124.75</v>
      </c>
      <c r="P48" s="195">
        <v>0</v>
      </c>
      <c r="Q48" s="195">
        <v>133124.75</v>
      </c>
      <c r="R48" s="196"/>
      <c r="S48" s="195">
        <v>496793</v>
      </c>
      <c r="T48" s="195">
        <v>0</v>
      </c>
      <c r="U48" s="195">
        <v>496793</v>
      </c>
      <c r="V48" s="185"/>
    </row>
    <row r="49" spans="1:22" x14ac:dyDescent="0.25">
      <c r="A49" s="192">
        <v>2021</v>
      </c>
      <c r="B49" s="192" t="s">
        <v>820</v>
      </c>
      <c r="C49" s="193" t="s">
        <v>68</v>
      </c>
      <c r="D49" s="194" t="s">
        <v>819</v>
      </c>
      <c r="E49" s="194" t="s">
        <v>819</v>
      </c>
      <c r="F49" s="194" t="s">
        <v>68</v>
      </c>
      <c r="G49" s="193" t="s">
        <v>421</v>
      </c>
      <c r="H49" s="195">
        <v>0</v>
      </c>
      <c r="I49" s="195">
        <v>0</v>
      </c>
      <c r="J49" s="196"/>
      <c r="K49" s="195">
        <v>0</v>
      </c>
      <c r="L49" s="195">
        <v>0</v>
      </c>
      <c r="M49" s="195">
        <v>0</v>
      </c>
      <c r="N49" s="196"/>
      <c r="O49" s="195">
        <v>0</v>
      </c>
      <c r="P49" s="195">
        <v>0</v>
      </c>
      <c r="Q49" s="195">
        <v>0</v>
      </c>
      <c r="R49" s="196"/>
      <c r="S49" s="195">
        <v>0</v>
      </c>
      <c r="T49" s="195">
        <v>0</v>
      </c>
      <c r="U49" s="195">
        <v>0</v>
      </c>
      <c r="V49" s="185"/>
    </row>
    <row r="50" spans="1:22" x14ac:dyDescent="0.25">
      <c r="A50" s="192">
        <v>2021</v>
      </c>
      <c r="B50" s="192" t="s">
        <v>825</v>
      </c>
      <c r="C50" s="193" t="s">
        <v>69</v>
      </c>
      <c r="D50" s="194" t="s">
        <v>819</v>
      </c>
      <c r="E50" s="194" t="s">
        <v>819</v>
      </c>
      <c r="F50" s="194" t="s">
        <v>69</v>
      </c>
      <c r="G50" s="193" t="s">
        <v>422</v>
      </c>
      <c r="H50" s="195">
        <v>0</v>
      </c>
      <c r="I50" s="195">
        <v>5</v>
      </c>
      <c r="J50" s="196"/>
      <c r="K50" s="195">
        <v>5505719.25</v>
      </c>
      <c r="L50" s="195">
        <v>0</v>
      </c>
      <c r="M50" s="195">
        <v>5505719.25</v>
      </c>
      <c r="N50" s="196"/>
      <c r="O50" s="195">
        <v>2145388.75</v>
      </c>
      <c r="P50" s="195">
        <v>0</v>
      </c>
      <c r="Q50" s="195">
        <v>2145388.75</v>
      </c>
      <c r="R50" s="196"/>
      <c r="S50" s="195">
        <v>7651108</v>
      </c>
      <c r="T50" s="195">
        <v>0</v>
      </c>
      <c r="U50" s="195">
        <v>7651108</v>
      </c>
      <c r="V50" s="185"/>
    </row>
    <row r="51" spans="1:22" x14ac:dyDescent="0.25">
      <c r="A51" s="192">
        <v>2021</v>
      </c>
      <c r="B51" s="192" t="s">
        <v>825</v>
      </c>
      <c r="C51" s="193" t="s">
        <v>70</v>
      </c>
      <c r="D51" s="194" t="s">
        <v>819</v>
      </c>
      <c r="E51" s="194" t="s">
        <v>819</v>
      </c>
      <c r="F51" s="194" t="s">
        <v>70</v>
      </c>
      <c r="G51" s="193" t="s">
        <v>423</v>
      </c>
      <c r="H51" s="195">
        <v>0</v>
      </c>
      <c r="I51" s="195">
        <v>6</v>
      </c>
      <c r="J51" s="196"/>
      <c r="K51" s="195">
        <v>351669.75</v>
      </c>
      <c r="L51" s="195">
        <v>0</v>
      </c>
      <c r="M51" s="195">
        <v>351669.75</v>
      </c>
      <c r="N51" s="196"/>
      <c r="O51" s="195">
        <v>126639.25</v>
      </c>
      <c r="P51" s="195">
        <v>0</v>
      </c>
      <c r="Q51" s="195">
        <v>126639.25</v>
      </c>
      <c r="R51" s="196"/>
      <c r="S51" s="195">
        <v>478309</v>
      </c>
      <c r="T51" s="195">
        <v>0</v>
      </c>
      <c r="U51" s="195">
        <v>478309</v>
      </c>
      <c r="V51" s="185"/>
    </row>
    <row r="52" spans="1:22" x14ac:dyDescent="0.25">
      <c r="A52" s="192">
        <v>2021</v>
      </c>
      <c r="B52" s="192" t="s">
        <v>824</v>
      </c>
      <c r="C52" s="193" t="s">
        <v>71</v>
      </c>
      <c r="D52" s="194" t="s">
        <v>819</v>
      </c>
      <c r="E52" s="194" t="s">
        <v>819</v>
      </c>
      <c r="F52" s="194" t="s">
        <v>71</v>
      </c>
      <c r="G52" s="193" t="s">
        <v>424</v>
      </c>
      <c r="H52" s="195">
        <v>2</v>
      </c>
      <c r="I52" s="195">
        <v>1</v>
      </c>
      <c r="J52" s="196"/>
      <c r="K52" s="195">
        <v>117495.75</v>
      </c>
      <c r="L52" s="195">
        <v>78330.5</v>
      </c>
      <c r="M52" s="195">
        <v>39165.25</v>
      </c>
      <c r="N52" s="196"/>
      <c r="O52" s="195">
        <v>50214.25</v>
      </c>
      <c r="P52" s="195">
        <v>33476.17</v>
      </c>
      <c r="Q52" s="195">
        <v>16738.080000000002</v>
      </c>
      <c r="R52" s="196"/>
      <c r="S52" s="195">
        <v>167710</v>
      </c>
      <c r="T52" s="195">
        <v>111806.67</v>
      </c>
      <c r="U52" s="195">
        <v>55903.33</v>
      </c>
      <c r="V52" s="185"/>
    </row>
    <row r="53" spans="1:22" x14ac:dyDescent="0.25">
      <c r="A53" s="192">
        <v>2021</v>
      </c>
      <c r="B53" s="192" t="s">
        <v>825</v>
      </c>
      <c r="C53" s="193" t="s">
        <v>75</v>
      </c>
      <c r="D53" s="194" t="s">
        <v>819</v>
      </c>
      <c r="E53" s="194" t="s">
        <v>819</v>
      </c>
      <c r="F53" s="194" t="s">
        <v>75</v>
      </c>
      <c r="G53" s="193" t="s">
        <v>428</v>
      </c>
      <c r="H53" s="195">
        <v>0</v>
      </c>
      <c r="I53" s="195">
        <v>0</v>
      </c>
      <c r="J53" s="196"/>
      <c r="K53" s="195">
        <v>0</v>
      </c>
      <c r="L53" s="195">
        <v>0</v>
      </c>
      <c r="M53" s="195">
        <v>0</v>
      </c>
      <c r="N53" s="196"/>
      <c r="O53" s="195">
        <v>0</v>
      </c>
      <c r="P53" s="195">
        <v>0</v>
      </c>
      <c r="Q53" s="195">
        <v>0</v>
      </c>
      <c r="R53" s="196"/>
      <c r="S53" s="195">
        <v>0</v>
      </c>
      <c r="T53" s="195">
        <v>0</v>
      </c>
      <c r="U53" s="195">
        <v>0</v>
      </c>
      <c r="V53" s="185"/>
    </row>
    <row r="54" spans="1:22" x14ac:dyDescent="0.25">
      <c r="A54" s="192">
        <v>2021</v>
      </c>
      <c r="B54" s="192" t="s">
        <v>827</v>
      </c>
      <c r="C54" s="193" t="s">
        <v>73</v>
      </c>
      <c r="D54" s="194" t="s">
        <v>819</v>
      </c>
      <c r="E54" s="194" t="s">
        <v>819</v>
      </c>
      <c r="F54" s="194" t="s">
        <v>73</v>
      </c>
      <c r="G54" s="193" t="s">
        <v>426</v>
      </c>
      <c r="H54" s="195">
        <v>0</v>
      </c>
      <c r="I54" s="195">
        <v>1</v>
      </c>
      <c r="J54" s="196"/>
      <c r="K54" s="195">
        <v>26837.25</v>
      </c>
      <c r="L54" s="195">
        <v>0</v>
      </c>
      <c r="M54" s="195">
        <v>26837.25</v>
      </c>
      <c r="N54" s="196"/>
      <c r="O54" s="195">
        <v>11165.75</v>
      </c>
      <c r="P54" s="195">
        <v>0</v>
      </c>
      <c r="Q54" s="195">
        <v>11165.75</v>
      </c>
      <c r="R54" s="196"/>
      <c r="S54" s="195">
        <v>38003</v>
      </c>
      <c r="T54" s="195">
        <v>0</v>
      </c>
      <c r="U54" s="195">
        <v>38003</v>
      </c>
      <c r="V54" s="185"/>
    </row>
    <row r="55" spans="1:22" x14ac:dyDescent="0.25">
      <c r="A55" s="192">
        <v>2021</v>
      </c>
      <c r="B55" s="192" t="s">
        <v>828</v>
      </c>
      <c r="C55" s="193" t="s">
        <v>74</v>
      </c>
      <c r="D55" s="194" t="s">
        <v>819</v>
      </c>
      <c r="E55" s="194" t="s">
        <v>819</v>
      </c>
      <c r="F55" s="194" t="s">
        <v>74</v>
      </c>
      <c r="G55" s="193" t="s">
        <v>427</v>
      </c>
      <c r="H55" s="195">
        <v>0</v>
      </c>
      <c r="I55" s="195">
        <v>7</v>
      </c>
      <c r="J55" s="196"/>
      <c r="K55" s="195">
        <v>523118.25</v>
      </c>
      <c r="L55" s="195">
        <v>0</v>
      </c>
      <c r="M55" s="195">
        <v>523118.25</v>
      </c>
      <c r="N55" s="196"/>
      <c r="O55" s="195">
        <v>191129.75</v>
      </c>
      <c r="P55" s="195">
        <v>0</v>
      </c>
      <c r="Q55" s="195">
        <v>191129.75</v>
      </c>
      <c r="R55" s="196"/>
      <c r="S55" s="195">
        <v>714248</v>
      </c>
      <c r="T55" s="195">
        <v>0</v>
      </c>
      <c r="U55" s="195">
        <v>714248</v>
      </c>
      <c r="V55" s="185"/>
    </row>
    <row r="56" spans="1:22" x14ac:dyDescent="0.25">
      <c r="A56" s="192">
        <v>2021</v>
      </c>
      <c r="B56" s="192" t="s">
        <v>821</v>
      </c>
      <c r="C56" s="193" t="s">
        <v>76</v>
      </c>
      <c r="D56" s="194" t="s">
        <v>819</v>
      </c>
      <c r="E56" s="194" t="s">
        <v>819</v>
      </c>
      <c r="F56" s="194" t="s">
        <v>76</v>
      </c>
      <c r="G56" s="193" t="s">
        <v>429</v>
      </c>
      <c r="H56" s="195">
        <v>0</v>
      </c>
      <c r="I56" s="195">
        <v>2</v>
      </c>
      <c r="J56" s="196"/>
      <c r="K56" s="195">
        <v>34384.5</v>
      </c>
      <c r="L56" s="195">
        <v>0</v>
      </c>
      <c r="M56" s="195">
        <v>34384.5</v>
      </c>
      <c r="N56" s="196"/>
      <c r="O56" s="195">
        <v>13517.5</v>
      </c>
      <c r="P56" s="195">
        <v>0</v>
      </c>
      <c r="Q56" s="195">
        <v>13517.5</v>
      </c>
      <c r="R56" s="196"/>
      <c r="S56" s="195">
        <v>47902</v>
      </c>
      <c r="T56" s="195">
        <v>0</v>
      </c>
      <c r="U56" s="195">
        <v>47902</v>
      </c>
      <c r="V56" s="185"/>
    </row>
    <row r="57" spans="1:22" x14ac:dyDescent="0.25">
      <c r="A57" s="192">
        <v>2021</v>
      </c>
      <c r="B57" s="192" t="s">
        <v>824</v>
      </c>
      <c r="C57" s="193" t="s">
        <v>72</v>
      </c>
      <c r="D57" s="194" t="s">
        <v>819</v>
      </c>
      <c r="E57" s="194" t="s">
        <v>819</v>
      </c>
      <c r="F57" s="194" t="s">
        <v>72</v>
      </c>
      <c r="G57" s="193" t="s">
        <v>425</v>
      </c>
      <c r="H57" s="195">
        <v>0</v>
      </c>
      <c r="I57" s="195">
        <v>1</v>
      </c>
      <c r="J57" s="196"/>
      <c r="K57" s="195">
        <v>31892.25</v>
      </c>
      <c r="L57" s="195">
        <v>0</v>
      </c>
      <c r="M57" s="195">
        <v>31892.25</v>
      </c>
      <c r="N57" s="196"/>
      <c r="O57" s="195">
        <v>11226.75</v>
      </c>
      <c r="P57" s="195">
        <v>0</v>
      </c>
      <c r="Q57" s="195">
        <v>11226.75</v>
      </c>
      <c r="R57" s="196"/>
      <c r="S57" s="195">
        <v>43119</v>
      </c>
      <c r="T57" s="195">
        <v>0</v>
      </c>
      <c r="U57" s="195">
        <v>43119</v>
      </c>
      <c r="V57" s="185"/>
    </row>
    <row r="58" spans="1:22" x14ac:dyDescent="0.25">
      <c r="A58" s="192">
        <v>2021</v>
      </c>
      <c r="B58" s="192" t="s">
        <v>822</v>
      </c>
      <c r="C58" s="193" t="s">
        <v>77</v>
      </c>
      <c r="D58" s="194" t="s">
        <v>819</v>
      </c>
      <c r="E58" s="194" t="s">
        <v>819</v>
      </c>
      <c r="F58" s="194" t="s">
        <v>77</v>
      </c>
      <c r="G58" s="193" t="s">
        <v>430</v>
      </c>
      <c r="H58" s="195">
        <v>0</v>
      </c>
      <c r="I58" s="195">
        <v>8</v>
      </c>
      <c r="J58" s="196"/>
      <c r="K58" s="195">
        <v>285503.25</v>
      </c>
      <c r="L58" s="195">
        <v>0</v>
      </c>
      <c r="M58" s="195">
        <v>285503.25</v>
      </c>
      <c r="N58" s="196"/>
      <c r="O58" s="195">
        <v>103264.75</v>
      </c>
      <c r="P58" s="195">
        <v>0</v>
      </c>
      <c r="Q58" s="195">
        <v>103264.75</v>
      </c>
      <c r="R58" s="196"/>
      <c r="S58" s="195">
        <v>388768</v>
      </c>
      <c r="T58" s="195">
        <v>0</v>
      </c>
      <c r="U58" s="195">
        <v>388768</v>
      </c>
      <c r="V58" s="185"/>
    </row>
    <row r="59" spans="1:22" x14ac:dyDescent="0.25">
      <c r="A59" s="192">
        <v>2021</v>
      </c>
      <c r="B59" s="192" t="s">
        <v>820</v>
      </c>
      <c r="C59" s="193" t="s">
        <v>229</v>
      </c>
      <c r="D59" s="194" t="s">
        <v>819</v>
      </c>
      <c r="E59" s="194" t="s">
        <v>819</v>
      </c>
      <c r="F59" s="194" t="s">
        <v>229</v>
      </c>
      <c r="G59" s="193" t="s">
        <v>579</v>
      </c>
      <c r="H59" s="195">
        <v>0</v>
      </c>
      <c r="I59" s="195">
        <v>7</v>
      </c>
      <c r="J59" s="196"/>
      <c r="K59" s="195">
        <v>237122.25</v>
      </c>
      <c r="L59" s="195">
        <v>0</v>
      </c>
      <c r="M59" s="195">
        <v>237122.25</v>
      </c>
      <c r="N59" s="196"/>
      <c r="O59" s="195">
        <v>90397.75</v>
      </c>
      <c r="P59" s="195">
        <v>0</v>
      </c>
      <c r="Q59" s="195">
        <v>90397.75</v>
      </c>
      <c r="R59" s="196"/>
      <c r="S59" s="195">
        <v>327520</v>
      </c>
      <c r="T59" s="195">
        <v>0</v>
      </c>
      <c r="U59" s="195">
        <v>327520</v>
      </c>
      <c r="V59" s="185"/>
    </row>
    <row r="60" spans="1:22" x14ac:dyDescent="0.25">
      <c r="A60" s="192">
        <v>2021</v>
      </c>
      <c r="B60" s="192" t="s">
        <v>824</v>
      </c>
      <c r="C60" s="193" t="s">
        <v>78</v>
      </c>
      <c r="D60" s="194" t="s">
        <v>819</v>
      </c>
      <c r="E60" s="194" t="s">
        <v>819</v>
      </c>
      <c r="F60" s="194" t="s">
        <v>78</v>
      </c>
      <c r="G60" s="193" t="s">
        <v>431</v>
      </c>
      <c r="H60" s="195">
        <v>1</v>
      </c>
      <c r="I60" s="195">
        <v>1</v>
      </c>
      <c r="J60" s="196"/>
      <c r="K60" s="195">
        <v>96325.5</v>
      </c>
      <c r="L60" s="195">
        <v>48162.75</v>
      </c>
      <c r="M60" s="195">
        <v>48162.75</v>
      </c>
      <c r="N60" s="196"/>
      <c r="O60" s="195">
        <v>35620.5</v>
      </c>
      <c r="P60" s="195">
        <v>17810.25</v>
      </c>
      <c r="Q60" s="195">
        <v>17810.25</v>
      </c>
      <c r="R60" s="196"/>
      <c r="S60" s="195">
        <v>131946</v>
      </c>
      <c r="T60" s="195">
        <v>65973</v>
      </c>
      <c r="U60" s="195">
        <v>65973</v>
      </c>
      <c r="V60" s="185"/>
    </row>
    <row r="61" spans="1:22" x14ac:dyDescent="0.25">
      <c r="A61" s="192">
        <v>2021</v>
      </c>
      <c r="B61" s="192" t="s">
        <v>820</v>
      </c>
      <c r="C61" s="193" t="s">
        <v>79</v>
      </c>
      <c r="D61" s="194" t="s">
        <v>819</v>
      </c>
      <c r="E61" s="194" t="s">
        <v>819</v>
      </c>
      <c r="F61" s="194" t="s">
        <v>79</v>
      </c>
      <c r="G61" s="193" t="s">
        <v>432</v>
      </c>
      <c r="H61" s="195">
        <v>1</v>
      </c>
      <c r="I61" s="195">
        <v>5</v>
      </c>
      <c r="J61" s="196"/>
      <c r="K61" s="195">
        <v>410794.5</v>
      </c>
      <c r="L61" s="195">
        <v>68465.75</v>
      </c>
      <c r="M61" s="195">
        <v>342328.75</v>
      </c>
      <c r="N61" s="196"/>
      <c r="O61" s="195">
        <v>151354.5</v>
      </c>
      <c r="P61" s="195">
        <v>25225.75</v>
      </c>
      <c r="Q61" s="195">
        <v>126128.75</v>
      </c>
      <c r="R61" s="196"/>
      <c r="S61" s="195">
        <v>562149</v>
      </c>
      <c r="T61" s="195">
        <v>93691.5</v>
      </c>
      <c r="U61" s="195">
        <v>468457.5</v>
      </c>
      <c r="V61" s="185"/>
    </row>
    <row r="62" spans="1:22" x14ac:dyDescent="0.25">
      <c r="A62" s="192">
        <v>2021</v>
      </c>
      <c r="B62" s="192" t="s">
        <v>822</v>
      </c>
      <c r="C62" s="193" t="s">
        <v>80</v>
      </c>
      <c r="D62" s="194" t="s">
        <v>819</v>
      </c>
      <c r="E62" s="194" t="s">
        <v>819</v>
      </c>
      <c r="F62" s="194" t="s">
        <v>80</v>
      </c>
      <c r="G62" s="193" t="s">
        <v>433</v>
      </c>
      <c r="H62" s="195">
        <v>3</v>
      </c>
      <c r="I62" s="195">
        <v>3</v>
      </c>
      <c r="J62" s="196"/>
      <c r="K62" s="195">
        <v>73758</v>
      </c>
      <c r="L62" s="195">
        <v>36879</v>
      </c>
      <c r="M62" s="195">
        <v>36879</v>
      </c>
      <c r="N62" s="196"/>
      <c r="O62" s="195">
        <v>25684</v>
      </c>
      <c r="P62" s="195">
        <v>12842</v>
      </c>
      <c r="Q62" s="195">
        <v>12842</v>
      </c>
      <c r="R62" s="196"/>
      <c r="S62" s="195">
        <v>99442</v>
      </c>
      <c r="T62" s="195">
        <v>49721</v>
      </c>
      <c r="U62" s="195">
        <v>49721</v>
      </c>
      <c r="V62" s="185"/>
    </row>
    <row r="63" spans="1:22" x14ac:dyDescent="0.25">
      <c r="A63" s="192">
        <v>2021</v>
      </c>
      <c r="B63" s="192" t="s">
        <v>822</v>
      </c>
      <c r="C63" s="193" t="s">
        <v>81</v>
      </c>
      <c r="D63" s="194" t="s">
        <v>819</v>
      </c>
      <c r="E63" s="194" t="s">
        <v>819</v>
      </c>
      <c r="F63" s="194" t="s">
        <v>81</v>
      </c>
      <c r="G63" s="193" t="s">
        <v>434</v>
      </c>
      <c r="H63" s="195">
        <v>0</v>
      </c>
      <c r="I63" s="195">
        <v>5</v>
      </c>
      <c r="J63" s="196"/>
      <c r="K63" s="195">
        <v>224491.5</v>
      </c>
      <c r="L63" s="195">
        <v>0</v>
      </c>
      <c r="M63" s="195">
        <v>224491.5</v>
      </c>
      <c r="N63" s="196"/>
      <c r="O63" s="195">
        <v>78186.5</v>
      </c>
      <c r="P63" s="195">
        <v>0</v>
      </c>
      <c r="Q63" s="195">
        <v>78186.5</v>
      </c>
      <c r="R63" s="196"/>
      <c r="S63" s="195">
        <v>302678</v>
      </c>
      <c r="T63" s="195">
        <v>0</v>
      </c>
      <c r="U63" s="195">
        <v>302678</v>
      </c>
      <c r="V63" s="185"/>
    </row>
    <row r="64" spans="1:22" x14ac:dyDescent="0.25">
      <c r="A64" s="192">
        <v>2021</v>
      </c>
      <c r="B64" s="192" t="s">
        <v>821</v>
      </c>
      <c r="C64" s="193" t="s">
        <v>82</v>
      </c>
      <c r="D64" s="194" t="s">
        <v>819</v>
      </c>
      <c r="E64" s="194" t="s">
        <v>819</v>
      </c>
      <c r="F64" s="194" t="s">
        <v>82</v>
      </c>
      <c r="G64" s="193" t="s">
        <v>435</v>
      </c>
      <c r="H64" s="195">
        <v>0</v>
      </c>
      <c r="I64" s="195">
        <v>8</v>
      </c>
      <c r="J64" s="196"/>
      <c r="K64" s="195">
        <v>308267.25</v>
      </c>
      <c r="L64" s="195">
        <v>0</v>
      </c>
      <c r="M64" s="195">
        <v>308267.25</v>
      </c>
      <c r="N64" s="196"/>
      <c r="O64" s="195">
        <v>113459.75</v>
      </c>
      <c r="P64" s="195">
        <v>0</v>
      </c>
      <c r="Q64" s="195">
        <v>113459.75</v>
      </c>
      <c r="R64" s="196"/>
      <c r="S64" s="195">
        <v>421727</v>
      </c>
      <c r="T64" s="195">
        <v>0</v>
      </c>
      <c r="U64" s="195">
        <v>421727</v>
      </c>
      <c r="V64" s="185"/>
    </row>
    <row r="65" spans="1:22" x14ac:dyDescent="0.25">
      <c r="A65" s="192">
        <v>2021</v>
      </c>
      <c r="B65" s="192" t="s">
        <v>823</v>
      </c>
      <c r="C65" s="193" t="s">
        <v>83</v>
      </c>
      <c r="D65" s="194" t="s">
        <v>829</v>
      </c>
      <c r="E65" s="194" t="s">
        <v>819</v>
      </c>
      <c r="F65" s="194" t="s">
        <v>83</v>
      </c>
      <c r="G65" s="193" t="s">
        <v>436</v>
      </c>
      <c r="H65" s="195">
        <v>0</v>
      </c>
      <c r="I65" s="195">
        <v>8</v>
      </c>
      <c r="J65" s="196"/>
      <c r="K65" s="195">
        <v>266000.25</v>
      </c>
      <c r="L65" s="195">
        <v>0</v>
      </c>
      <c r="M65" s="195">
        <v>266000.25</v>
      </c>
      <c r="N65" s="196"/>
      <c r="O65" s="195">
        <v>99973.75</v>
      </c>
      <c r="P65" s="195">
        <v>0</v>
      </c>
      <c r="Q65" s="195">
        <v>99973.75</v>
      </c>
      <c r="R65" s="196"/>
      <c r="S65" s="195">
        <v>365974</v>
      </c>
      <c r="T65" s="195">
        <v>0</v>
      </c>
      <c r="U65" s="195">
        <v>365974</v>
      </c>
      <c r="V65" s="185"/>
    </row>
    <row r="66" spans="1:22" x14ac:dyDescent="0.25">
      <c r="A66" s="192">
        <v>2021</v>
      </c>
      <c r="B66" s="192" t="s">
        <v>821</v>
      </c>
      <c r="C66" s="193" t="s">
        <v>84</v>
      </c>
      <c r="D66" s="194" t="s">
        <v>819</v>
      </c>
      <c r="E66" s="194" t="s">
        <v>819</v>
      </c>
      <c r="F66" s="194" t="s">
        <v>84</v>
      </c>
      <c r="G66" s="193" t="s">
        <v>437</v>
      </c>
      <c r="H66" s="195">
        <v>5</v>
      </c>
      <c r="I66" s="195">
        <v>0</v>
      </c>
      <c r="J66" s="196"/>
      <c r="K66" s="195">
        <v>224106.75</v>
      </c>
      <c r="L66" s="195">
        <v>224106.75</v>
      </c>
      <c r="M66" s="195">
        <v>0</v>
      </c>
      <c r="N66" s="196"/>
      <c r="O66" s="195">
        <v>81950.25</v>
      </c>
      <c r="P66" s="195">
        <v>81950.25</v>
      </c>
      <c r="Q66" s="195">
        <v>0</v>
      </c>
      <c r="R66" s="196"/>
      <c r="S66" s="195">
        <v>306057</v>
      </c>
      <c r="T66" s="195">
        <v>306057</v>
      </c>
      <c r="U66" s="195">
        <v>0</v>
      </c>
      <c r="V66" s="185"/>
    </row>
    <row r="67" spans="1:22" x14ac:dyDescent="0.25">
      <c r="A67" s="192">
        <v>2021</v>
      </c>
      <c r="B67" s="192" t="s">
        <v>820</v>
      </c>
      <c r="C67" s="193" t="s">
        <v>85</v>
      </c>
      <c r="D67" s="194" t="s">
        <v>819</v>
      </c>
      <c r="E67" s="194" t="s">
        <v>819</v>
      </c>
      <c r="F67" s="194" t="s">
        <v>85</v>
      </c>
      <c r="G67" s="193" t="s">
        <v>438</v>
      </c>
      <c r="H67" s="195">
        <v>3</v>
      </c>
      <c r="I67" s="195">
        <v>6</v>
      </c>
      <c r="J67" s="196"/>
      <c r="K67" s="195">
        <v>112521</v>
      </c>
      <c r="L67" s="195">
        <v>37507</v>
      </c>
      <c r="M67" s="195">
        <v>75014</v>
      </c>
      <c r="N67" s="196"/>
      <c r="O67" s="195">
        <v>41097</v>
      </c>
      <c r="P67" s="195">
        <v>13699</v>
      </c>
      <c r="Q67" s="195">
        <v>27398</v>
      </c>
      <c r="R67" s="196"/>
      <c r="S67" s="195">
        <v>153618</v>
      </c>
      <c r="T67" s="195">
        <v>51206</v>
      </c>
      <c r="U67" s="195">
        <v>102412</v>
      </c>
      <c r="V67" s="185"/>
    </row>
    <row r="68" spans="1:22" x14ac:dyDescent="0.25">
      <c r="A68" s="192">
        <v>2021</v>
      </c>
      <c r="B68" s="192" t="s">
        <v>823</v>
      </c>
      <c r="C68" s="193" t="s">
        <v>86</v>
      </c>
      <c r="D68" s="194" t="s">
        <v>819</v>
      </c>
      <c r="E68" s="194" t="s">
        <v>819</v>
      </c>
      <c r="F68" s="194" t="s">
        <v>86</v>
      </c>
      <c r="G68" s="193" t="s">
        <v>439</v>
      </c>
      <c r="H68" s="195">
        <v>0</v>
      </c>
      <c r="I68" s="195">
        <v>1</v>
      </c>
      <c r="J68" s="196"/>
      <c r="K68" s="195">
        <v>16466.25</v>
      </c>
      <c r="L68" s="195">
        <v>0</v>
      </c>
      <c r="M68" s="195">
        <v>16466.25</v>
      </c>
      <c r="N68" s="196"/>
      <c r="O68" s="195">
        <v>6004.75</v>
      </c>
      <c r="P68" s="195">
        <v>0</v>
      </c>
      <c r="Q68" s="195">
        <v>6004.75</v>
      </c>
      <c r="R68" s="196"/>
      <c r="S68" s="195">
        <v>22471</v>
      </c>
      <c r="T68" s="195">
        <v>0</v>
      </c>
      <c r="U68" s="195">
        <v>22471</v>
      </c>
      <c r="V68" s="185"/>
    </row>
    <row r="69" spans="1:22" x14ac:dyDescent="0.25">
      <c r="A69" s="192">
        <v>2021</v>
      </c>
      <c r="B69" s="192" t="s">
        <v>827</v>
      </c>
      <c r="C69" s="193" t="s">
        <v>149</v>
      </c>
      <c r="D69" s="194" t="s">
        <v>819</v>
      </c>
      <c r="E69" s="194" t="s">
        <v>819</v>
      </c>
      <c r="F69" s="194" t="s">
        <v>149</v>
      </c>
      <c r="G69" s="193" t="s">
        <v>501</v>
      </c>
      <c r="H69" s="195">
        <v>0</v>
      </c>
      <c r="I69" s="195">
        <v>0</v>
      </c>
      <c r="J69" s="196"/>
      <c r="K69" s="195">
        <v>0</v>
      </c>
      <c r="L69" s="195">
        <v>0</v>
      </c>
      <c r="M69" s="195">
        <v>0</v>
      </c>
      <c r="N69" s="196"/>
      <c r="O69" s="195">
        <v>0</v>
      </c>
      <c r="P69" s="195">
        <v>0</v>
      </c>
      <c r="Q69" s="195">
        <v>0</v>
      </c>
      <c r="R69" s="196"/>
      <c r="S69" s="195">
        <v>0</v>
      </c>
      <c r="T69" s="195">
        <v>0</v>
      </c>
      <c r="U69" s="195">
        <v>0</v>
      </c>
      <c r="V69" s="185"/>
    </row>
    <row r="70" spans="1:22" x14ac:dyDescent="0.25">
      <c r="A70" s="192">
        <v>2021</v>
      </c>
      <c r="B70" s="192" t="s">
        <v>825</v>
      </c>
      <c r="C70" s="193" t="s">
        <v>87</v>
      </c>
      <c r="D70" s="194" t="s">
        <v>830</v>
      </c>
      <c r="E70" s="194" t="s">
        <v>819</v>
      </c>
      <c r="F70" s="194" t="s">
        <v>87</v>
      </c>
      <c r="G70" s="193" t="s">
        <v>440</v>
      </c>
      <c r="H70" s="195">
        <v>3</v>
      </c>
      <c r="I70" s="195">
        <v>4</v>
      </c>
      <c r="J70" s="196"/>
      <c r="K70" s="195">
        <v>954420.75</v>
      </c>
      <c r="L70" s="195">
        <v>409037.46</v>
      </c>
      <c r="M70" s="195">
        <v>545383.29</v>
      </c>
      <c r="N70" s="196"/>
      <c r="O70" s="195">
        <v>360442.25</v>
      </c>
      <c r="P70" s="195">
        <v>154475.25</v>
      </c>
      <c r="Q70" s="195">
        <v>205967</v>
      </c>
      <c r="R70" s="196"/>
      <c r="S70" s="195">
        <v>1314863</v>
      </c>
      <c r="T70" s="195">
        <v>563512.71</v>
      </c>
      <c r="U70" s="195">
        <v>751350.29</v>
      </c>
      <c r="V70" s="185"/>
    </row>
    <row r="71" spans="1:22" x14ac:dyDescent="0.25">
      <c r="A71" s="192">
        <v>2021</v>
      </c>
      <c r="B71" s="192" t="s">
        <v>820</v>
      </c>
      <c r="C71" s="193" t="s">
        <v>88</v>
      </c>
      <c r="D71" s="194" t="s">
        <v>819</v>
      </c>
      <c r="E71" s="194" t="s">
        <v>819</v>
      </c>
      <c r="F71" s="194" t="s">
        <v>88</v>
      </c>
      <c r="G71" s="193" t="s">
        <v>441</v>
      </c>
      <c r="H71" s="195">
        <v>0</v>
      </c>
      <c r="I71" s="195">
        <v>5</v>
      </c>
      <c r="J71" s="196"/>
      <c r="K71" s="195">
        <v>415358.25</v>
      </c>
      <c r="L71" s="195">
        <v>0</v>
      </c>
      <c r="M71" s="195">
        <v>415358.25</v>
      </c>
      <c r="N71" s="196"/>
      <c r="O71" s="195">
        <v>183202.75</v>
      </c>
      <c r="P71" s="195">
        <v>0</v>
      </c>
      <c r="Q71" s="195">
        <v>183202.75</v>
      </c>
      <c r="R71" s="196"/>
      <c r="S71" s="195">
        <v>598561</v>
      </c>
      <c r="T71" s="195">
        <v>0</v>
      </c>
      <c r="U71" s="195">
        <v>598561</v>
      </c>
      <c r="V71" s="185"/>
    </row>
    <row r="72" spans="1:22" x14ac:dyDescent="0.25">
      <c r="A72" s="192">
        <v>2021</v>
      </c>
      <c r="B72" s="192" t="s">
        <v>828</v>
      </c>
      <c r="C72" s="193" t="s">
        <v>89</v>
      </c>
      <c r="D72" s="194" t="s">
        <v>819</v>
      </c>
      <c r="E72" s="194" t="s">
        <v>819</v>
      </c>
      <c r="F72" s="194" t="s">
        <v>89</v>
      </c>
      <c r="G72" s="193" t="s">
        <v>442</v>
      </c>
      <c r="H72" s="195">
        <v>0</v>
      </c>
      <c r="I72" s="195">
        <v>7</v>
      </c>
      <c r="J72" s="196"/>
      <c r="K72" s="195">
        <v>955956.75</v>
      </c>
      <c r="L72" s="195">
        <v>0</v>
      </c>
      <c r="M72" s="195">
        <v>955956.75</v>
      </c>
      <c r="N72" s="196"/>
      <c r="O72" s="195">
        <v>395456.25</v>
      </c>
      <c r="P72" s="195">
        <v>0</v>
      </c>
      <c r="Q72" s="195">
        <v>395456.25</v>
      </c>
      <c r="R72" s="196"/>
      <c r="S72" s="195">
        <v>1351413</v>
      </c>
      <c r="T72" s="195">
        <v>0</v>
      </c>
      <c r="U72" s="195">
        <v>1351413</v>
      </c>
      <c r="V72" s="185"/>
    </row>
    <row r="73" spans="1:22" x14ac:dyDescent="0.25">
      <c r="A73" s="192">
        <v>2021</v>
      </c>
      <c r="B73" s="192" t="s">
        <v>818</v>
      </c>
      <c r="C73" s="193" t="s">
        <v>90</v>
      </c>
      <c r="D73" s="194" t="s">
        <v>819</v>
      </c>
      <c r="E73" s="194" t="s">
        <v>819</v>
      </c>
      <c r="F73" s="194" t="s">
        <v>90</v>
      </c>
      <c r="G73" s="193" t="s">
        <v>443</v>
      </c>
      <c r="H73" s="195">
        <v>0</v>
      </c>
      <c r="I73" s="195">
        <v>5</v>
      </c>
      <c r="J73" s="196"/>
      <c r="K73" s="195">
        <v>162601.5</v>
      </c>
      <c r="L73" s="195">
        <v>0</v>
      </c>
      <c r="M73" s="195">
        <v>162601.5</v>
      </c>
      <c r="N73" s="196"/>
      <c r="O73" s="195">
        <v>57584.5</v>
      </c>
      <c r="P73" s="195">
        <v>0</v>
      </c>
      <c r="Q73" s="195">
        <v>57584.5</v>
      </c>
      <c r="R73" s="196"/>
      <c r="S73" s="195">
        <v>220186</v>
      </c>
      <c r="T73" s="195">
        <v>0</v>
      </c>
      <c r="U73" s="195">
        <v>220186</v>
      </c>
      <c r="V73" s="185"/>
    </row>
    <row r="74" spans="1:22" x14ac:dyDescent="0.25">
      <c r="A74" s="192">
        <v>2021</v>
      </c>
      <c r="B74" s="192" t="s">
        <v>825</v>
      </c>
      <c r="C74" s="193" t="s">
        <v>91</v>
      </c>
      <c r="D74" s="194" t="s">
        <v>819</v>
      </c>
      <c r="E74" s="194" t="s">
        <v>819</v>
      </c>
      <c r="F74" s="194" t="s">
        <v>91</v>
      </c>
      <c r="G74" s="193" t="s">
        <v>444</v>
      </c>
      <c r="H74" s="195">
        <v>0</v>
      </c>
      <c r="I74" s="195">
        <v>0</v>
      </c>
      <c r="J74" s="196"/>
      <c r="K74" s="195">
        <v>0</v>
      </c>
      <c r="L74" s="195">
        <v>0</v>
      </c>
      <c r="M74" s="195">
        <v>0</v>
      </c>
      <c r="N74" s="196"/>
      <c r="O74" s="195">
        <v>0</v>
      </c>
      <c r="P74" s="195">
        <v>0</v>
      </c>
      <c r="Q74" s="195">
        <v>0</v>
      </c>
      <c r="R74" s="196"/>
      <c r="S74" s="195">
        <v>0</v>
      </c>
      <c r="T74" s="195">
        <v>0</v>
      </c>
      <c r="U74" s="195">
        <v>0</v>
      </c>
      <c r="V74" s="185"/>
    </row>
    <row r="75" spans="1:22" x14ac:dyDescent="0.25">
      <c r="A75" s="192">
        <v>2021</v>
      </c>
      <c r="B75" s="192" t="s">
        <v>818</v>
      </c>
      <c r="C75" s="193" t="s">
        <v>92</v>
      </c>
      <c r="D75" s="194" t="s">
        <v>819</v>
      </c>
      <c r="E75" s="194" t="s">
        <v>819</v>
      </c>
      <c r="F75" s="194" t="s">
        <v>92</v>
      </c>
      <c r="G75" s="193" t="s">
        <v>445</v>
      </c>
      <c r="H75" s="195">
        <v>0</v>
      </c>
      <c r="I75" s="195">
        <v>7</v>
      </c>
      <c r="J75" s="196"/>
      <c r="K75" s="195">
        <v>159029.25</v>
      </c>
      <c r="L75" s="195">
        <v>0</v>
      </c>
      <c r="M75" s="195">
        <v>159029.25</v>
      </c>
      <c r="N75" s="196"/>
      <c r="O75" s="195">
        <v>56510.75</v>
      </c>
      <c r="P75" s="195">
        <v>0</v>
      </c>
      <c r="Q75" s="195">
        <v>56510.75</v>
      </c>
      <c r="R75" s="196"/>
      <c r="S75" s="195">
        <v>215540</v>
      </c>
      <c r="T75" s="195">
        <v>0</v>
      </c>
      <c r="U75" s="195">
        <v>215540</v>
      </c>
      <c r="V75" s="185"/>
    </row>
    <row r="76" spans="1:22" x14ac:dyDescent="0.25">
      <c r="A76" s="192">
        <v>2021</v>
      </c>
      <c r="B76" s="192" t="s">
        <v>818</v>
      </c>
      <c r="C76" s="193" t="s">
        <v>93</v>
      </c>
      <c r="D76" s="194" t="s">
        <v>819</v>
      </c>
      <c r="E76" s="194" t="s">
        <v>819</v>
      </c>
      <c r="F76" s="194" t="s">
        <v>93</v>
      </c>
      <c r="G76" s="193" t="s">
        <v>446</v>
      </c>
      <c r="H76" s="195">
        <v>0</v>
      </c>
      <c r="I76" s="195">
        <v>0</v>
      </c>
      <c r="J76" s="196"/>
      <c r="K76" s="195">
        <v>0</v>
      </c>
      <c r="L76" s="195">
        <v>0</v>
      </c>
      <c r="M76" s="195">
        <v>0</v>
      </c>
      <c r="N76" s="196"/>
      <c r="O76" s="195">
        <v>0</v>
      </c>
      <c r="P76" s="195">
        <v>0</v>
      </c>
      <c r="Q76" s="195">
        <v>0</v>
      </c>
      <c r="R76" s="196"/>
      <c r="S76" s="195">
        <v>0</v>
      </c>
      <c r="T76" s="195">
        <v>0</v>
      </c>
      <c r="U76" s="195">
        <v>0</v>
      </c>
      <c r="V76" s="185"/>
    </row>
    <row r="77" spans="1:22" x14ac:dyDescent="0.25">
      <c r="A77" s="192">
        <v>2021</v>
      </c>
      <c r="B77" s="192" t="s">
        <v>828</v>
      </c>
      <c r="C77" s="193" t="s">
        <v>94</v>
      </c>
      <c r="D77" s="194" t="s">
        <v>819</v>
      </c>
      <c r="E77" s="194" t="s">
        <v>819</v>
      </c>
      <c r="F77" s="194" t="s">
        <v>94</v>
      </c>
      <c r="G77" s="193" t="s">
        <v>447</v>
      </c>
      <c r="H77" s="195">
        <v>0</v>
      </c>
      <c r="I77" s="195">
        <v>10</v>
      </c>
      <c r="J77" s="196"/>
      <c r="K77" s="195">
        <v>252201.75</v>
      </c>
      <c r="L77" s="195">
        <v>0</v>
      </c>
      <c r="M77" s="195">
        <v>252201.75</v>
      </c>
      <c r="N77" s="196"/>
      <c r="O77" s="195">
        <v>88338.25</v>
      </c>
      <c r="P77" s="195">
        <v>0</v>
      </c>
      <c r="Q77" s="195">
        <v>88338.25</v>
      </c>
      <c r="R77" s="196"/>
      <c r="S77" s="195">
        <v>340540</v>
      </c>
      <c r="T77" s="195">
        <v>0</v>
      </c>
      <c r="U77" s="195">
        <v>340540</v>
      </c>
      <c r="V77" s="185"/>
    </row>
    <row r="78" spans="1:22" x14ac:dyDescent="0.25">
      <c r="A78" s="192">
        <v>2021</v>
      </c>
      <c r="B78" s="192" t="s">
        <v>818</v>
      </c>
      <c r="C78" s="193" t="s">
        <v>95</v>
      </c>
      <c r="D78" s="194" t="s">
        <v>819</v>
      </c>
      <c r="E78" s="194" t="s">
        <v>819</v>
      </c>
      <c r="F78" s="194" t="s">
        <v>95</v>
      </c>
      <c r="G78" s="193" t="s">
        <v>448</v>
      </c>
      <c r="H78" s="195">
        <v>0</v>
      </c>
      <c r="I78" s="195">
        <v>12</v>
      </c>
      <c r="J78" s="196"/>
      <c r="K78" s="195">
        <v>173153.25</v>
      </c>
      <c r="L78" s="195">
        <v>0</v>
      </c>
      <c r="M78" s="195">
        <v>173153.25</v>
      </c>
      <c r="N78" s="196"/>
      <c r="O78" s="195">
        <v>59913.75</v>
      </c>
      <c r="P78" s="195">
        <v>0</v>
      </c>
      <c r="Q78" s="195">
        <v>59913.75</v>
      </c>
      <c r="R78" s="196"/>
      <c r="S78" s="195">
        <v>233067</v>
      </c>
      <c r="T78" s="195">
        <v>0</v>
      </c>
      <c r="U78" s="195">
        <v>233067</v>
      </c>
      <c r="V78" s="185"/>
    </row>
    <row r="79" spans="1:22" x14ac:dyDescent="0.25">
      <c r="A79" s="192">
        <v>2021</v>
      </c>
      <c r="B79" s="192" t="s">
        <v>821</v>
      </c>
      <c r="C79" s="193" t="s">
        <v>96</v>
      </c>
      <c r="D79" s="194" t="s">
        <v>819</v>
      </c>
      <c r="E79" s="194" t="s">
        <v>819</v>
      </c>
      <c r="F79" s="194" t="s">
        <v>96</v>
      </c>
      <c r="G79" s="193" t="s">
        <v>449</v>
      </c>
      <c r="H79" s="195">
        <v>0</v>
      </c>
      <c r="I79" s="195">
        <v>7</v>
      </c>
      <c r="J79" s="196"/>
      <c r="K79" s="195">
        <v>117904.5</v>
      </c>
      <c r="L79" s="195">
        <v>0</v>
      </c>
      <c r="M79" s="195">
        <v>117904.5</v>
      </c>
      <c r="N79" s="196"/>
      <c r="O79" s="195">
        <v>45119.5</v>
      </c>
      <c r="P79" s="195">
        <v>0</v>
      </c>
      <c r="Q79" s="195">
        <v>45119.5</v>
      </c>
      <c r="R79" s="196"/>
      <c r="S79" s="195">
        <v>163024</v>
      </c>
      <c r="T79" s="195">
        <v>0</v>
      </c>
      <c r="U79" s="195">
        <v>163024</v>
      </c>
      <c r="V79" s="185"/>
    </row>
    <row r="80" spans="1:22" x14ac:dyDescent="0.25">
      <c r="A80" s="192">
        <v>2021</v>
      </c>
      <c r="B80" s="192" t="s">
        <v>821</v>
      </c>
      <c r="C80" s="193" t="s">
        <v>97</v>
      </c>
      <c r="D80" s="194" t="s">
        <v>819</v>
      </c>
      <c r="E80" s="194" t="s">
        <v>819</v>
      </c>
      <c r="F80" s="194" t="s">
        <v>97</v>
      </c>
      <c r="G80" s="193" t="s">
        <v>450</v>
      </c>
      <c r="H80" s="195">
        <v>0</v>
      </c>
      <c r="I80" s="195">
        <v>0</v>
      </c>
      <c r="J80" s="196"/>
      <c r="K80" s="195">
        <v>0</v>
      </c>
      <c r="L80" s="195">
        <v>0</v>
      </c>
      <c r="M80" s="195">
        <v>0</v>
      </c>
      <c r="N80" s="196"/>
      <c r="O80" s="195">
        <v>0</v>
      </c>
      <c r="P80" s="195">
        <v>0</v>
      </c>
      <c r="Q80" s="195">
        <v>0</v>
      </c>
      <c r="R80" s="196"/>
      <c r="S80" s="195">
        <v>0</v>
      </c>
      <c r="T80" s="195">
        <v>0</v>
      </c>
      <c r="U80" s="195">
        <v>0</v>
      </c>
      <c r="V80" s="185"/>
    </row>
    <row r="81" spans="1:22" x14ac:dyDescent="0.25">
      <c r="A81" s="192">
        <v>2021</v>
      </c>
      <c r="B81" s="192" t="s">
        <v>821</v>
      </c>
      <c r="C81" s="193" t="s">
        <v>98</v>
      </c>
      <c r="D81" s="194" t="s">
        <v>831</v>
      </c>
      <c r="E81" s="194" t="s">
        <v>819</v>
      </c>
      <c r="F81" s="194" t="s">
        <v>98</v>
      </c>
      <c r="G81" s="193" t="s">
        <v>451</v>
      </c>
      <c r="H81" s="195">
        <v>2</v>
      </c>
      <c r="I81" s="195">
        <v>4</v>
      </c>
      <c r="J81" s="196"/>
      <c r="K81" s="195">
        <v>332652</v>
      </c>
      <c r="L81" s="195">
        <v>110884</v>
      </c>
      <c r="M81" s="195">
        <v>221768</v>
      </c>
      <c r="N81" s="196"/>
      <c r="O81" s="195">
        <v>123461</v>
      </c>
      <c r="P81" s="195">
        <v>41153.67</v>
      </c>
      <c r="Q81" s="195">
        <v>82307.33</v>
      </c>
      <c r="R81" s="196"/>
      <c r="S81" s="195">
        <v>456113</v>
      </c>
      <c r="T81" s="195">
        <v>152037.66999999998</v>
      </c>
      <c r="U81" s="195">
        <v>304075.33</v>
      </c>
      <c r="V81" s="185"/>
    </row>
    <row r="82" spans="1:22" x14ac:dyDescent="0.25">
      <c r="A82" s="192">
        <v>2021</v>
      </c>
      <c r="B82" s="192" t="s">
        <v>818</v>
      </c>
      <c r="C82" s="193" t="s">
        <v>99</v>
      </c>
      <c r="D82" s="194" t="s">
        <v>819</v>
      </c>
      <c r="E82" s="194" t="s">
        <v>819</v>
      </c>
      <c r="F82" s="194" t="s">
        <v>99</v>
      </c>
      <c r="G82" s="193" t="s">
        <v>452</v>
      </c>
      <c r="H82" s="195">
        <v>0</v>
      </c>
      <c r="I82" s="195">
        <v>0</v>
      </c>
      <c r="J82" s="196"/>
      <c r="K82" s="195">
        <v>0</v>
      </c>
      <c r="L82" s="195">
        <v>0</v>
      </c>
      <c r="M82" s="195">
        <v>0</v>
      </c>
      <c r="N82" s="196"/>
      <c r="O82" s="195">
        <v>0</v>
      </c>
      <c r="P82" s="195">
        <v>0</v>
      </c>
      <c r="Q82" s="195">
        <v>0</v>
      </c>
      <c r="R82" s="196"/>
      <c r="S82" s="195">
        <v>0</v>
      </c>
      <c r="T82" s="195">
        <v>0</v>
      </c>
      <c r="U82" s="195">
        <v>0</v>
      </c>
      <c r="V82" s="185"/>
    </row>
    <row r="83" spans="1:22" x14ac:dyDescent="0.25">
      <c r="A83" s="192">
        <v>2021</v>
      </c>
      <c r="B83" s="192" t="s">
        <v>824</v>
      </c>
      <c r="C83" s="193" t="s">
        <v>100</v>
      </c>
      <c r="D83" s="194" t="s">
        <v>819</v>
      </c>
      <c r="E83" s="194" t="s">
        <v>819</v>
      </c>
      <c r="F83" s="194" t="s">
        <v>100</v>
      </c>
      <c r="G83" s="193" t="s">
        <v>453</v>
      </c>
      <c r="H83" s="195">
        <v>0</v>
      </c>
      <c r="I83" s="195">
        <v>2</v>
      </c>
      <c r="J83" s="196"/>
      <c r="K83" s="195">
        <v>43204.5</v>
      </c>
      <c r="L83" s="195">
        <v>0</v>
      </c>
      <c r="M83" s="195">
        <v>43204.5</v>
      </c>
      <c r="N83" s="196"/>
      <c r="O83" s="195">
        <v>15996.5</v>
      </c>
      <c r="P83" s="195">
        <v>0</v>
      </c>
      <c r="Q83" s="195">
        <v>15996.5</v>
      </c>
      <c r="R83" s="196"/>
      <c r="S83" s="195">
        <v>59201</v>
      </c>
      <c r="T83" s="195">
        <v>0</v>
      </c>
      <c r="U83" s="195">
        <v>59201</v>
      </c>
      <c r="V83" s="185"/>
    </row>
    <row r="84" spans="1:22" x14ac:dyDescent="0.25">
      <c r="A84" s="192">
        <v>2021</v>
      </c>
      <c r="B84" s="192" t="s">
        <v>828</v>
      </c>
      <c r="C84" s="193" t="s">
        <v>101</v>
      </c>
      <c r="D84" s="194" t="s">
        <v>819</v>
      </c>
      <c r="E84" s="194" t="s">
        <v>819</v>
      </c>
      <c r="F84" s="194" t="s">
        <v>101</v>
      </c>
      <c r="G84" s="193" t="s">
        <v>454</v>
      </c>
      <c r="H84" s="195">
        <v>0</v>
      </c>
      <c r="I84" s="195">
        <v>0</v>
      </c>
      <c r="J84" s="196"/>
      <c r="K84" s="195">
        <v>0</v>
      </c>
      <c r="L84" s="195">
        <v>0</v>
      </c>
      <c r="M84" s="195">
        <v>0</v>
      </c>
      <c r="N84" s="196"/>
      <c r="O84" s="195">
        <v>0</v>
      </c>
      <c r="P84" s="195">
        <v>0</v>
      </c>
      <c r="Q84" s="195">
        <v>0</v>
      </c>
      <c r="R84" s="196"/>
      <c r="S84" s="195">
        <v>0</v>
      </c>
      <c r="T84" s="195">
        <v>0</v>
      </c>
      <c r="U84" s="195">
        <v>0</v>
      </c>
      <c r="V84" s="185"/>
    </row>
    <row r="85" spans="1:22" x14ac:dyDescent="0.25">
      <c r="A85" s="192">
        <v>2021</v>
      </c>
      <c r="B85" s="192" t="s">
        <v>824</v>
      </c>
      <c r="C85" s="193" t="s">
        <v>102</v>
      </c>
      <c r="D85" s="194" t="s">
        <v>819</v>
      </c>
      <c r="E85" s="194" t="s">
        <v>819</v>
      </c>
      <c r="F85" s="194" t="s">
        <v>102</v>
      </c>
      <c r="G85" s="193" t="s">
        <v>455</v>
      </c>
      <c r="H85" s="195">
        <v>0</v>
      </c>
      <c r="I85" s="195">
        <v>1</v>
      </c>
      <c r="J85" s="196"/>
      <c r="K85" s="195">
        <v>46596</v>
      </c>
      <c r="L85" s="195">
        <v>0</v>
      </c>
      <c r="M85" s="195">
        <v>46596</v>
      </c>
      <c r="N85" s="196"/>
      <c r="O85" s="195">
        <v>18067</v>
      </c>
      <c r="P85" s="195">
        <v>0</v>
      </c>
      <c r="Q85" s="195">
        <v>18067</v>
      </c>
      <c r="R85" s="196"/>
      <c r="S85" s="195">
        <v>64663</v>
      </c>
      <c r="T85" s="195">
        <v>0</v>
      </c>
      <c r="U85" s="195">
        <v>64663</v>
      </c>
      <c r="V85" s="185"/>
    </row>
    <row r="86" spans="1:22" x14ac:dyDescent="0.25">
      <c r="A86" s="192">
        <v>2021</v>
      </c>
      <c r="B86" s="192" t="s">
        <v>827</v>
      </c>
      <c r="C86" s="193" t="s">
        <v>103</v>
      </c>
      <c r="D86" s="194" t="s">
        <v>239</v>
      </c>
      <c r="E86" s="194" t="s">
        <v>819</v>
      </c>
      <c r="F86" s="194" t="s">
        <v>103</v>
      </c>
      <c r="G86" s="193" t="s">
        <v>456</v>
      </c>
      <c r="H86" s="195">
        <v>0</v>
      </c>
      <c r="I86" s="195">
        <v>7</v>
      </c>
      <c r="J86" s="196"/>
      <c r="K86" s="195">
        <v>647433.75</v>
      </c>
      <c r="L86" s="195">
        <v>0</v>
      </c>
      <c r="M86" s="195">
        <v>647433.75</v>
      </c>
      <c r="N86" s="196"/>
      <c r="O86" s="195">
        <v>257850.25</v>
      </c>
      <c r="P86" s="195">
        <v>0</v>
      </c>
      <c r="Q86" s="195">
        <v>257850.25</v>
      </c>
      <c r="R86" s="196"/>
      <c r="S86" s="195">
        <v>905284</v>
      </c>
      <c r="T86" s="195">
        <v>0</v>
      </c>
      <c r="U86" s="195">
        <v>905284</v>
      </c>
      <c r="V86" s="185"/>
    </row>
    <row r="87" spans="1:22" x14ac:dyDescent="0.25">
      <c r="A87" s="192">
        <v>2021</v>
      </c>
      <c r="B87" s="192" t="s">
        <v>828</v>
      </c>
      <c r="C87" s="193" t="s">
        <v>104</v>
      </c>
      <c r="D87" s="194" t="s">
        <v>819</v>
      </c>
      <c r="E87" s="194" t="s">
        <v>819</v>
      </c>
      <c r="F87" s="194" t="s">
        <v>104</v>
      </c>
      <c r="G87" s="193" t="s">
        <v>457</v>
      </c>
      <c r="H87" s="195">
        <v>0</v>
      </c>
      <c r="I87" s="195">
        <v>8</v>
      </c>
      <c r="J87" s="196"/>
      <c r="K87" s="195">
        <v>60780.75</v>
      </c>
      <c r="L87" s="195">
        <v>0</v>
      </c>
      <c r="M87" s="195">
        <v>60780.75</v>
      </c>
      <c r="N87" s="196"/>
      <c r="O87" s="195">
        <v>20941.25</v>
      </c>
      <c r="P87" s="195">
        <v>0</v>
      </c>
      <c r="Q87" s="195">
        <v>20941.25</v>
      </c>
      <c r="R87" s="196"/>
      <c r="S87" s="195">
        <v>81722</v>
      </c>
      <c r="T87" s="195">
        <v>0</v>
      </c>
      <c r="U87" s="195">
        <v>81722</v>
      </c>
      <c r="V87" s="185"/>
    </row>
    <row r="88" spans="1:22" x14ac:dyDescent="0.25">
      <c r="A88" s="192">
        <v>2021</v>
      </c>
      <c r="B88" s="192" t="s">
        <v>822</v>
      </c>
      <c r="C88" s="193" t="s">
        <v>105</v>
      </c>
      <c r="D88" s="194" t="s">
        <v>819</v>
      </c>
      <c r="E88" s="194" t="s">
        <v>819</v>
      </c>
      <c r="F88" s="194" t="s">
        <v>105</v>
      </c>
      <c r="G88" s="193" t="s">
        <v>458</v>
      </c>
      <c r="H88" s="195">
        <v>0</v>
      </c>
      <c r="I88" s="195">
        <v>5</v>
      </c>
      <c r="J88" s="196"/>
      <c r="K88" s="195">
        <v>330759.75</v>
      </c>
      <c r="L88" s="195">
        <v>0</v>
      </c>
      <c r="M88" s="195">
        <v>330759.75</v>
      </c>
      <c r="N88" s="196"/>
      <c r="O88" s="195">
        <v>136268.25</v>
      </c>
      <c r="P88" s="195">
        <v>0</v>
      </c>
      <c r="Q88" s="195">
        <v>136268.25</v>
      </c>
      <c r="R88" s="196"/>
      <c r="S88" s="195">
        <v>467028</v>
      </c>
      <c r="T88" s="195">
        <v>0</v>
      </c>
      <c r="U88" s="195">
        <v>467028</v>
      </c>
      <c r="V88" s="185"/>
    </row>
    <row r="89" spans="1:22" x14ac:dyDescent="0.25">
      <c r="A89" s="192">
        <v>2021</v>
      </c>
      <c r="B89" s="192" t="s">
        <v>820</v>
      </c>
      <c r="C89" s="193" t="s">
        <v>106</v>
      </c>
      <c r="D89" s="194" t="s">
        <v>819</v>
      </c>
      <c r="E89" s="194" t="s">
        <v>819</v>
      </c>
      <c r="F89" s="194" t="s">
        <v>106</v>
      </c>
      <c r="G89" s="193" t="s">
        <v>459</v>
      </c>
      <c r="H89" s="195">
        <v>0</v>
      </c>
      <c r="I89" s="195">
        <v>4</v>
      </c>
      <c r="J89" s="196"/>
      <c r="K89" s="195">
        <v>168369.75</v>
      </c>
      <c r="L89" s="195">
        <v>0</v>
      </c>
      <c r="M89" s="195">
        <v>168369.75</v>
      </c>
      <c r="N89" s="196"/>
      <c r="O89" s="195">
        <v>62660.25</v>
      </c>
      <c r="P89" s="195">
        <v>0</v>
      </c>
      <c r="Q89" s="195">
        <v>62660.25</v>
      </c>
      <c r="R89" s="196"/>
      <c r="S89" s="195">
        <v>231030</v>
      </c>
      <c r="T89" s="195">
        <v>0</v>
      </c>
      <c r="U89" s="195">
        <v>231030</v>
      </c>
      <c r="V89" s="185"/>
    </row>
    <row r="90" spans="1:22" x14ac:dyDescent="0.25">
      <c r="A90" s="192">
        <v>2021</v>
      </c>
      <c r="B90" s="192" t="s">
        <v>818</v>
      </c>
      <c r="C90" s="193" t="s">
        <v>107</v>
      </c>
      <c r="D90" s="194" t="s">
        <v>819</v>
      </c>
      <c r="E90" s="194" t="s">
        <v>819</v>
      </c>
      <c r="F90" s="194" t="s">
        <v>107</v>
      </c>
      <c r="G90" s="193" t="s">
        <v>460</v>
      </c>
      <c r="H90" s="195">
        <v>0</v>
      </c>
      <c r="I90" s="195">
        <v>0</v>
      </c>
      <c r="J90" s="196"/>
      <c r="K90" s="195">
        <v>0</v>
      </c>
      <c r="L90" s="195">
        <v>0</v>
      </c>
      <c r="M90" s="195">
        <v>0</v>
      </c>
      <c r="N90" s="196"/>
      <c r="O90" s="195">
        <v>0</v>
      </c>
      <c r="P90" s="195">
        <v>0</v>
      </c>
      <c r="Q90" s="195">
        <v>0</v>
      </c>
      <c r="R90" s="196"/>
      <c r="S90" s="195">
        <v>0</v>
      </c>
      <c r="T90" s="195">
        <v>0</v>
      </c>
      <c r="U90" s="195">
        <v>0</v>
      </c>
      <c r="V90" s="185"/>
    </row>
    <row r="91" spans="1:22" x14ac:dyDescent="0.25">
      <c r="A91" s="192">
        <v>2021</v>
      </c>
      <c r="B91" s="192" t="s">
        <v>821</v>
      </c>
      <c r="C91" s="193" t="s">
        <v>108</v>
      </c>
      <c r="D91" s="194" t="s">
        <v>819</v>
      </c>
      <c r="E91" s="194" t="s">
        <v>819</v>
      </c>
      <c r="F91" s="194" t="s">
        <v>108</v>
      </c>
      <c r="G91" s="193" t="s">
        <v>461</v>
      </c>
      <c r="H91" s="195">
        <v>0</v>
      </c>
      <c r="I91" s="195">
        <v>5</v>
      </c>
      <c r="J91" s="196"/>
      <c r="K91" s="195">
        <v>13567.5</v>
      </c>
      <c r="L91" s="195">
        <v>0</v>
      </c>
      <c r="M91" s="195">
        <v>13567.5</v>
      </c>
      <c r="N91" s="196"/>
      <c r="O91" s="195">
        <v>9381.5</v>
      </c>
      <c r="P91" s="195">
        <v>0</v>
      </c>
      <c r="Q91" s="195">
        <v>9381.5</v>
      </c>
      <c r="R91" s="196"/>
      <c r="S91" s="195">
        <v>22949</v>
      </c>
      <c r="T91" s="195">
        <v>0</v>
      </c>
      <c r="U91" s="195">
        <v>22949</v>
      </c>
      <c r="V91" s="185"/>
    </row>
    <row r="92" spans="1:22" x14ac:dyDescent="0.25">
      <c r="A92" s="192">
        <v>2021</v>
      </c>
      <c r="B92" s="192" t="s">
        <v>820</v>
      </c>
      <c r="C92" s="193" t="s">
        <v>109</v>
      </c>
      <c r="D92" s="194" t="s">
        <v>819</v>
      </c>
      <c r="E92" s="194" t="s">
        <v>819</v>
      </c>
      <c r="F92" s="194" t="s">
        <v>109</v>
      </c>
      <c r="G92" s="193" t="s">
        <v>462</v>
      </c>
      <c r="H92" s="195">
        <v>0</v>
      </c>
      <c r="I92" s="195">
        <v>7</v>
      </c>
      <c r="J92" s="196"/>
      <c r="K92" s="195">
        <v>284910.75</v>
      </c>
      <c r="L92" s="195">
        <v>0</v>
      </c>
      <c r="M92" s="195">
        <v>284910.75</v>
      </c>
      <c r="N92" s="196"/>
      <c r="O92" s="195">
        <v>102765.25</v>
      </c>
      <c r="P92" s="195">
        <v>0</v>
      </c>
      <c r="Q92" s="195">
        <v>102765.25</v>
      </c>
      <c r="R92" s="196"/>
      <c r="S92" s="195">
        <v>387676</v>
      </c>
      <c r="T92" s="195">
        <v>0</v>
      </c>
      <c r="U92" s="195">
        <v>387676</v>
      </c>
      <c r="V92" s="185"/>
    </row>
    <row r="93" spans="1:22" x14ac:dyDescent="0.25">
      <c r="A93" s="192">
        <v>2021</v>
      </c>
      <c r="B93" s="192" t="s">
        <v>827</v>
      </c>
      <c r="C93" s="193" t="s">
        <v>110</v>
      </c>
      <c r="D93" s="194" t="s">
        <v>819</v>
      </c>
      <c r="E93" s="194" t="s">
        <v>819</v>
      </c>
      <c r="F93" s="194" t="s">
        <v>110</v>
      </c>
      <c r="G93" s="193" t="s">
        <v>463</v>
      </c>
      <c r="H93" s="195">
        <v>0</v>
      </c>
      <c r="I93" s="195">
        <v>0</v>
      </c>
      <c r="J93" s="196"/>
      <c r="K93" s="195">
        <v>0</v>
      </c>
      <c r="L93" s="195">
        <v>0</v>
      </c>
      <c r="M93" s="195">
        <v>0</v>
      </c>
      <c r="N93" s="196"/>
      <c r="O93" s="195">
        <v>0</v>
      </c>
      <c r="P93" s="195">
        <v>0</v>
      </c>
      <c r="Q93" s="195">
        <v>0</v>
      </c>
      <c r="R93" s="196"/>
      <c r="S93" s="195">
        <v>0</v>
      </c>
      <c r="T93" s="195">
        <v>0</v>
      </c>
      <c r="U93" s="195">
        <v>0</v>
      </c>
      <c r="V93" s="185"/>
    </row>
    <row r="94" spans="1:22" x14ac:dyDescent="0.25">
      <c r="A94" s="192">
        <v>2021</v>
      </c>
      <c r="B94" s="192" t="s">
        <v>820</v>
      </c>
      <c r="C94" s="193" t="s">
        <v>111</v>
      </c>
      <c r="D94" s="194" t="s">
        <v>819</v>
      </c>
      <c r="E94" s="194" t="s">
        <v>819</v>
      </c>
      <c r="F94" s="194" t="s">
        <v>111</v>
      </c>
      <c r="G94" s="193" t="s">
        <v>464</v>
      </c>
      <c r="H94" s="195">
        <v>0</v>
      </c>
      <c r="I94" s="195">
        <v>4</v>
      </c>
      <c r="J94" s="196"/>
      <c r="K94" s="195">
        <v>71681.25</v>
      </c>
      <c r="L94" s="195">
        <v>0</v>
      </c>
      <c r="M94" s="195">
        <v>71681.25</v>
      </c>
      <c r="N94" s="196"/>
      <c r="O94" s="195">
        <v>26090.75</v>
      </c>
      <c r="P94" s="195">
        <v>0</v>
      </c>
      <c r="Q94" s="195">
        <v>26090.75</v>
      </c>
      <c r="R94" s="196"/>
      <c r="S94" s="195">
        <v>97772</v>
      </c>
      <c r="T94" s="195">
        <v>0</v>
      </c>
      <c r="U94" s="195">
        <v>97772</v>
      </c>
      <c r="V94" s="185"/>
    </row>
    <row r="95" spans="1:22" x14ac:dyDescent="0.25">
      <c r="A95" s="192">
        <v>2021</v>
      </c>
      <c r="B95" s="192" t="s">
        <v>828</v>
      </c>
      <c r="C95" s="193" t="s">
        <v>113</v>
      </c>
      <c r="D95" s="194" t="s">
        <v>819</v>
      </c>
      <c r="E95" s="194" t="s">
        <v>819</v>
      </c>
      <c r="F95" s="194" t="s">
        <v>113</v>
      </c>
      <c r="G95" s="193" t="s">
        <v>466</v>
      </c>
      <c r="H95" s="195">
        <v>4</v>
      </c>
      <c r="I95" s="195">
        <v>5</v>
      </c>
      <c r="J95" s="196"/>
      <c r="K95" s="195">
        <v>228045.75</v>
      </c>
      <c r="L95" s="195">
        <v>101353.67</v>
      </c>
      <c r="M95" s="195">
        <v>126692.08</v>
      </c>
      <c r="N95" s="196"/>
      <c r="O95" s="195">
        <v>97556.25</v>
      </c>
      <c r="P95" s="195">
        <v>43358.33</v>
      </c>
      <c r="Q95" s="195">
        <v>54197.919999999998</v>
      </c>
      <c r="R95" s="196"/>
      <c r="S95" s="195">
        <v>325602</v>
      </c>
      <c r="T95" s="195">
        <v>144712</v>
      </c>
      <c r="U95" s="195">
        <v>180890</v>
      </c>
      <c r="V95" s="185"/>
    </row>
    <row r="96" spans="1:22" x14ac:dyDescent="0.25">
      <c r="A96" s="192">
        <v>2021</v>
      </c>
      <c r="B96" s="192" t="s">
        <v>823</v>
      </c>
      <c r="C96" s="193" t="s">
        <v>115</v>
      </c>
      <c r="D96" s="194" t="s">
        <v>819</v>
      </c>
      <c r="E96" s="194" t="s">
        <v>819</v>
      </c>
      <c r="F96" s="194" t="s">
        <v>115</v>
      </c>
      <c r="G96" s="193" t="s">
        <v>468</v>
      </c>
      <c r="H96" s="195">
        <v>0</v>
      </c>
      <c r="I96" s="195">
        <v>7</v>
      </c>
      <c r="J96" s="196"/>
      <c r="K96" s="195">
        <v>177118.5</v>
      </c>
      <c r="L96" s="195">
        <v>0</v>
      </c>
      <c r="M96" s="195">
        <v>177118.5</v>
      </c>
      <c r="N96" s="196"/>
      <c r="O96" s="195">
        <v>63926.5</v>
      </c>
      <c r="P96" s="195">
        <v>0</v>
      </c>
      <c r="Q96" s="195">
        <v>63926.5</v>
      </c>
      <c r="R96" s="196"/>
      <c r="S96" s="195">
        <v>241045</v>
      </c>
      <c r="T96" s="195">
        <v>0</v>
      </c>
      <c r="U96" s="195">
        <v>241045</v>
      </c>
      <c r="V96" s="185"/>
    </row>
    <row r="97" spans="1:22" x14ac:dyDescent="0.25">
      <c r="A97" s="192">
        <v>2021</v>
      </c>
      <c r="B97" s="192" t="s">
        <v>818</v>
      </c>
      <c r="C97" s="193" t="s">
        <v>116</v>
      </c>
      <c r="D97" s="194" t="s">
        <v>819</v>
      </c>
      <c r="E97" s="194" t="s">
        <v>819</v>
      </c>
      <c r="F97" s="194" t="s">
        <v>116</v>
      </c>
      <c r="G97" s="193" t="s">
        <v>469</v>
      </c>
      <c r="H97" s="195">
        <v>0</v>
      </c>
      <c r="I97" s="195">
        <v>0</v>
      </c>
      <c r="J97" s="196"/>
      <c r="K97" s="195">
        <v>0</v>
      </c>
      <c r="L97" s="195">
        <v>0</v>
      </c>
      <c r="M97" s="195">
        <v>0</v>
      </c>
      <c r="N97" s="196"/>
      <c r="O97" s="195">
        <v>0</v>
      </c>
      <c r="P97" s="195">
        <v>0</v>
      </c>
      <c r="Q97" s="195">
        <v>0</v>
      </c>
      <c r="R97" s="196"/>
      <c r="S97" s="195">
        <v>0</v>
      </c>
      <c r="T97" s="195">
        <v>0</v>
      </c>
      <c r="U97" s="195">
        <v>0</v>
      </c>
      <c r="V97" s="185"/>
    </row>
    <row r="98" spans="1:22" x14ac:dyDescent="0.25">
      <c r="A98" s="192">
        <v>2021</v>
      </c>
      <c r="B98" s="192" t="s">
        <v>820</v>
      </c>
      <c r="C98" s="193" t="s">
        <v>117</v>
      </c>
      <c r="D98" s="194" t="s">
        <v>819</v>
      </c>
      <c r="E98" s="194" t="s">
        <v>819</v>
      </c>
      <c r="F98" s="194" t="s">
        <v>117</v>
      </c>
      <c r="G98" s="193" t="s">
        <v>470</v>
      </c>
      <c r="H98" s="195">
        <v>0</v>
      </c>
      <c r="I98" s="195">
        <v>5</v>
      </c>
      <c r="J98" s="196"/>
      <c r="K98" s="195">
        <v>106860</v>
      </c>
      <c r="L98" s="195">
        <v>0</v>
      </c>
      <c r="M98" s="195">
        <v>106860</v>
      </c>
      <c r="N98" s="196"/>
      <c r="O98" s="195">
        <v>46111</v>
      </c>
      <c r="P98" s="195">
        <v>0</v>
      </c>
      <c r="Q98" s="195">
        <v>46111</v>
      </c>
      <c r="R98" s="196"/>
      <c r="S98" s="195">
        <v>152971</v>
      </c>
      <c r="T98" s="195">
        <v>0</v>
      </c>
      <c r="U98" s="195">
        <v>152971</v>
      </c>
      <c r="V98" s="185"/>
    </row>
    <row r="99" spans="1:22" x14ac:dyDescent="0.25">
      <c r="A99" s="192">
        <v>2021</v>
      </c>
      <c r="B99" s="192" t="s">
        <v>820</v>
      </c>
      <c r="C99" s="193" t="s">
        <v>182</v>
      </c>
      <c r="D99" s="194" t="s">
        <v>819</v>
      </c>
      <c r="E99" s="194" t="s">
        <v>819</v>
      </c>
      <c r="F99" s="194" t="s">
        <v>696</v>
      </c>
      <c r="G99" s="193" t="s">
        <v>532</v>
      </c>
      <c r="H99" s="195">
        <v>0</v>
      </c>
      <c r="I99" s="195">
        <v>10</v>
      </c>
      <c r="J99" s="196"/>
      <c r="K99" s="195">
        <v>268324.5</v>
      </c>
      <c r="L99" s="195">
        <v>0</v>
      </c>
      <c r="M99" s="195">
        <v>268324.5</v>
      </c>
      <c r="N99" s="196"/>
      <c r="O99" s="195">
        <v>93429.5</v>
      </c>
      <c r="P99" s="195">
        <v>0</v>
      </c>
      <c r="Q99" s="195">
        <v>93429.5</v>
      </c>
      <c r="R99" s="196"/>
      <c r="S99" s="195">
        <v>361754</v>
      </c>
      <c r="T99" s="195">
        <v>0</v>
      </c>
      <c r="U99" s="195">
        <v>361754</v>
      </c>
      <c r="V99" s="185"/>
    </row>
    <row r="100" spans="1:22" x14ac:dyDescent="0.25">
      <c r="A100" s="192">
        <v>2021</v>
      </c>
      <c r="B100" s="192" t="s">
        <v>821</v>
      </c>
      <c r="C100" s="193" t="s">
        <v>195</v>
      </c>
      <c r="D100" s="194" t="s">
        <v>832</v>
      </c>
      <c r="E100" s="194" t="s">
        <v>819</v>
      </c>
      <c r="F100" s="194" t="s">
        <v>195</v>
      </c>
      <c r="G100" s="193" t="s">
        <v>545</v>
      </c>
      <c r="H100" s="195">
        <v>1</v>
      </c>
      <c r="I100" s="195">
        <v>10</v>
      </c>
      <c r="J100" s="196"/>
      <c r="K100" s="195">
        <v>198597.75</v>
      </c>
      <c r="L100" s="195">
        <v>18054.34</v>
      </c>
      <c r="M100" s="195">
        <v>180543.41</v>
      </c>
      <c r="N100" s="196"/>
      <c r="O100" s="195">
        <v>73827.25</v>
      </c>
      <c r="P100" s="195">
        <v>6711.57</v>
      </c>
      <c r="Q100" s="195">
        <v>67115.679999999993</v>
      </c>
      <c r="R100" s="196"/>
      <c r="S100" s="195">
        <v>272425</v>
      </c>
      <c r="T100" s="195">
        <v>24765.91</v>
      </c>
      <c r="U100" s="195">
        <v>247659.09</v>
      </c>
      <c r="V100" s="185"/>
    </row>
    <row r="101" spans="1:22" x14ac:dyDescent="0.25">
      <c r="A101" s="192">
        <v>2021</v>
      </c>
      <c r="B101" s="192" t="s">
        <v>823</v>
      </c>
      <c r="C101" s="193" t="s">
        <v>321</v>
      </c>
      <c r="D101" s="194" t="s">
        <v>819</v>
      </c>
      <c r="E101" s="194" t="s">
        <v>819</v>
      </c>
      <c r="F101" s="194" t="s">
        <v>321</v>
      </c>
      <c r="G101" s="193" t="s">
        <v>664</v>
      </c>
      <c r="H101" s="195">
        <v>0</v>
      </c>
      <c r="I101" s="195">
        <v>1</v>
      </c>
      <c r="J101" s="196"/>
      <c r="K101" s="195">
        <v>44648.25</v>
      </c>
      <c r="L101" s="195">
        <v>0</v>
      </c>
      <c r="M101" s="195">
        <v>44648.25</v>
      </c>
      <c r="N101" s="196"/>
      <c r="O101" s="195">
        <v>15848.75</v>
      </c>
      <c r="P101" s="195">
        <v>0</v>
      </c>
      <c r="Q101" s="195">
        <v>15848.75</v>
      </c>
      <c r="R101" s="196"/>
      <c r="S101" s="195">
        <v>60497</v>
      </c>
      <c r="T101" s="195">
        <v>0</v>
      </c>
      <c r="U101" s="195">
        <v>60497</v>
      </c>
      <c r="V101" s="185"/>
    </row>
    <row r="102" spans="1:22" x14ac:dyDescent="0.25">
      <c r="A102" s="192">
        <v>2021</v>
      </c>
      <c r="B102" s="192" t="s">
        <v>821</v>
      </c>
      <c r="C102" s="193" t="s">
        <v>119</v>
      </c>
      <c r="D102" s="194" t="s">
        <v>819</v>
      </c>
      <c r="E102" s="194" t="s">
        <v>819</v>
      </c>
      <c r="F102" s="194" t="s">
        <v>119</v>
      </c>
      <c r="G102" s="193" t="s">
        <v>472</v>
      </c>
      <c r="H102" s="195">
        <v>0</v>
      </c>
      <c r="I102" s="195">
        <v>12</v>
      </c>
      <c r="J102" s="196"/>
      <c r="K102" s="195">
        <v>186993.75</v>
      </c>
      <c r="L102" s="195">
        <v>0</v>
      </c>
      <c r="M102" s="195">
        <v>186993.75</v>
      </c>
      <c r="N102" s="196"/>
      <c r="O102" s="195">
        <v>72900.25</v>
      </c>
      <c r="P102" s="195">
        <v>0</v>
      </c>
      <c r="Q102" s="195">
        <v>72900.25</v>
      </c>
      <c r="R102" s="196"/>
      <c r="S102" s="195">
        <v>259894</v>
      </c>
      <c r="T102" s="195">
        <v>0</v>
      </c>
      <c r="U102" s="195">
        <v>259894</v>
      </c>
      <c r="V102" s="185"/>
    </row>
    <row r="103" spans="1:22" x14ac:dyDescent="0.25">
      <c r="A103" s="192">
        <v>2021</v>
      </c>
      <c r="B103" s="192" t="s">
        <v>827</v>
      </c>
      <c r="C103" s="193" t="s">
        <v>120</v>
      </c>
      <c r="D103" s="194" t="s">
        <v>819</v>
      </c>
      <c r="E103" s="194" t="s">
        <v>819</v>
      </c>
      <c r="F103" s="194" t="s">
        <v>120</v>
      </c>
      <c r="G103" s="193" t="s">
        <v>473</v>
      </c>
      <c r="H103" s="195">
        <v>0</v>
      </c>
      <c r="I103" s="195">
        <v>10</v>
      </c>
      <c r="J103" s="196"/>
      <c r="K103" s="195">
        <v>122813.25</v>
      </c>
      <c r="L103" s="195">
        <v>0</v>
      </c>
      <c r="M103" s="195">
        <v>122813.25</v>
      </c>
      <c r="N103" s="196"/>
      <c r="O103" s="195">
        <v>43603.75</v>
      </c>
      <c r="P103" s="195">
        <v>0</v>
      </c>
      <c r="Q103" s="195">
        <v>43603.75</v>
      </c>
      <c r="R103" s="196"/>
      <c r="S103" s="195">
        <v>166417</v>
      </c>
      <c r="T103" s="195">
        <v>0</v>
      </c>
      <c r="U103" s="195">
        <v>166417</v>
      </c>
      <c r="V103" s="185"/>
    </row>
    <row r="104" spans="1:22" x14ac:dyDescent="0.25">
      <c r="A104" s="192">
        <v>2021</v>
      </c>
      <c r="B104" s="192" t="s">
        <v>828</v>
      </c>
      <c r="C104" s="193" t="s">
        <v>118</v>
      </c>
      <c r="D104" s="194" t="s">
        <v>819</v>
      </c>
      <c r="E104" s="194" t="s">
        <v>819</v>
      </c>
      <c r="F104" s="194" t="s">
        <v>118</v>
      </c>
      <c r="G104" s="193" t="s">
        <v>471</v>
      </c>
      <c r="H104" s="195">
        <v>0</v>
      </c>
      <c r="I104" s="195">
        <v>4</v>
      </c>
      <c r="J104" s="196"/>
      <c r="K104" s="195">
        <v>99811.5</v>
      </c>
      <c r="L104" s="195">
        <v>0</v>
      </c>
      <c r="M104" s="195">
        <v>99811.5</v>
      </c>
      <c r="N104" s="196"/>
      <c r="O104" s="195">
        <v>34432.5</v>
      </c>
      <c r="P104" s="195">
        <v>0</v>
      </c>
      <c r="Q104" s="195">
        <v>34432.5</v>
      </c>
      <c r="R104" s="196"/>
      <c r="S104" s="195">
        <v>134244</v>
      </c>
      <c r="T104" s="195">
        <v>0</v>
      </c>
      <c r="U104" s="195">
        <v>134244</v>
      </c>
      <c r="V104" s="185"/>
    </row>
    <row r="105" spans="1:22" x14ac:dyDescent="0.25">
      <c r="A105" s="192">
        <v>2021</v>
      </c>
      <c r="B105" s="192" t="s">
        <v>824</v>
      </c>
      <c r="C105" s="193" t="s">
        <v>53</v>
      </c>
      <c r="D105" s="194" t="s">
        <v>819</v>
      </c>
      <c r="E105" s="194" t="s">
        <v>819</v>
      </c>
      <c r="F105" s="194" t="s">
        <v>53</v>
      </c>
      <c r="G105" s="193" t="s">
        <v>408</v>
      </c>
      <c r="H105" s="195">
        <v>0</v>
      </c>
      <c r="I105" s="195">
        <v>5</v>
      </c>
      <c r="J105" s="196"/>
      <c r="K105" s="195">
        <v>148032.75</v>
      </c>
      <c r="L105" s="195">
        <v>0</v>
      </c>
      <c r="M105" s="195">
        <v>148032.75</v>
      </c>
      <c r="N105" s="196"/>
      <c r="O105" s="195">
        <v>62964.25</v>
      </c>
      <c r="P105" s="195">
        <v>0</v>
      </c>
      <c r="Q105" s="195">
        <v>62964.25</v>
      </c>
      <c r="R105" s="196"/>
      <c r="S105" s="195">
        <v>210997</v>
      </c>
      <c r="T105" s="195">
        <v>0</v>
      </c>
      <c r="U105" s="195">
        <v>210997</v>
      </c>
      <c r="V105" s="185"/>
    </row>
    <row r="106" spans="1:22" x14ac:dyDescent="0.25">
      <c r="A106" s="192">
        <v>2021</v>
      </c>
      <c r="B106" s="192" t="s">
        <v>827</v>
      </c>
      <c r="C106" s="193" t="s">
        <v>122</v>
      </c>
      <c r="D106" s="194" t="s">
        <v>819</v>
      </c>
      <c r="E106" s="194" t="s">
        <v>819</v>
      </c>
      <c r="F106" s="194" t="s">
        <v>122</v>
      </c>
      <c r="G106" s="193" t="s">
        <v>475</v>
      </c>
      <c r="H106" s="195">
        <v>1</v>
      </c>
      <c r="I106" s="195">
        <v>1</v>
      </c>
      <c r="J106" s="196"/>
      <c r="K106" s="195">
        <v>36800.25</v>
      </c>
      <c r="L106" s="195">
        <v>18400.13</v>
      </c>
      <c r="M106" s="195">
        <v>18400.12</v>
      </c>
      <c r="N106" s="196"/>
      <c r="O106" s="195">
        <v>13030.75</v>
      </c>
      <c r="P106" s="195">
        <v>6515.38</v>
      </c>
      <c r="Q106" s="195">
        <v>6515.37</v>
      </c>
      <c r="R106" s="196"/>
      <c r="S106" s="195">
        <v>49831</v>
      </c>
      <c r="T106" s="195">
        <v>24915.510000000002</v>
      </c>
      <c r="U106" s="195">
        <v>24915.489999999998</v>
      </c>
      <c r="V106" s="185"/>
    </row>
    <row r="107" spans="1:22" x14ac:dyDescent="0.25">
      <c r="A107" s="192">
        <v>2021</v>
      </c>
      <c r="B107" s="192" t="s">
        <v>820</v>
      </c>
      <c r="C107" s="193" t="s">
        <v>123</v>
      </c>
      <c r="D107" s="194" t="s">
        <v>819</v>
      </c>
      <c r="E107" s="194" t="s">
        <v>819</v>
      </c>
      <c r="F107" s="194" t="s">
        <v>123</v>
      </c>
      <c r="G107" s="193" t="s">
        <v>476</v>
      </c>
      <c r="H107" s="195">
        <v>0</v>
      </c>
      <c r="I107" s="195">
        <v>5</v>
      </c>
      <c r="J107" s="196"/>
      <c r="K107" s="195">
        <v>108663</v>
      </c>
      <c r="L107" s="195">
        <v>0</v>
      </c>
      <c r="M107" s="195">
        <v>108663</v>
      </c>
      <c r="N107" s="196"/>
      <c r="O107" s="195">
        <v>38978</v>
      </c>
      <c r="P107" s="195">
        <v>0</v>
      </c>
      <c r="Q107" s="195">
        <v>38978</v>
      </c>
      <c r="R107" s="196"/>
      <c r="S107" s="195">
        <v>147641</v>
      </c>
      <c r="T107" s="195">
        <v>0</v>
      </c>
      <c r="U107" s="195">
        <v>147641</v>
      </c>
      <c r="V107" s="185"/>
    </row>
    <row r="108" spans="1:22" x14ac:dyDescent="0.25">
      <c r="A108" s="192">
        <v>2021</v>
      </c>
      <c r="B108" s="192" t="s">
        <v>823</v>
      </c>
      <c r="C108" s="193" t="s">
        <v>124</v>
      </c>
      <c r="D108" s="194" t="s">
        <v>819</v>
      </c>
      <c r="E108" s="194" t="s">
        <v>819</v>
      </c>
      <c r="F108" s="194" t="s">
        <v>124</v>
      </c>
      <c r="G108" s="193" t="s">
        <v>477</v>
      </c>
      <c r="H108" s="195">
        <v>6</v>
      </c>
      <c r="I108" s="195">
        <v>7</v>
      </c>
      <c r="J108" s="196"/>
      <c r="K108" s="195">
        <v>403869.75</v>
      </c>
      <c r="L108" s="195">
        <v>186401.42</v>
      </c>
      <c r="M108" s="195">
        <v>217468.33</v>
      </c>
      <c r="N108" s="196"/>
      <c r="O108" s="195">
        <v>150151.25</v>
      </c>
      <c r="P108" s="195">
        <v>69300.58</v>
      </c>
      <c r="Q108" s="195">
        <v>80850.67</v>
      </c>
      <c r="R108" s="196"/>
      <c r="S108" s="195">
        <v>554021</v>
      </c>
      <c r="T108" s="195">
        <v>255702</v>
      </c>
      <c r="U108" s="195">
        <v>298319</v>
      </c>
      <c r="V108" s="185"/>
    </row>
    <row r="109" spans="1:22" x14ac:dyDescent="0.25">
      <c r="A109" s="192">
        <v>2021</v>
      </c>
      <c r="B109" s="192" t="s">
        <v>825</v>
      </c>
      <c r="C109" s="193" t="s">
        <v>125</v>
      </c>
      <c r="D109" s="194" t="s">
        <v>819</v>
      </c>
      <c r="E109" s="194" t="s">
        <v>819</v>
      </c>
      <c r="F109" s="194" t="s">
        <v>125</v>
      </c>
      <c r="G109" s="193" t="s">
        <v>478</v>
      </c>
      <c r="H109" s="195">
        <v>5</v>
      </c>
      <c r="I109" s="195">
        <v>11</v>
      </c>
      <c r="J109" s="196"/>
      <c r="K109" s="195">
        <v>254736.75</v>
      </c>
      <c r="L109" s="195">
        <v>79605.23</v>
      </c>
      <c r="M109" s="195">
        <v>175131.52000000002</v>
      </c>
      <c r="N109" s="196"/>
      <c r="O109" s="195">
        <v>94200.25</v>
      </c>
      <c r="P109" s="195">
        <v>29437.58</v>
      </c>
      <c r="Q109" s="195">
        <v>64762.67</v>
      </c>
      <c r="R109" s="196"/>
      <c r="S109" s="195">
        <v>348937</v>
      </c>
      <c r="T109" s="195">
        <v>109042.81</v>
      </c>
      <c r="U109" s="195">
        <v>239894.19</v>
      </c>
      <c r="V109" s="185"/>
    </row>
    <row r="110" spans="1:22" x14ac:dyDescent="0.25">
      <c r="A110" s="192">
        <v>2021</v>
      </c>
      <c r="B110" s="192" t="s">
        <v>821</v>
      </c>
      <c r="C110" s="193" t="s">
        <v>126</v>
      </c>
      <c r="D110" s="194" t="s">
        <v>819</v>
      </c>
      <c r="E110" s="194" t="s">
        <v>819</v>
      </c>
      <c r="F110" s="194" t="s">
        <v>126</v>
      </c>
      <c r="G110" s="193" t="s">
        <v>479</v>
      </c>
      <c r="H110" s="195">
        <v>0</v>
      </c>
      <c r="I110" s="195">
        <v>9</v>
      </c>
      <c r="J110" s="196"/>
      <c r="K110" s="195">
        <v>65577.75</v>
      </c>
      <c r="L110" s="195">
        <v>0</v>
      </c>
      <c r="M110" s="195">
        <v>65577.75</v>
      </c>
      <c r="N110" s="196"/>
      <c r="O110" s="195">
        <v>24073.25</v>
      </c>
      <c r="P110" s="195">
        <v>0</v>
      </c>
      <c r="Q110" s="195">
        <v>24073.25</v>
      </c>
      <c r="R110" s="196"/>
      <c r="S110" s="195">
        <v>89651</v>
      </c>
      <c r="T110" s="195">
        <v>0</v>
      </c>
      <c r="U110" s="195">
        <v>89651</v>
      </c>
      <c r="V110" s="185"/>
    </row>
    <row r="111" spans="1:22" x14ac:dyDescent="0.25">
      <c r="A111" s="192">
        <v>2021</v>
      </c>
      <c r="B111" s="192" t="s">
        <v>823</v>
      </c>
      <c r="C111" s="193" t="s">
        <v>127</v>
      </c>
      <c r="D111" s="194" t="s">
        <v>819</v>
      </c>
      <c r="E111" s="194" t="s">
        <v>819</v>
      </c>
      <c r="F111" s="194" t="s">
        <v>127</v>
      </c>
      <c r="G111" s="193" t="s">
        <v>480</v>
      </c>
      <c r="H111" s="195">
        <v>0</v>
      </c>
      <c r="I111" s="195">
        <v>10</v>
      </c>
      <c r="J111" s="196"/>
      <c r="K111" s="195">
        <v>410370</v>
      </c>
      <c r="L111" s="195">
        <v>0</v>
      </c>
      <c r="M111" s="195">
        <v>410370</v>
      </c>
      <c r="N111" s="196"/>
      <c r="O111" s="195">
        <v>145975</v>
      </c>
      <c r="P111" s="195">
        <v>0</v>
      </c>
      <c r="Q111" s="195">
        <v>145975</v>
      </c>
      <c r="R111" s="196"/>
      <c r="S111" s="195">
        <v>556345</v>
      </c>
      <c r="T111" s="195">
        <v>0</v>
      </c>
      <c r="U111" s="195">
        <v>556345</v>
      </c>
      <c r="V111" s="185"/>
    </row>
    <row r="112" spans="1:22" x14ac:dyDescent="0.25">
      <c r="A112" s="192">
        <v>2021</v>
      </c>
      <c r="B112" s="192" t="s">
        <v>818</v>
      </c>
      <c r="C112" s="193" t="s">
        <v>128</v>
      </c>
      <c r="D112" s="194" t="s">
        <v>819</v>
      </c>
      <c r="E112" s="194" t="s">
        <v>819</v>
      </c>
      <c r="F112" s="194" t="s">
        <v>128</v>
      </c>
      <c r="G112" s="193" t="s">
        <v>481</v>
      </c>
      <c r="H112" s="195">
        <v>0</v>
      </c>
      <c r="I112" s="195">
        <v>6</v>
      </c>
      <c r="J112" s="196"/>
      <c r="K112" s="195">
        <v>123681</v>
      </c>
      <c r="L112" s="195">
        <v>0</v>
      </c>
      <c r="M112" s="195">
        <v>123681</v>
      </c>
      <c r="N112" s="196"/>
      <c r="O112" s="195">
        <v>52104</v>
      </c>
      <c r="P112" s="195">
        <v>0</v>
      </c>
      <c r="Q112" s="195">
        <v>52104</v>
      </c>
      <c r="R112" s="196"/>
      <c r="S112" s="195">
        <v>175785</v>
      </c>
      <c r="T112" s="195">
        <v>0</v>
      </c>
      <c r="U112" s="195">
        <v>175785</v>
      </c>
      <c r="V112" s="185"/>
    </row>
    <row r="113" spans="1:22" x14ac:dyDescent="0.25">
      <c r="A113" s="192">
        <v>2021</v>
      </c>
      <c r="B113" s="192" t="s">
        <v>824</v>
      </c>
      <c r="C113" s="193" t="s">
        <v>129</v>
      </c>
      <c r="D113" s="194" t="s">
        <v>819</v>
      </c>
      <c r="E113" s="194" t="s">
        <v>819</v>
      </c>
      <c r="F113" s="194" t="s">
        <v>129</v>
      </c>
      <c r="G113" s="193" t="s">
        <v>482</v>
      </c>
      <c r="H113" s="195">
        <v>0</v>
      </c>
      <c r="I113" s="195">
        <v>1</v>
      </c>
      <c r="J113" s="196"/>
      <c r="K113" s="195">
        <v>82254</v>
      </c>
      <c r="L113" s="195">
        <v>0</v>
      </c>
      <c r="M113" s="195">
        <v>82254</v>
      </c>
      <c r="N113" s="196"/>
      <c r="O113" s="195">
        <v>40453</v>
      </c>
      <c r="P113" s="195">
        <v>0</v>
      </c>
      <c r="Q113" s="195">
        <v>40453</v>
      </c>
      <c r="R113" s="196"/>
      <c r="S113" s="195">
        <v>122707</v>
      </c>
      <c r="T113" s="195">
        <v>0</v>
      </c>
      <c r="U113" s="195">
        <v>122707</v>
      </c>
      <c r="V113" s="185"/>
    </row>
    <row r="114" spans="1:22" x14ac:dyDescent="0.25">
      <c r="A114" s="192">
        <v>2021</v>
      </c>
      <c r="B114" s="192" t="s">
        <v>820</v>
      </c>
      <c r="C114" s="193" t="s">
        <v>130</v>
      </c>
      <c r="D114" s="194" t="s">
        <v>819</v>
      </c>
      <c r="E114" s="194" t="s">
        <v>819</v>
      </c>
      <c r="F114" s="194" t="s">
        <v>130</v>
      </c>
      <c r="G114" s="193" t="s">
        <v>483</v>
      </c>
      <c r="H114" s="195">
        <v>2</v>
      </c>
      <c r="I114" s="195">
        <v>8</v>
      </c>
      <c r="J114" s="196"/>
      <c r="K114" s="195">
        <v>498936.75</v>
      </c>
      <c r="L114" s="195">
        <v>99787.35</v>
      </c>
      <c r="M114" s="195">
        <v>399149.4</v>
      </c>
      <c r="N114" s="196"/>
      <c r="O114" s="195">
        <v>177599.25</v>
      </c>
      <c r="P114" s="195">
        <v>35519.85</v>
      </c>
      <c r="Q114" s="195">
        <v>142079.4</v>
      </c>
      <c r="R114" s="196"/>
      <c r="S114" s="195">
        <v>676536</v>
      </c>
      <c r="T114" s="195">
        <v>135307.20000000001</v>
      </c>
      <c r="U114" s="195">
        <v>541228.80000000005</v>
      </c>
      <c r="V114" s="185"/>
    </row>
    <row r="115" spans="1:22" x14ac:dyDescent="0.25">
      <c r="A115" s="192">
        <v>2021</v>
      </c>
      <c r="B115" s="192" t="s">
        <v>823</v>
      </c>
      <c r="C115" s="193" t="s">
        <v>131</v>
      </c>
      <c r="D115" s="194" t="s">
        <v>819</v>
      </c>
      <c r="E115" s="194" t="s">
        <v>819</v>
      </c>
      <c r="F115" s="194" t="s">
        <v>131</v>
      </c>
      <c r="G115" s="193" t="s">
        <v>484</v>
      </c>
      <c r="H115" s="195">
        <v>1</v>
      </c>
      <c r="I115" s="195">
        <v>1</v>
      </c>
      <c r="J115" s="196"/>
      <c r="K115" s="195">
        <v>344050.5</v>
      </c>
      <c r="L115" s="195">
        <v>172025.25</v>
      </c>
      <c r="M115" s="195">
        <v>172025.25</v>
      </c>
      <c r="N115" s="196"/>
      <c r="O115" s="195">
        <v>138821.5</v>
      </c>
      <c r="P115" s="195">
        <v>69410.75</v>
      </c>
      <c r="Q115" s="195">
        <v>69410.75</v>
      </c>
      <c r="R115" s="196"/>
      <c r="S115" s="195">
        <v>482872</v>
      </c>
      <c r="T115" s="195">
        <v>241436</v>
      </c>
      <c r="U115" s="195">
        <v>241436</v>
      </c>
      <c r="V115" s="185"/>
    </row>
    <row r="116" spans="1:22" x14ac:dyDescent="0.25">
      <c r="A116" s="192">
        <v>2021</v>
      </c>
      <c r="B116" s="192" t="s">
        <v>824</v>
      </c>
      <c r="C116" s="193" t="s">
        <v>132</v>
      </c>
      <c r="D116" s="194" t="s">
        <v>819</v>
      </c>
      <c r="E116" s="194" t="s">
        <v>819</v>
      </c>
      <c r="F116" s="194" t="s">
        <v>132</v>
      </c>
      <c r="G116" s="193" t="s">
        <v>485</v>
      </c>
      <c r="H116" s="195">
        <v>0</v>
      </c>
      <c r="I116" s="195">
        <v>6</v>
      </c>
      <c r="J116" s="196"/>
      <c r="K116" s="195">
        <v>710770.5</v>
      </c>
      <c r="L116" s="195">
        <v>0</v>
      </c>
      <c r="M116" s="195">
        <v>710770.5</v>
      </c>
      <c r="N116" s="196"/>
      <c r="O116" s="195">
        <v>273090.5</v>
      </c>
      <c r="P116" s="195">
        <v>0</v>
      </c>
      <c r="Q116" s="195">
        <v>273090.5</v>
      </c>
      <c r="R116" s="196"/>
      <c r="S116" s="195">
        <v>983861</v>
      </c>
      <c r="T116" s="195">
        <v>0</v>
      </c>
      <c r="U116" s="195">
        <v>983861</v>
      </c>
      <c r="V116" s="185"/>
    </row>
    <row r="117" spans="1:22" x14ac:dyDescent="0.25">
      <c r="A117" s="192">
        <v>2021</v>
      </c>
      <c r="B117" s="192" t="s">
        <v>821</v>
      </c>
      <c r="C117" s="193" t="s">
        <v>133</v>
      </c>
      <c r="D117" s="194" t="s">
        <v>819</v>
      </c>
      <c r="E117" s="194" t="s">
        <v>819</v>
      </c>
      <c r="F117" s="194" t="s">
        <v>133</v>
      </c>
      <c r="G117" s="193" t="s">
        <v>486</v>
      </c>
      <c r="H117" s="195">
        <v>7</v>
      </c>
      <c r="I117" s="195">
        <v>10</v>
      </c>
      <c r="J117" s="196"/>
      <c r="K117" s="195">
        <v>229766.25</v>
      </c>
      <c r="L117" s="195">
        <v>94609.63</v>
      </c>
      <c r="M117" s="195">
        <v>135156.62</v>
      </c>
      <c r="N117" s="196"/>
      <c r="O117" s="195">
        <v>89318.75</v>
      </c>
      <c r="P117" s="195">
        <v>36778.31</v>
      </c>
      <c r="Q117" s="195">
        <v>52540.44</v>
      </c>
      <c r="R117" s="196"/>
      <c r="S117" s="195">
        <v>319085</v>
      </c>
      <c r="T117" s="195">
        <v>131387.94</v>
      </c>
      <c r="U117" s="195">
        <v>187697.06</v>
      </c>
      <c r="V117" s="185"/>
    </row>
    <row r="118" spans="1:22" x14ac:dyDescent="0.25">
      <c r="A118" s="192">
        <v>2021</v>
      </c>
      <c r="B118" s="192" t="s">
        <v>822</v>
      </c>
      <c r="C118" s="193" t="s">
        <v>134</v>
      </c>
      <c r="D118" s="194" t="s">
        <v>819</v>
      </c>
      <c r="E118" s="194" t="s">
        <v>819</v>
      </c>
      <c r="F118" s="194" t="s">
        <v>134</v>
      </c>
      <c r="G118" s="193" t="s">
        <v>487</v>
      </c>
      <c r="H118" s="195">
        <v>5</v>
      </c>
      <c r="I118" s="195">
        <v>5</v>
      </c>
      <c r="J118" s="196"/>
      <c r="K118" s="195">
        <v>247420.5</v>
      </c>
      <c r="L118" s="195">
        <v>123710.25</v>
      </c>
      <c r="M118" s="195">
        <v>123710.25</v>
      </c>
      <c r="N118" s="196"/>
      <c r="O118" s="195">
        <v>93384.5</v>
      </c>
      <c r="P118" s="195">
        <v>46692.25</v>
      </c>
      <c r="Q118" s="195">
        <v>46692.25</v>
      </c>
      <c r="R118" s="196"/>
      <c r="S118" s="195">
        <v>340805</v>
      </c>
      <c r="T118" s="195">
        <v>170402.5</v>
      </c>
      <c r="U118" s="195">
        <v>170402.5</v>
      </c>
      <c r="V118" s="185"/>
    </row>
    <row r="119" spans="1:22" x14ac:dyDescent="0.25">
      <c r="A119" s="192">
        <v>2021</v>
      </c>
      <c r="B119" s="192" t="s">
        <v>820</v>
      </c>
      <c r="C119" s="193" t="s">
        <v>135</v>
      </c>
      <c r="D119" s="194" t="s">
        <v>819</v>
      </c>
      <c r="E119" s="194" t="s">
        <v>819</v>
      </c>
      <c r="F119" s="194" t="s">
        <v>135</v>
      </c>
      <c r="G119" s="193" t="s">
        <v>488</v>
      </c>
      <c r="H119" s="195">
        <v>3</v>
      </c>
      <c r="I119" s="195">
        <v>0</v>
      </c>
      <c r="J119" s="196"/>
      <c r="K119" s="195">
        <v>129993.75</v>
      </c>
      <c r="L119" s="195">
        <v>129993.75</v>
      </c>
      <c r="M119" s="195">
        <v>0</v>
      </c>
      <c r="N119" s="196"/>
      <c r="O119" s="195">
        <v>45275.25</v>
      </c>
      <c r="P119" s="195">
        <v>45275.25</v>
      </c>
      <c r="Q119" s="195">
        <v>0</v>
      </c>
      <c r="R119" s="196"/>
      <c r="S119" s="195">
        <v>175269</v>
      </c>
      <c r="T119" s="195">
        <v>175269</v>
      </c>
      <c r="U119" s="195">
        <v>0</v>
      </c>
      <c r="V119" s="185"/>
    </row>
    <row r="120" spans="1:22" x14ac:dyDescent="0.25">
      <c r="A120" s="192">
        <v>2021</v>
      </c>
      <c r="B120" s="192" t="s">
        <v>822</v>
      </c>
      <c r="C120" s="193" t="s">
        <v>136</v>
      </c>
      <c r="D120" s="194" t="s">
        <v>819</v>
      </c>
      <c r="E120" s="194" t="s">
        <v>819</v>
      </c>
      <c r="F120" s="194" t="s">
        <v>136</v>
      </c>
      <c r="G120" s="193" t="s">
        <v>489</v>
      </c>
      <c r="H120" s="195">
        <v>3</v>
      </c>
      <c r="I120" s="195">
        <v>9</v>
      </c>
      <c r="J120" s="196"/>
      <c r="K120" s="195">
        <v>173470.5</v>
      </c>
      <c r="L120" s="195">
        <v>43367.63</v>
      </c>
      <c r="M120" s="195">
        <v>130102.87</v>
      </c>
      <c r="N120" s="196"/>
      <c r="O120" s="195">
        <v>59802.5</v>
      </c>
      <c r="P120" s="195">
        <v>14950.63</v>
      </c>
      <c r="Q120" s="195">
        <v>44851.87</v>
      </c>
      <c r="R120" s="196"/>
      <c r="S120" s="195">
        <v>233273</v>
      </c>
      <c r="T120" s="195">
        <v>58318.259999999995</v>
      </c>
      <c r="U120" s="195">
        <v>174954.74</v>
      </c>
      <c r="V120" s="185"/>
    </row>
    <row r="121" spans="1:22" x14ac:dyDescent="0.25">
      <c r="A121" s="192">
        <v>2021</v>
      </c>
      <c r="B121" s="192" t="s">
        <v>818</v>
      </c>
      <c r="C121" s="193" t="s">
        <v>137</v>
      </c>
      <c r="D121" s="194" t="s">
        <v>819</v>
      </c>
      <c r="E121" s="194" t="s">
        <v>819</v>
      </c>
      <c r="F121" s="194" t="s">
        <v>137</v>
      </c>
      <c r="G121" s="193" t="s">
        <v>490</v>
      </c>
      <c r="H121" s="195">
        <v>0</v>
      </c>
      <c r="I121" s="195">
        <v>0</v>
      </c>
      <c r="J121" s="196"/>
      <c r="K121" s="195">
        <v>0</v>
      </c>
      <c r="L121" s="195">
        <v>0</v>
      </c>
      <c r="M121" s="195">
        <v>0</v>
      </c>
      <c r="N121" s="196"/>
      <c r="O121" s="195">
        <v>0</v>
      </c>
      <c r="P121" s="195">
        <v>0</v>
      </c>
      <c r="Q121" s="195">
        <v>0</v>
      </c>
      <c r="R121" s="196"/>
      <c r="S121" s="195">
        <v>0</v>
      </c>
      <c r="T121" s="195">
        <v>0</v>
      </c>
      <c r="U121" s="195">
        <v>0</v>
      </c>
      <c r="V121" s="185"/>
    </row>
    <row r="122" spans="1:22" x14ac:dyDescent="0.25">
      <c r="A122" s="192">
        <v>2021</v>
      </c>
      <c r="B122" s="192" t="s">
        <v>823</v>
      </c>
      <c r="C122" s="193" t="s">
        <v>138</v>
      </c>
      <c r="D122" s="194" t="s">
        <v>819</v>
      </c>
      <c r="E122" s="194" t="s">
        <v>819</v>
      </c>
      <c r="F122" s="194" t="s">
        <v>138</v>
      </c>
      <c r="G122" s="193" t="s">
        <v>491</v>
      </c>
      <c r="H122" s="195">
        <v>0</v>
      </c>
      <c r="I122" s="195">
        <v>5</v>
      </c>
      <c r="J122" s="196"/>
      <c r="K122" s="195">
        <v>24669.75</v>
      </c>
      <c r="L122" s="195">
        <v>0</v>
      </c>
      <c r="M122" s="195">
        <v>24669.75</v>
      </c>
      <c r="N122" s="196"/>
      <c r="O122" s="195">
        <v>8780.25</v>
      </c>
      <c r="P122" s="195">
        <v>0</v>
      </c>
      <c r="Q122" s="195">
        <v>8780.25</v>
      </c>
      <c r="R122" s="196"/>
      <c r="S122" s="195">
        <v>33450</v>
      </c>
      <c r="T122" s="195">
        <v>0</v>
      </c>
      <c r="U122" s="195">
        <v>33450</v>
      </c>
      <c r="V122" s="185"/>
    </row>
    <row r="123" spans="1:22" x14ac:dyDescent="0.25">
      <c r="A123" s="192">
        <v>2021</v>
      </c>
      <c r="B123" s="192" t="s">
        <v>820</v>
      </c>
      <c r="C123" s="193" t="s">
        <v>139</v>
      </c>
      <c r="D123" s="194" t="s">
        <v>819</v>
      </c>
      <c r="E123" s="194" t="s">
        <v>819</v>
      </c>
      <c r="F123" s="194" t="s">
        <v>139</v>
      </c>
      <c r="G123" s="193" t="s">
        <v>492</v>
      </c>
      <c r="H123" s="195">
        <v>1</v>
      </c>
      <c r="I123" s="195">
        <v>2</v>
      </c>
      <c r="J123" s="196"/>
      <c r="K123" s="195">
        <v>100714.5</v>
      </c>
      <c r="L123" s="195">
        <v>33571.5</v>
      </c>
      <c r="M123" s="195">
        <v>67143</v>
      </c>
      <c r="N123" s="196"/>
      <c r="O123" s="195">
        <v>37268.5</v>
      </c>
      <c r="P123" s="195">
        <v>12422.83</v>
      </c>
      <c r="Q123" s="195">
        <v>24845.67</v>
      </c>
      <c r="R123" s="196"/>
      <c r="S123" s="195">
        <v>137983</v>
      </c>
      <c r="T123" s="195">
        <v>45994.33</v>
      </c>
      <c r="U123" s="195">
        <v>91988.67</v>
      </c>
      <c r="V123" s="185"/>
    </row>
    <row r="124" spans="1:22" x14ac:dyDescent="0.25">
      <c r="A124" s="192">
        <v>2021</v>
      </c>
      <c r="B124" s="192" t="s">
        <v>821</v>
      </c>
      <c r="C124" s="193" t="s">
        <v>140</v>
      </c>
      <c r="D124" s="194" t="s">
        <v>819</v>
      </c>
      <c r="E124" s="194" t="s">
        <v>819</v>
      </c>
      <c r="F124" s="194" t="s">
        <v>140</v>
      </c>
      <c r="G124" s="193" t="s">
        <v>493</v>
      </c>
      <c r="H124" s="195">
        <v>0</v>
      </c>
      <c r="I124" s="195">
        <v>1</v>
      </c>
      <c r="J124" s="196"/>
      <c r="K124" s="195">
        <v>58553.25</v>
      </c>
      <c r="L124" s="195">
        <v>0</v>
      </c>
      <c r="M124" s="195">
        <v>58553.25</v>
      </c>
      <c r="N124" s="196"/>
      <c r="O124" s="195">
        <v>24940.75</v>
      </c>
      <c r="P124" s="195">
        <v>0</v>
      </c>
      <c r="Q124" s="195">
        <v>24940.75</v>
      </c>
      <c r="R124" s="196"/>
      <c r="S124" s="195">
        <v>83494</v>
      </c>
      <c r="T124" s="195">
        <v>0</v>
      </c>
      <c r="U124" s="195">
        <v>83494</v>
      </c>
      <c r="V124" s="185"/>
    </row>
    <row r="125" spans="1:22" x14ac:dyDescent="0.25">
      <c r="A125" s="192">
        <v>2021</v>
      </c>
      <c r="B125" s="192" t="s">
        <v>818</v>
      </c>
      <c r="C125" s="193" t="s">
        <v>141</v>
      </c>
      <c r="D125" s="194" t="s">
        <v>819</v>
      </c>
      <c r="E125" s="194" t="s">
        <v>819</v>
      </c>
      <c r="F125" s="194" t="s">
        <v>141</v>
      </c>
      <c r="G125" s="193" t="s">
        <v>494</v>
      </c>
      <c r="H125" s="195">
        <v>0</v>
      </c>
      <c r="I125" s="195">
        <v>5</v>
      </c>
      <c r="J125" s="196"/>
      <c r="K125" s="195">
        <v>69668.25</v>
      </c>
      <c r="L125" s="195">
        <v>0</v>
      </c>
      <c r="M125" s="195">
        <v>69668.25</v>
      </c>
      <c r="N125" s="196"/>
      <c r="O125" s="195">
        <v>25453.75</v>
      </c>
      <c r="P125" s="195">
        <v>0</v>
      </c>
      <c r="Q125" s="195">
        <v>25453.75</v>
      </c>
      <c r="R125" s="196"/>
      <c r="S125" s="195">
        <v>95122</v>
      </c>
      <c r="T125" s="195">
        <v>0</v>
      </c>
      <c r="U125" s="195">
        <v>95122</v>
      </c>
      <c r="V125" s="185"/>
    </row>
    <row r="126" spans="1:22" x14ac:dyDescent="0.25">
      <c r="A126" s="192">
        <v>2021</v>
      </c>
      <c r="B126" s="192" t="s">
        <v>820</v>
      </c>
      <c r="C126" s="193" t="s">
        <v>144</v>
      </c>
      <c r="D126" s="194" t="s">
        <v>819</v>
      </c>
      <c r="E126" s="194" t="s">
        <v>819</v>
      </c>
      <c r="F126" s="194" t="s">
        <v>144</v>
      </c>
      <c r="G126" s="193" t="s">
        <v>4</v>
      </c>
      <c r="H126" s="195">
        <v>0</v>
      </c>
      <c r="I126" s="195">
        <v>10</v>
      </c>
      <c r="J126" s="196"/>
      <c r="K126" s="195">
        <v>124943.25</v>
      </c>
      <c r="L126" s="195">
        <v>0</v>
      </c>
      <c r="M126" s="195">
        <v>124943.25</v>
      </c>
      <c r="N126" s="196"/>
      <c r="O126" s="195">
        <v>45252.75</v>
      </c>
      <c r="P126" s="195">
        <v>0</v>
      </c>
      <c r="Q126" s="195">
        <v>45252.75</v>
      </c>
      <c r="R126" s="196"/>
      <c r="S126" s="195">
        <v>170196</v>
      </c>
      <c r="T126" s="195">
        <v>0</v>
      </c>
      <c r="U126" s="195">
        <v>170196</v>
      </c>
      <c r="V126" s="185"/>
    </row>
    <row r="127" spans="1:22" x14ac:dyDescent="0.25">
      <c r="A127" s="192">
        <v>2021</v>
      </c>
      <c r="B127" s="192" t="s">
        <v>823</v>
      </c>
      <c r="C127" s="193" t="s">
        <v>142</v>
      </c>
      <c r="D127" s="194" t="s">
        <v>819</v>
      </c>
      <c r="E127" s="194" t="s">
        <v>819</v>
      </c>
      <c r="F127" s="194" t="s">
        <v>142</v>
      </c>
      <c r="G127" s="193" t="s">
        <v>495</v>
      </c>
      <c r="H127" s="195">
        <v>10</v>
      </c>
      <c r="I127" s="195">
        <v>10</v>
      </c>
      <c r="J127" s="196"/>
      <c r="K127" s="195">
        <v>289683</v>
      </c>
      <c r="L127" s="195">
        <v>144841.5</v>
      </c>
      <c r="M127" s="195">
        <v>144841.5</v>
      </c>
      <c r="N127" s="196"/>
      <c r="O127" s="195">
        <v>102861</v>
      </c>
      <c r="P127" s="195">
        <v>51430.5</v>
      </c>
      <c r="Q127" s="195">
        <v>51430.5</v>
      </c>
      <c r="R127" s="196"/>
      <c r="S127" s="195">
        <v>392544</v>
      </c>
      <c r="T127" s="195">
        <v>196272</v>
      </c>
      <c r="U127" s="195">
        <v>196272</v>
      </c>
      <c r="V127" s="185"/>
    </row>
    <row r="128" spans="1:22" x14ac:dyDescent="0.25">
      <c r="A128" s="192">
        <v>2021</v>
      </c>
      <c r="B128" s="192" t="s">
        <v>823</v>
      </c>
      <c r="C128" s="193" t="s">
        <v>171</v>
      </c>
      <c r="D128" s="194" t="s">
        <v>819</v>
      </c>
      <c r="E128" s="194" t="s">
        <v>819</v>
      </c>
      <c r="F128" s="194" t="s">
        <v>171</v>
      </c>
      <c r="G128" s="193" t="s">
        <v>521</v>
      </c>
      <c r="H128" s="195">
        <v>4</v>
      </c>
      <c r="I128" s="195">
        <v>8</v>
      </c>
      <c r="J128" s="196"/>
      <c r="K128" s="195">
        <v>565653.75</v>
      </c>
      <c r="L128" s="195">
        <v>188551.25</v>
      </c>
      <c r="M128" s="195">
        <v>377102.5</v>
      </c>
      <c r="N128" s="196"/>
      <c r="O128" s="195">
        <v>211703.25</v>
      </c>
      <c r="P128" s="195">
        <v>70567.75</v>
      </c>
      <c r="Q128" s="195">
        <v>141135.5</v>
      </c>
      <c r="R128" s="196"/>
      <c r="S128" s="195">
        <v>777357</v>
      </c>
      <c r="T128" s="195">
        <v>259119</v>
      </c>
      <c r="U128" s="195">
        <v>518238</v>
      </c>
      <c r="V128" s="185"/>
    </row>
    <row r="129" spans="1:22" x14ac:dyDescent="0.25">
      <c r="A129" s="192">
        <v>2021</v>
      </c>
      <c r="B129" s="192" t="s">
        <v>820</v>
      </c>
      <c r="C129" s="193" t="s">
        <v>145</v>
      </c>
      <c r="D129" s="194" t="s">
        <v>819</v>
      </c>
      <c r="E129" s="194" t="s">
        <v>819</v>
      </c>
      <c r="F129" s="194" t="s">
        <v>145</v>
      </c>
      <c r="G129" s="193" t="s">
        <v>497</v>
      </c>
      <c r="H129" s="195">
        <v>1</v>
      </c>
      <c r="I129" s="195">
        <v>1</v>
      </c>
      <c r="J129" s="196"/>
      <c r="K129" s="195">
        <v>166989</v>
      </c>
      <c r="L129" s="195">
        <v>83494.5</v>
      </c>
      <c r="M129" s="195">
        <v>83494.5</v>
      </c>
      <c r="N129" s="196"/>
      <c r="O129" s="195">
        <v>63433</v>
      </c>
      <c r="P129" s="195">
        <v>31716.5</v>
      </c>
      <c r="Q129" s="195">
        <v>31716.5</v>
      </c>
      <c r="R129" s="196"/>
      <c r="S129" s="195">
        <v>230422</v>
      </c>
      <c r="T129" s="195">
        <v>115211</v>
      </c>
      <c r="U129" s="195">
        <v>115211</v>
      </c>
      <c r="V129" s="185"/>
    </row>
    <row r="130" spans="1:22" x14ac:dyDescent="0.25">
      <c r="A130" s="192">
        <v>2021</v>
      </c>
      <c r="B130" s="192" t="s">
        <v>821</v>
      </c>
      <c r="C130" s="193" t="s">
        <v>146</v>
      </c>
      <c r="D130" s="194" t="s">
        <v>819</v>
      </c>
      <c r="E130" s="194" t="s">
        <v>819</v>
      </c>
      <c r="F130" s="194" t="s">
        <v>146</v>
      </c>
      <c r="G130" s="193" t="s">
        <v>498</v>
      </c>
      <c r="H130" s="195">
        <v>0</v>
      </c>
      <c r="I130" s="195">
        <v>9</v>
      </c>
      <c r="J130" s="196"/>
      <c r="K130" s="195">
        <v>174192.75</v>
      </c>
      <c r="L130" s="195">
        <v>0</v>
      </c>
      <c r="M130" s="195">
        <v>174192.75</v>
      </c>
      <c r="N130" s="196"/>
      <c r="O130" s="195">
        <v>62983.25</v>
      </c>
      <c r="P130" s="195">
        <v>0</v>
      </c>
      <c r="Q130" s="195">
        <v>62983.25</v>
      </c>
      <c r="R130" s="196"/>
      <c r="S130" s="195">
        <v>237176</v>
      </c>
      <c r="T130" s="195">
        <v>0</v>
      </c>
      <c r="U130" s="195">
        <v>237176</v>
      </c>
      <c r="V130" s="185"/>
    </row>
    <row r="131" spans="1:22" x14ac:dyDescent="0.25">
      <c r="A131" s="192">
        <v>2021</v>
      </c>
      <c r="B131" s="192" t="s">
        <v>820</v>
      </c>
      <c r="C131" s="193" t="s">
        <v>147</v>
      </c>
      <c r="D131" s="194" t="s">
        <v>819</v>
      </c>
      <c r="E131" s="194" t="s">
        <v>819</v>
      </c>
      <c r="F131" s="194" t="s">
        <v>147</v>
      </c>
      <c r="G131" s="193" t="s">
        <v>499</v>
      </c>
      <c r="H131" s="195">
        <v>0</v>
      </c>
      <c r="I131" s="195">
        <v>4</v>
      </c>
      <c r="J131" s="196"/>
      <c r="K131" s="195">
        <v>110714.25</v>
      </c>
      <c r="L131" s="195">
        <v>0</v>
      </c>
      <c r="M131" s="195">
        <v>110714.25</v>
      </c>
      <c r="N131" s="196"/>
      <c r="O131" s="195">
        <v>41145.75</v>
      </c>
      <c r="P131" s="195">
        <v>0</v>
      </c>
      <c r="Q131" s="195">
        <v>41145.75</v>
      </c>
      <c r="R131" s="196"/>
      <c r="S131" s="195">
        <v>151860</v>
      </c>
      <c r="T131" s="195">
        <v>0</v>
      </c>
      <c r="U131" s="195">
        <v>151860</v>
      </c>
      <c r="V131" s="185"/>
    </row>
    <row r="132" spans="1:22" x14ac:dyDescent="0.25">
      <c r="A132" s="192">
        <v>2021</v>
      </c>
      <c r="B132" s="192" t="s">
        <v>818</v>
      </c>
      <c r="C132" s="193" t="s">
        <v>148</v>
      </c>
      <c r="D132" s="194" t="s">
        <v>819</v>
      </c>
      <c r="E132" s="194" t="s">
        <v>819</v>
      </c>
      <c r="F132" s="194" t="s">
        <v>148</v>
      </c>
      <c r="G132" s="193" t="s">
        <v>500</v>
      </c>
      <c r="H132" s="195">
        <v>0</v>
      </c>
      <c r="I132" s="195">
        <v>7</v>
      </c>
      <c r="J132" s="196"/>
      <c r="K132" s="195">
        <v>147332.25</v>
      </c>
      <c r="L132" s="195">
        <v>0</v>
      </c>
      <c r="M132" s="195">
        <v>147332.25</v>
      </c>
      <c r="N132" s="196"/>
      <c r="O132" s="195">
        <v>49509.75</v>
      </c>
      <c r="P132" s="195">
        <v>0</v>
      </c>
      <c r="Q132" s="195">
        <v>49509.75</v>
      </c>
      <c r="R132" s="196"/>
      <c r="S132" s="195">
        <v>196842</v>
      </c>
      <c r="T132" s="195">
        <v>0</v>
      </c>
      <c r="U132" s="195">
        <v>196842</v>
      </c>
      <c r="V132" s="185"/>
    </row>
    <row r="133" spans="1:22" x14ac:dyDescent="0.25">
      <c r="A133" s="192">
        <v>2021</v>
      </c>
      <c r="B133" s="192" t="s">
        <v>821</v>
      </c>
      <c r="C133" s="193" t="s">
        <v>151</v>
      </c>
      <c r="D133" s="194" t="s">
        <v>819</v>
      </c>
      <c r="E133" s="194" t="s">
        <v>819</v>
      </c>
      <c r="F133" s="194" t="s">
        <v>151</v>
      </c>
      <c r="G133" s="193" t="s">
        <v>502</v>
      </c>
      <c r="H133" s="195">
        <v>4</v>
      </c>
      <c r="I133" s="195">
        <v>3</v>
      </c>
      <c r="J133" s="196"/>
      <c r="K133" s="195">
        <v>63985.5</v>
      </c>
      <c r="L133" s="195">
        <v>36563.14</v>
      </c>
      <c r="M133" s="195">
        <v>27422.36</v>
      </c>
      <c r="N133" s="196"/>
      <c r="O133" s="195">
        <v>23592.5</v>
      </c>
      <c r="P133" s="195">
        <v>13481.43</v>
      </c>
      <c r="Q133" s="195">
        <v>10111.07</v>
      </c>
      <c r="R133" s="196"/>
      <c r="S133" s="195">
        <v>87578</v>
      </c>
      <c r="T133" s="195">
        <v>50044.57</v>
      </c>
      <c r="U133" s="195">
        <v>37533.43</v>
      </c>
      <c r="V133" s="185"/>
    </row>
    <row r="134" spans="1:22" x14ac:dyDescent="0.25">
      <c r="A134" s="192">
        <v>2021</v>
      </c>
      <c r="B134" s="192" t="s">
        <v>820</v>
      </c>
      <c r="C134" s="193" t="s">
        <v>152</v>
      </c>
      <c r="D134" s="194" t="s">
        <v>819</v>
      </c>
      <c r="E134" s="194" t="s">
        <v>819</v>
      </c>
      <c r="F134" s="194" t="s">
        <v>152</v>
      </c>
      <c r="G134" s="193" t="s">
        <v>503</v>
      </c>
      <c r="H134" s="195">
        <v>0</v>
      </c>
      <c r="I134" s="195">
        <v>3</v>
      </c>
      <c r="J134" s="196"/>
      <c r="K134" s="195">
        <v>122384.25</v>
      </c>
      <c r="L134" s="195">
        <v>0</v>
      </c>
      <c r="M134" s="195">
        <v>122384.25</v>
      </c>
      <c r="N134" s="196"/>
      <c r="O134" s="195">
        <v>47183.75</v>
      </c>
      <c r="P134" s="195">
        <v>0</v>
      </c>
      <c r="Q134" s="195">
        <v>47183.75</v>
      </c>
      <c r="R134" s="196"/>
      <c r="S134" s="195">
        <v>169568</v>
      </c>
      <c r="T134" s="195">
        <v>0</v>
      </c>
      <c r="U134" s="195">
        <v>169568</v>
      </c>
      <c r="V134" s="185"/>
    </row>
    <row r="135" spans="1:22" x14ac:dyDescent="0.25">
      <c r="A135" s="192">
        <v>2021</v>
      </c>
      <c r="B135" s="192" t="s">
        <v>821</v>
      </c>
      <c r="C135" s="193" t="s">
        <v>153</v>
      </c>
      <c r="D135" s="194" t="s">
        <v>819</v>
      </c>
      <c r="E135" s="194" t="s">
        <v>819</v>
      </c>
      <c r="F135" s="194" t="s">
        <v>153</v>
      </c>
      <c r="G135" s="193" t="s">
        <v>504</v>
      </c>
      <c r="H135" s="195">
        <v>0</v>
      </c>
      <c r="I135" s="195">
        <v>7</v>
      </c>
      <c r="J135" s="196"/>
      <c r="K135" s="195">
        <v>471591.75</v>
      </c>
      <c r="L135" s="195">
        <v>0</v>
      </c>
      <c r="M135" s="195">
        <v>471591.75</v>
      </c>
      <c r="N135" s="196"/>
      <c r="O135" s="195">
        <v>170066.25</v>
      </c>
      <c r="P135" s="195">
        <v>0</v>
      </c>
      <c r="Q135" s="195">
        <v>170066.25</v>
      </c>
      <c r="R135" s="196"/>
      <c r="S135" s="195">
        <v>641658</v>
      </c>
      <c r="T135" s="195">
        <v>0</v>
      </c>
      <c r="U135" s="195">
        <v>641658</v>
      </c>
      <c r="V135" s="185"/>
    </row>
    <row r="136" spans="1:22" x14ac:dyDescent="0.25">
      <c r="A136" s="192">
        <v>2021</v>
      </c>
      <c r="B136" s="192" t="s">
        <v>823</v>
      </c>
      <c r="C136" s="193" t="s">
        <v>155</v>
      </c>
      <c r="D136" s="194" t="s">
        <v>819</v>
      </c>
      <c r="E136" s="194" t="s">
        <v>819</v>
      </c>
      <c r="F136" s="194" t="s">
        <v>155</v>
      </c>
      <c r="G136" s="193" t="s">
        <v>505</v>
      </c>
      <c r="H136" s="195">
        <v>0</v>
      </c>
      <c r="I136" s="195">
        <v>0</v>
      </c>
      <c r="J136" s="196"/>
      <c r="K136" s="195">
        <v>0</v>
      </c>
      <c r="L136" s="195">
        <v>0</v>
      </c>
      <c r="M136" s="195">
        <v>0</v>
      </c>
      <c r="N136" s="196"/>
      <c r="O136" s="195">
        <v>0</v>
      </c>
      <c r="P136" s="195">
        <v>0</v>
      </c>
      <c r="Q136" s="195">
        <v>0</v>
      </c>
      <c r="R136" s="196"/>
      <c r="S136" s="195">
        <v>0</v>
      </c>
      <c r="T136" s="195">
        <v>0</v>
      </c>
      <c r="U136" s="195">
        <v>0</v>
      </c>
      <c r="V136" s="185"/>
    </row>
    <row r="137" spans="1:22" x14ac:dyDescent="0.25">
      <c r="A137" s="192">
        <v>2021</v>
      </c>
      <c r="B137" s="192" t="s">
        <v>822</v>
      </c>
      <c r="C137" s="193" t="s">
        <v>156</v>
      </c>
      <c r="D137" s="194" t="s">
        <v>819</v>
      </c>
      <c r="E137" s="194" t="s">
        <v>819</v>
      </c>
      <c r="F137" s="194" t="s">
        <v>156</v>
      </c>
      <c r="G137" s="193" t="s">
        <v>506</v>
      </c>
      <c r="H137" s="195">
        <v>2</v>
      </c>
      <c r="I137" s="195">
        <v>5</v>
      </c>
      <c r="J137" s="196"/>
      <c r="K137" s="195">
        <v>199692.75</v>
      </c>
      <c r="L137" s="195">
        <v>57055.07</v>
      </c>
      <c r="M137" s="195">
        <v>142637.68</v>
      </c>
      <c r="N137" s="196"/>
      <c r="O137" s="195">
        <v>71549.25</v>
      </c>
      <c r="P137" s="195">
        <v>20442.64</v>
      </c>
      <c r="Q137" s="195">
        <v>51106.61</v>
      </c>
      <c r="R137" s="196"/>
      <c r="S137" s="195">
        <v>271242</v>
      </c>
      <c r="T137" s="195">
        <v>77497.709999999992</v>
      </c>
      <c r="U137" s="195">
        <v>193744.28999999998</v>
      </c>
      <c r="V137" s="185"/>
    </row>
    <row r="138" spans="1:22" x14ac:dyDescent="0.25">
      <c r="A138" s="192">
        <v>2021</v>
      </c>
      <c r="B138" s="192" t="s">
        <v>825</v>
      </c>
      <c r="C138" s="193" t="s">
        <v>157</v>
      </c>
      <c r="D138" s="194" t="s">
        <v>819</v>
      </c>
      <c r="E138" s="194" t="s">
        <v>819</v>
      </c>
      <c r="F138" s="194" t="s">
        <v>157</v>
      </c>
      <c r="G138" s="193" t="s">
        <v>507</v>
      </c>
      <c r="H138" s="195">
        <v>0</v>
      </c>
      <c r="I138" s="195">
        <v>2</v>
      </c>
      <c r="J138" s="196"/>
      <c r="K138" s="195">
        <v>65023.5</v>
      </c>
      <c r="L138" s="195">
        <v>0</v>
      </c>
      <c r="M138" s="195">
        <v>65023.5</v>
      </c>
      <c r="N138" s="196"/>
      <c r="O138" s="195">
        <v>32349.5</v>
      </c>
      <c r="P138" s="195">
        <v>0</v>
      </c>
      <c r="Q138" s="195">
        <v>32349.5</v>
      </c>
      <c r="R138" s="196"/>
      <c r="S138" s="195">
        <v>97373</v>
      </c>
      <c r="T138" s="195">
        <v>0</v>
      </c>
      <c r="U138" s="195">
        <v>97373</v>
      </c>
      <c r="V138" s="185"/>
    </row>
    <row r="139" spans="1:22" x14ac:dyDescent="0.25">
      <c r="A139" s="192">
        <v>2021</v>
      </c>
      <c r="B139" s="192" t="s">
        <v>822</v>
      </c>
      <c r="C139" s="193" t="s">
        <v>158</v>
      </c>
      <c r="D139" s="194" t="s">
        <v>819</v>
      </c>
      <c r="E139" s="194" t="s">
        <v>819</v>
      </c>
      <c r="F139" s="194" t="s">
        <v>158</v>
      </c>
      <c r="G139" s="193" t="s">
        <v>508</v>
      </c>
      <c r="H139" s="195">
        <v>0</v>
      </c>
      <c r="I139" s="195">
        <v>6</v>
      </c>
      <c r="J139" s="196"/>
      <c r="K139" s="195">
        <v>180717</v>
      </c>
      <c r="L139" s="195">
        <v>0</v>
      </c>
      <c r="M139" s="195">
        <v>180717</v>
      </c>
      <c r="N139" s="196"/>
      <c r="O139" s="195">
        <v>115044</v>
      </c>
      <c r="P139" s="195">
        <v>0</v>
      </c>
      <c r="Q139" s="195">
        <v>115044</v>
      </c>
      <c r="R139" s="196"/>
      <c r="S139" s="195">
        <v>295761</v>
      </c>
      <c r="T139" s="195">
        <v>0</v>
      </c>
      <c r="U139" s="195">
        <v>295761</v>
      </c>
      <c r="V139" s="185"/>
    </row>
    <row r="140" spans="1:22" x14ac:dyDescent="0.25">
      <c r="A140" s="192">
        <v>2021</v>
      </c>
      <c r="B140" s="192" t="s">
        <v>825</v>
      </c>
      <c r="C140" s="193" t="s">
        <v>150</v>
      </c>
      <c r="D140" s="194" t="s">
        <v>819</v>
      </c>
      <c r="E140" s="194" t="s">
        <v>819</v>
      </c>
      <c r="F140" s="194" t="s">
        <v>150</v>
      </c>
      <c r="G140" s="193" t="s">
        <v>5</v>
      </c>
      <c r="H140" s="195">
        <v>0</v>
      </c>
      <c r="I140" s="195">
        <v>1</v>
      </c>
      <c r="J140" s="196"/>
      <c r="K140" s="195">
        <v>14871.75</v>
      </c>
      <c r="L140" s="195">
        <v>0</v>
      </c>
      <c r="M140" s="195">
        <v>14871.75</v>
      </c>
      <c r="N140" s="196"/>
      <c r="O140" s="195">
        <v>5217.25</v>
      </c>
      <c r="P140" s="195">
        <v>0</v>
      </c>
      <c r="Q140" s="195">
        <v>5217.25</v>
      </c>
      <c r="R140" s="196"/>
      <c r="S140" s="195">
        <v>20089</v>
      </c>
      <c r="T140" s="195">
        <v>0</v>
      </c>
      <c r="U140" s="195">
        <v>20089</v>
      </c>
      <c r="V140" s="185"/>
    </row>
    <row r="141" spans="1:22" x14ac:dyDescent="0.25">
      <c r="A141" s="192">
        <v>2021</v>
      </c>
      <c r="B141" s="192" t="s">
        <v>827</v>
      </c>
      <c r="C141" s="193" t="s">
        <v>159</v>
      </c>
      <c r="D141" s="194" t="s">
        <v>819</v>
      </c>
      <c r="E141" s="194" t="s">
        <v>819</v>
      </c>
      <c r="F141" s="194" t="s">
        <v>159</v>
      </c>
      <c r="G141" s="193" t="s">
        <v>509</v>
      </c>
      <c r="H141" s="195">
        <v>3</v>
      </c>
      <c r="I141" s="195">
        <v>3</v>
      </c>
      <c r="J141" s="196"/>
      <c r="K141" s="195">
        <v>289565.25</v>
      </c>
      <c r="L141" s="195">
        <v>144782.63</v>
      </c>
      <c r="M141" s="195">
        <v>144782.62</v>
      </c>
      <c r="N141" s="196"/>
      <c r="O141" s="195">
        <v>108614.75</v>
      </c>
      <c r="P141" s="195">
        <v>54307.38</v>
      </c>
      <c r="Q141" s="195">
        <v>54307.37</v>
      </c>
      <c r="R141" s="196"/>
      <c r="S141" s="195">
        <v>398180</v>
      </c>
      <c r="T141" s="195">
        <v>199090.01</v>
      </c>
      <c r="U141" s="195">
        <v>199089.99</v>
      </c>
      <c r="V141" s="185"/>
    </row>
    <row r="142" spans="1:22" x14ac:dyDescent="0.25">
      <c r="A142" s="192">
        <v>2021</v>
      </c>
      <c r="B142" s="192" t="s">
        <v>820</v>
      </c>
      <c r="C142" s="193" t="s">
        <v>160</v>
      </c>
      <c r="D142" s="194" t="s">
        <v>819</v>
      </c>
      <c r="E142" s="194" t="s">
        <v>819</v>
      </c>
      <c r="F142" s="194" t="s">
        <v>160</v>
      </c>
      <c r="G142" s="193" t="s">
        <v>510</v>
      </c>
      <c r="H142" s="195">
        <v>0</v>
      </c>
      <c r="I142" s="195">
        <v>0</v>
      </c>
      <c r="J142" s="196"/>
      <c r="K142" s="195">
        <v>0</v>
      </c>
      <c r="L142" s="195">
        <v>0</v>
      </c>
      <c r="M142" s="195">
        <v>0</v>
      </c>
      <c r="N142" s="196"/>
      <c r="O142" s="195">
        <v>0</v>
      </c>
      <c r="P142" s="195">
        <v>0</v>
      </c>
      <c r="Q142" s="195">
        <v>0</v>
      </c>
      <c r="R142" s="196"/>
      <c r="S142" s="195">
        <v>0</v>
      </c>
      <c r="T142" s="195">
        <v>0</v>
      </c>
      <c r="U142" s="195">
        <v>0</v>
      </c>
      <c r="V142" s="185"/>
    </row>
    <row r="143" spans="1:22" x14ac:dyDescent="0.25">
      <c r="A143" s="192">
        <v>2021</v>
      </c>
      <c r="B143" s="192" t="s">
        <v>820</v>
      </c>
      <c r="C143" s="193" t="s">
        <v>161</v>
      </c>
      <c r="D143" s="194" t="s">
        <v>819</v>
      </c>
      <c r="E143" s="194" t="s">
        <v>819</v>
      </c>
      <c r="F143" s="194" t="s">
        <v>161</v>
      </c>
      <c r="G143" s="193" t="s">
        <v>511</v>
      </c>
      <c r="H143" s="195">
        <v>0</v>
      </c>
      <c r="I143" s="195">
        <v>2</v>
      </c>
      <c r="J143" s="196"/>
      <c r="K143" s="195">
        <v>70425</v>
      </c>
      <c r="L143" s="195">
        <v>0</v>
      </c>
      <c r="M143" s="195">
        <v>70425</v>
      </c>
      <c r="N143" s="196"/>
      <c r="O143" s="195">
        <v>24239</v>
      </c>
      <c r="P143" s="195">
        <v>0</v>
      </c>
      <c r="Q143" s="195">
        <v>24239</v>
      </c>
      <c r="R143" s="196"/>
      <c r="S143" s="195">
        <v>94664</v>
      </c>
      <c r="T143" s="195">
        <v>0</v>
      </c>
      <c r="U143" s="195">
        <v>94664</v>
      </c>
      <c r="V143" s="185"/>
    </row>
    <row r="144" spans="1:22" x14ac:dyDescent="0.25">
      <c r="A144" s="192">
        <v>2021</v>
      </c>
      <c r="B144" s="192" t="s">
        <v>823</v>
      </c>
      <c r="C144" s="193" t="s">
        <v>162</v>
      </c>
      <c r="D144" s="194" t="s">
        <v>819</v>
      </c>
      <c r="E144" s="194" t="s">
        <v>819</v>
      </c>
      <c r="F144" s="194" t="s">
        <v>162</v>
      </c>
      <c r="G144" s="193" t="s">
        <v>512</v>
      </c>
      <c r="H144" s="195">
        <v>0</v>
      </c>
      <c r="I144" s="195">
        <v>5</v>
      </c>
      <c r="J144" s="196"/>
      <c r="K144" s="195">
        <v>309204.75</v>
      </c>
      <c r="L144" s="195">
        <v>0</v>
      </c>
      <c r="M144" s="195">
        <v>309204.75</v>
      </c>
      <c r="N144" s="196"/>
      <c r="O144" s="195">
        <v>122751.25</v>
      </c>
      <c r="P144" s="195">
        <v>0</v>
      </c>
      <c r="Q144" s="195">
        <v>122751.25</v>
      </c>
      <c r="R144" s="196"/>
      <c r="S144" s="195">
        <v>431956</v>
      </c>
      <c r="T144" s="195">
        <v>0</v>
      </c>
      <c r="U144" s="195">
        <v>431956</v>
      </c>
      <c r="V144" s="185"/>
    </row>
    <row r="145" spans="1:22" x14ac:dyDescent="0.25">
      <c r="A145" s="192">
        <v>2021</v>
      </c>
      <c r="B145" s="192" t="s">
        <v>821</v>
      </c>
      <c r="C145" s="193" t="s">
        <v>169</v>
      </c>
      <c r="D145" s="194" t="s">
        <v>819</v>
      </c>
      <c r="E145" s="194" t="s">
        <v>819</v>
      </c>
      <c r="F145" s="194" t="s">
        <v>169</v>
      </c>
      <c r="G145" s="193" t="s">
        <v>519</v>
      </c>
      <c r="H145" s="195">
        <v>0</v>
      </c>
      <c r="I145" s="195">
        <v>7</v>
      </c>
      <c r="J145" s="196"/>
      <c r="K145" s="195">
        <v>221928</v>
      </c>
      <c r="L145" s="195">
        <v>0</v>
      </c>
      <c r="M145" s="195">
        <v>221928</v>
      </c>
      <c r="N145" s="196"/>
      <c r="O145" s="195">
        <v>79745</v>
      </c>
      <c r="P145" s="195">
        <v>0</v>
      </c>
      <c r="Q145" s="195">
        <v>79745</v>
      </c>
      <c r="R145" s="196"/>
      <c r="S145" s="195">
        <v>301673</v>
      </c>
      <c r="T145" s="195">
        <v>0</v>
      </c>
      <c r="U145" s="195">
        <v>301673</v>
      </c>
      <c r="V145" s="185"/>
    </row>
    <row r="146" spans="1:22" x14ac:dyDescent="0.25">
      <c r="A146" s="192">
        <v>2021</v>
      </c>
      <c r="B146" s="192" t="s">
        <v>820</v>
      </c>
      <c r="C146" s="193" t="s">
        <v>163</v>
      </c>
      <c r="D146" s="194" t="s">
        <v>819</v>
      </c>
      <c r="E146" s="194" t="s">
        <v>819</v>
      </c>
      <c r="F146" s="194" t="s">
        <v>163</v>
      </c>
      <c r="G146" s="193" t="s">
        <v>513</v>
      </c>
      <c r="H146" s="195">
        <v>0</v>
      </c>
      <c r="I146" s="195">
        <v>8</v>
      </c>
      <c r="J146" s="196"/>
      <c r="K146" s="195">
        <v>562892.25</v>
      </c>
      <c r="L146" s="195">
        <v>0</v>
      </c>
      <c r="M146" s="195">
        <v>562892.25</v>
      </c>
      <c r="N146" s="196"/>
      <c r="O146" s="195">
        <v>205137.75</v>
      </c>
      <c r="P146" s="195">
        <v>0</v>
      </c>
      <c r="Q146" s="195">
        <v>205137.75</v>
      </c>
      <c r="R146" s="196"/>
      <c r="S146" s="195">
        <v>768030</v>
      </c>
      <c r="T146" s="195">
        <v>0</v>
      </c>
      <c r="U146" s="195">
        <v>768030</v>
      </c>
      <c r="V146" s="185"/>
    </row>
    <row r="147" spans="1:22" x14ac:dyDescent="0.25">
      <c r="A147" s="192">
        <v>2021</v>
      </c>
      <c r="B147" s="192" t="s">
        <v>818</v>
      </c>
      <c r="C147" s="193" t="s">
        <v>164</v>
      </c>
      <c r="D147" s="194" t="s">
        <v>819</v>
      </c>
      <c r="E147" s="194" t="s">
        <v>819</v>
      </c>
      <c r="F147" s="194" t="s">
        <v>164</v>
      </c>
      <c r="G147" s="193" t="s">
        <v>514</v>
      </c>
      <c r="H147" s="195">
        <v>0</v>
      </c>
      <c r="I147" s="195">
        <v>5</v>
      </c>
      <c r="J147" s="196"/>
      <c r="K147" s="195">
        <v>881805.75</v>
      </c>
      <c r="L147" s="195">
        <v>0</v>
      </c>
      <c r="M147" s="195">
        <v>881805.75</v>
      </c>
      <c r="N147" s="196"/>
      <c r="O147" s="195">
        <v>353778.25</v>
      </c>
      <c r="P147" s="195">
        <v>0</v>
      </c>
      <c r="Q147" s="195">
        <v>353778.25</v>
      </c>
      <c r="R147" s="196"/>
      <c r="S147" s="195">
        <v>1235584</v>
      </c>
      <c r="T147" s="195">
        <v>0</v>
      </c>
      <c r="U147" s="195">
        <v>1235584</v>
      </c>
      <c r="V147" s="185"/>
    </row>
    <row r="148" spans="1:22" x14ac:dyDescent="0.25">
      <c r="A148" s="192">
        <v>2021</v>
      </c>
      <c r="B148" s="192" t="s">
        <v>818</v>
      </c>
      <c r="C148" s="193" t="s">
        <v>165</v>
      </c>
      <c r="D148" s="194" t="s">
        <v>819</v>
      </c>
      <c r="E148" s="194" t="s">
        <v>819</v>
      </c>
      <c r="F148" s="194" t="s">
        <v>165</v>
      </c>
      <c r="G148" s="193" t="s">
        <v>515</v>
      </c>
      <c r="H148" s="195">
        <v>0</v>
      </c>
      <c r="I148" s="195">
        <v>0</v>
      </c>
      <c r="J148" s="196"/>
      <c r="K148" s="195">
        <v>0</v>
      </c>
      <c r="L148" s="195">
        <v>0</v>
      </c>
      <c r="M148" s="195">
        <v>0</v>
      </c>
      <c r="N148" s="196"/>
      <c r="O148" s="195">
        <v>0</v>
      </c>
      <c r="P148" s="195">
        <v>0</v>
      </c>
      <c r="Q148" s="195">
        <v>0</v>
      </c>
      <c r="R148" s="196"/>
      <c r="S148" s="195">
        <v>0</v>
      </c>
      <c r="T148" s="195">
        <v>0</v>
      </c>
      <c r="U148" s="195">
        <v>0</v>
      </c>
      <c r="V148" s="185"/>
    </row>
    <row r="149" spans="1:22" x14ac:dyDescent="0.25">
      <c r="A149" s="192">
        <v>2021</v>
      </c>
      <c r="B149" s="192" t="s">
        <v>825</v>
      </c>
      <c r="C149" s="193" t="s">
        <v>166</v>
      </c>
      <c r="D149" s="194" t="s">
        <v>819</v>
      </c>
      <c r="E149" s="194" t="s">
        <v>819</v>
      </c>
      <c r="F149" s="194" t="s">
        <v>166</v>
      </c>
      <c r="G149" s="193" t="s">
        <v>516</v>
      </c>
      <c r="H149" s="195">
        <v>0</v>
      </c>
      <c r="I149" s="195">
        <v>5</v>
      </c>
      <c r="J149" s="196"/>
      <c r="K149" s="195">
        <v>5376445.5</v>
      </c>
      <c r="L149" s="195">
        <v>0</v>
      </c>
      <c r="M149" s="195">
        <v>5376445.5</v>
      </c>
      <c r="N149" s="196"/>
      <c r="O149" s="195">
        <v>2371359.5</v>
      </c>
      <c r="P149" s="195">
        <v>0</v>
      </c>
      <c r="Q149" s="195">
        <v>2371359.5</v>
      </c>
      <c r="R149" s="196"/>
      <c r="S149" s="195">
        <v>7747805</v>
      </c>
      <c r="T149" s="195">
        <v>0</v>
      </c>
      <c r="U149" s="195">
        <v>7747805</v>
      </c>
      <c r="V149" s="185"/>
    </row>
    <row r="150" spans="1:22" x14ac:dyDescent="0.25">
      <c r="A150" s="192">
        <v>2021</v>
      </c>
      <c r="B150" s="192" t="s">
        <v>820</v>
      </c>
      <c r="C150" s="193" t="s">
        <v>167</v>
      </c>
      <c r="D150" s="194" t="s">
        <v>819</v>
      </c>
      <c r="E150" s="194" t="s">
        <v>819</v>
      </c>
      <c r="F150" s="194" t="s">
        <v>167</v>
      </c>
      <c r="G150" s="193" t="s">
        <v>517</v>
      </c>
      <c r="H150" s="195">
        <v>0</v>
      </c>
      <c r="I150" s="195">
        <v>8</v>
      </c>
      <c r="J150" s="196"/>
      <c r="K150" s="195">
        <v>360760.5</v>
      </c>
      <c r="L150" s="195">
        <v>0</v>
      </c>
      <c r="M150" s="195">
        <v>360760.5</v>
      </c>
      <c r="N150" s="196"/>
      <c r="O150" s="195">
        <v>140801.5</v>
      </c>
      <c r="P150" s="195">
        <v>0</v>
      </c>
      <c r="Q150" s="195">
        <v>140801.5</v>
      </c>
      <c r="R150" s="196"/>
      <c r="S150" s="195">
        <v>501562</v>
      </c>
      <c r="T150" s="195">
        <v>0</v>
      </c>
      <c r="U150" s="195">
        <v>501562</v>
      </c>
      <c r="V150" s="185"/>
    </row>
    <row r="151" spans="1:22" x14ac:dyDescent="0.25">
      <c r="A151" s="192">
        <v>2021</v>
      </c>
      <c r="B151" s="192" t="s">
        <v>825</v>
      </c>
      <c r="C151" s="193" t="s">
        <v>168</v>
      </c>
      <c r="D151" s="194" t="s">
        <v>819</v>
      </c>
      <c r="E151" s="194" t="s">
        <v>819</v>
      </c>
      <c r="F151" s="194" t="s">
        <v>168</v>
      </c>
      <c r="G151" s="193" t="s">
        <v>518</v>
      </c>
      <c r="H151" s="195">
        <v>6</v>
      </c>
      <c r="I151" s="195">
        <v>6</v>
      </c>
      <c r="J151" s="196"/>
      <c r="K151" s="195">
        <v>299668.5</v>
      </c>
      <c r="L151" s="195">
        <v>149834.25</v>
      </c>
      <c r="M151" s="195">
        <v>149834.25</v>
      </c>
      <c r="N151" s="196"/>
      <c r="O151" s="195">
        <v>103877.5</v>
      </c>
      <c r="P151" s="195">
        <v>51938.75</v>
      </c>
      <c r="Q151" s="195">
        <v>51938.75</v>
      </c>
      <c r="R151" s="196"/>
      <c r="S151" s="195">
        <v>403546</v>
      </c>
      <c r="T151" s="195">
        <v>201773</v>
      </c>
      <c r="U151" s="195">
        <v>201773</v>
      </c>
      <c r="V151" s="185"/>
    </row>
    <row r="152" spans="1:22" x14ac:dyDescent="0.25">
      <c r="A152" s="192">
        <v>2021</v>
      </c>
      <c r="B152" s="192" t="s">
        <v>820</v>
      </c>
      <c r="C152" s="193" t="s">
        <v>170</v>
      </c>
      <c r="D152" s="194" t="s">
        <v>819</v>
      </c>
      <c r="E152" s="194" t="s">
        <v>819</v>
      </c>
      <c r="F152" s="194" t="s">
        <v>170</v>
      </c>
      <c r="G152" s="193" t="s">
        <v>520</v>
      </c>
      <c r="H152" s="195">
        <v>0</v>
      </c>
      <c r="I152" s="195">
        <v>7</v>
      </c>
      <c r="J152" s="196"/>
      <c r="K152" s="195">
        <v>164395.5</v>
      </c>
      <c r="L152" s="195">
        <v>0</v>
      </c>
      <c r="M152" s="195">
        <v>164395.5</v>
      </c>
      <c r="N152" s="196"/>
      <c r="O152" s="195">
        <v>60925.5</v>
      </c>
      <c r="P152" s="195">
        <v>0</v>
      </c>
      <c r="Q152" s="195">
        <v>60925.5</v>
      </c>
      <c r="R152" s="196"/>
      <c r="S152" s="195">
        <v>225321</v>
      </c>
      <c r="T152" s="195">
        <v>0</v>
      </c>
      <c r="U152" s="195">
        <v>225321</v>
      </c>
      <c r="V152" s="185"/>
    </row>
    <row r="153" spans="1:22" x14ac:dyDescent="0.25">
      <c r="A153" s="192">
        <v>2021</v>
      </c>
      <c r="B153" s="192" t="s">
        <v>820</v>
      </c>
      <c r="C153" s="193" t="s">
        <v>172</v>
      </c>
      <c r="D153" s="194" t="s">
        <v>819</v>
      </c>
      <c r="E153" s="194" t="s">
        <v>819</v>
      </c>
      <c r="F153" s="194" t="s">
        <v>172</v>
      </c>
      <c r="G153" s="193" t="s">
        <v>522</v>
      </c>
      <c r="H153" s="195">
        <v>0</v>
      </c>
      <c r="I153" s="195">
        <v>0</v>
      </c>
      <c r="J153" s="196"/>
      <c r="K153" s="195">
        <v>0</v>
      </c>
      <c r="L153" s="195">
        <v>0</v>
      </c>
      <c r="M153" s="195">
        <v>0</v>
      </c>
      <c r="N153" s="196"/>
      <c r="O153" s="195">
        <v>0</v>
      </c>
      <c r="P153" s="195">
        <v>0</v>
      </c>
      <c r="Q153" s="195">
        <v>0</v>
      </c>
      <c r="R153" s="196"/>
      <c r="S153" s="195">
        <v>0</v>
      </c>
      <c r="T153" s="195">
        <v>0</v>
      </c>
      <c r="U153" s="195">
        <v>0</v>
      </c>
      <c r="V153" s="185"/>
    </row>
    <row r="154" spans="1:22" x14ac:dyDescent="0.25">
      <c r="A154" s="192">
        <v>2021</v>
      </c>
      <c r="B154" s="192" t="s">
        <v>818</v>
      </c>
      <c r="C154" s="193" t="s">
        <v>173</v>
      </c>
      <c r="D154" s="194" t="s">
        <v>819</v>
      </c>
      <c r="E154" s="194" t="s">
        <v>819</v>
      </c>
      <c r="F154" s="194" t="s">
        <v>173</v>
      </c>
      <c r="G154" s="193" t="s">
        <v>523</v>
      </c>
      <c r="H154" s="195">
        <v>0</v>
      </c>
      <c r="I154" s="195">
        <v>0</v>
      </c>
      <c r="J154" s="196"/>
      <c r="K154" s="195">
        <v>0</v>
      </c>
      <c r="L154" s="195">
        <v>0</v>
      </c>
      <c r="M154" s="195">
        <v>0</v>
      </c>
      <c r="N154" s="196"/>
      <c r="O154" s="195">
        <v>0</v>
      </c>
      <c r="P154" s="195">
        <v>0</v>
      </c>
      <c r="Q154" s="195">
        <v>0</v>
      </c>
      <c r="R154" s="196"/>
      <c r="S154" s="195">
        <v>0</v>
      </c>
      <c r="T154" s="195">
        <v>0</v>
      </c>
      <c r="U154" s="195">
        <v>0</v>
      </c>
      <c r="V154" s="185"/>
    </row>
    <row r="155" spans="1:22" x14ac:dyDescent="0.25">
      <c r="A155" s="192">
        <v>2021</v>
      </c>
      <c r="B155" s="192" t="s">
        <v>824</v>
      </c>
      <c r="C155" s="193" t="s">
        <v>174</v>
      </c>
      <c r="D155" s="194" t="s">
        <v>819</v>
      </c>
      <c r="E155" s="194" t="s">
        <v>819</v>
      </c>
      <c r="F155" s="194" t="s">
        <v>174</v>
      </c>
      <c r="G155" s="193" t="s">
        <v>524</v>
      </c>
      <c r="H155" s="195">
        <v>0</v>
      </c>
      <c r="I155" s="195">
        <v>0</v>
      </c>
      <c r="J155" s="196"/>
      <c r="K155" s="195">
        <v>0</v>
      </c>
      <c r="L155" s="195">
        <v>0</v>
      </c>
      <c r="M155" s="195">
        <v>0</v>
      </c>
      <c r="N155" s="196"/>
      <c r="O155" s="195">
        <v>0</v>
      </c>
      <c r="P155" s="195">
        <v>0</v>
      </c>
      <c r="Q155" s="195">
        <v>0</v>
      </c>
      <c r="R155" s="196"/>
      <c r="S155" s="195">
        <v>0</v>
      </c>
      <c r="T155" s="195">
        <v>0</v>
      </c>
      <c r="U155" s="195">
        <v>0</v>
      </c>
      <c r="V155" s="185"/>
    </row>
    <row r="156" spans="1:22" x14ac:dyDescent="0.25">
      <c r="A156" s="192">
        <v>2021</v>
      </c>
      <c r="B156" s="192" t="s">
        <v>824</v>
      </c>
      <c r="C156" s="193" t="s">
        <v>175</v>
      </c>
      <c r="D156" s="194" t="s">
        <v>819</v>
      </c>
      <c r="E156" s="194" t="s">
        <v>819</v>
      </c>
      <c r="F156" s="194" t="s">
        <v>175</v>
      </c>
      <c r="G156" s="193" t="s">
        <v>525</v>
      </c>
      <c r="H156" s="195">
        <v>0</v>
      </c>
      <c r="I156" s="195">
        <v>1</v>
      </c>
      <c r="J156" s="196"/>
      <c r="K156" s="195">
        <v>14309.25</v>
      </c>
      <c r="L156" s="195">
        <v>0</v>
      </c>
      <c r="M156" s="195">
        <v>14309.25</v>
      </c>
      <c r="N156" s="196"/>
      <c r="O156" s="195">
        <v>5845.75</v>
      </c>
      <c r="P156" s="195">
        <v>0</v>
      </c>
      <c r="Q156" s="195">
        <v>5845.75</v>
      </c>
      <c r="R156" s="196"/>
      <c r="S156" s="195">
        <v>20155</v>
      </c>
      <c r="T156" s="195">
        <v>0</v>
      </c>
      <c r="U156" s="195">
        <v>20155</v>
      </c>
      <c r="V156" s="185"/>
    </row>
    <row r="157" spans="1:22" x14ac:dyDescent="0.25">
      <c r="A157" s="192">
        <v>2021</v>
      </c>
      <c r="B157" s="192" t="s">
        <v>822</v>
      </c>
      <c r="C157" s="193" t="s">
        <v>176</v>
      </c>
      <c r="D157" s="194" t="s">
        <v>819</v>
      </c>
      <c r="E157" s="194" t="s">
        <v>819</v>
      </c>
      <c r="F157" s="194" t="s">
        <v>176</v>
      </c>
      <c r="G157" s="193" t="s">
        <v>526</v>
      </c>
      <c r="H157" s="195">
        <v>3</v>
      </c>
      <c r="I157" s="195">
        <v>1</v>
      </c>
      <c r="J157" s="196"/>
      <c r="K157" s="195">
        <v>79053.75</v>
      </c>
      <c r="L157" s="195">
        <v>59290.31</v>
      </c>
      <c r="M157" s="195">
        <v>19763.440000000002</v>
      </c>
      <c r="N157" s="196"/>
      <c r="O157" s="195">
        <v>30429.25</v>
      </c>
      <c r="P157" s="195">
        <v>22821.94</v>
      </c>
      <c r="Q157" s="195">
        <v>7607.3100000000013</v>
      </c>
      <c r="R157" s="196"/>
      <c r="S157" s="195">
        <v>109483</v>
      </c>
      <c r="T157" s="195">
        <v>82112.25</v>
      </c>
      <c r="U157" s="195">
        <v>27370.750000000004</v>
      </c>
      <c r="V157" s="185"/>
    </row>
    <row r="158" spans="1:22" x14ac:dyDescent="0.25">
      <c r="A158" s="192">
        <v>2021</v>
      </c>
      <c r="B158" s="192" t="s">
        <v>818</v>
      </c>
      <c r="C158" s="193" t="s">
        <v>177</v>
      </c>
      <c r="D158" s="194" t="s">
        <v>819</v>
      </c>
      <c r="E158" s="194" t="s">
        <v>819</v>
      </c>
      <c r="F158" s="194" t="s">
        <v>177</v>
      </c>
      <c r="G158" s="193" t="s">
        <v>527</v>
      </c>
      <c r="H158" s="195">
        <v>0</v>
      </c>
      <c r="I158" s="195">
        <v>7</v>
      </c>
      <c r="J158" s="196"/>
      <c r="K158" s="195">
        <v>545867.25</v>
      </c>
      <c r="L158" s="195">
        <v>0</v>
      </c>
      <c r="M158" s="195">
        <v>545867.25</v>
      </c>
      <c r="N158" s="196"/>
      <c r="O158" s="195">
        <v>200642.75</v>
      </c>
      <c r="P158" s="195">
        <v>0</v>
      </c>
      <c r="Q158" s="195">
        <v>200642.75</v>
      </c>
      <c r="R158" s="196"/>
      <c r="S158" s="195">
        <v>746510</v>
      </c>
      <c r="T158" s="195">
        <v>0</v>
      </c>
      <c r="U158" s="195">
        <v>746510</v>
      </c>
      <c r="V158" s="185"/>
    </row>
    <row r="159" spans="1:22" x14ac:dyDescent="0.25">
      <c r="A159" s="192">
        <v>2021</v>
      </c>
      <c r="B159" s="192" t="s">
        <v>820</v>
      </c>
      <c r="C159" s="193" t="s">
        <v>178</v>
      </c>
      <c r="D159" s="194" t="s">
        <v>819</v>
      </c>
      <c r="E159" s="194" t="s">
        <v>819</v>
      </c>
      <c r="F159" s="194" t="s">
        <v>178</v>
      </c>
      <c r="G159" s="193" t="s">
        <v>528</v>
      </c>
      <c r="H159" s="195">
        <v>0</v>
      </c>
      <c r="I159" s="195">
        <v>10</v>
      </c>
      <c r="J159" s="196"/>
      <c r="K159" s="195">
        <v>223488</v>
      </c>
      <c r="L159" s="195">
        <v>0</v>
      </c>
      <c r="M159" s="195">
        <v>223488</v>
      </c>
      <c r="N159" s="196"/>
      <c r="O159" s="195">
        <v>83296</v>
      </c>
      <c r="P159" s="195">
        <v>0</v>
      </c>
      <c r="Q159" s="195">
        <v>83296</v>
      </c>
      <c r="R159" s="196"/>
      <c r="S159" s="195">
        <v>306784</v>
      </c>
      <c r="T159" s="195">
        <v>0</v>
      </c>
      <c r="U159" s="195">
        <v>306784</v>
      </c>
      <c r="V159" s="185"/>
    </row>
    <row r="160" spans="1:22" x14ac:dyDescent="0.25">
      <c r="A160" s="192">
        <v>2021</v>
      </c>
      <c r="B160" s="192" t="s">
        <v>821</v>
      </c>
      <c r="C160" s="193" t="s">
        <v>179</v>
      </c>
      <c r="D160" s="194" t="s">
        <v>819</v>
      </c>
      <c r="E160" s="194" t="s">
        <v>819</v>
      </c>
      <c r="F160" s="194" t="s">
        <v>179</v>
      </c>
      <c r="G160" s="193" t="s">
        <v>529</v>
      </c>
      <c r="H160" s="195">
        <v>0</v>
      </c>
      <c r="I160" s="195">
        <v>6</v>
      </c>
      <c r="J160" s="196"/>
      <c r="K160" s="195">
        <v>51126</v>
      </c>
      <c r="L160" s="195">
        <v>0</v>
      </c>
      <c r="M160" s="195">
        <v>51126</v>
      </c>
      <c r="N160" s="196"/>
      <c r="O160" s="195">
        <v>20341</v>
      </c>
      <c r="P160" s="195">
        <v>0</v>
      </c>
      <c r="Q160" s="195">
        <v>20341</v>
      </c>
      <c r="R160" s="196"/>
      <c r="S160" s="195">
        <v>71467</v>
      </c>
      <c r="T160" s="195">
        <v>0</v>
      </c>
      <c r="U160" s="195">
        <v>71467</v>
      </c>
      <c r="V160" s="185"/>
    </row>
    <row r="161" spans="1:22" x14ac:dyDescent="0.25">
      <c r="A161" s="192">
        <v>2021</v>
      </c>
      <c r="B161" s="192" t="s">
        <v>823</v>
      </c>
      <c r="C161" s="193" t="s">
        <v>180</v>
      </c>
      <c r="D161" s="194" t="s">
        <v>819</v>
      </c>
      <c r="E161" s="194" t="s">
        <v>819</v>
      </c>
      <c r="F161" s="194" t="s">
        <v>180</v>
      </c>
      <c r="G161" s="193" t="s">
        <v>530</v>
      </c>
      <c r="H161" s="195">
        <v>4</v>
      </c>
      <c r="I161" s="195">
        <v>4</v>
      </c>
      <c r="J161" s="196"/>
      <c r="K161" s="195">
        <v>88146.75</v>
      </c>
      <c r="L161" s="195">
        <v>44073.38</v>
      </c>
      <c r="M161" s="195">
        <v>44073.37</v>
      </c>
      <c r="N161" s="196"/>
      <c r="O161" s="195">
        <v>32163.25</v>
      </c>
      <c r="P161" s="195">
        <v>16081.63</v>
      </c>
      <c r="Q161" s="195">
        <v>16081.62</v>
      </c>
      <c r="R161" s="196"/>
      <c r="S161" s="195">
        <v>120310</v>
      </c>
      <c r="T161" s="195">
        <v>60155.009999999995</v>
      </c>
      <c r="U161" s="195">
        <v>60154.990000000005</v>
      </c>
      <c r="V161" s="185"/>
    </row>
    <row r="162" spans="1:22" x14ac:dyDescent="0.25">
      <c r="A162" s="192">
        <v>2021</v>
      </c>
      <c r="B162" s="192" t="s">
        <v>822</v>
      </c>
      <c r="C162" s="193" t="s">
        <v>181</v>
      </c>
      <c r="D162" s="194" t="s">
        <v>819</v>
      </c>
      <c r="E162" s="194" t="s">
        <v>819</v>
      </c>
      <c r="F162" s="194" t="s">
        <v>181</v>
      </c>
      <c r="G162" s="193" t="s">
        <v>531</v>
      </c>
      <c r="H162" s="195">
        <v>0</v>
      </c>
      <c r="I162" s="195">
        <v>7</v>
      </c>
      <c r="J162" s="196"/>
      <c r="K162" s="195">
        <v>202554.75</v>
      </c>
      <c r="L162" s="195">
        <v>0</v>
      </c>
      <c r="M162" s="195">
        <v>202554.75</v>
      </c>
      <c r="N162" s="196"/>
      <c r="O162" s="195">
        <v>90899.25</v>
      </c>
      <c r="P162" s="195">
        <v>0</v>
      </c>
      <c r="Q162" s="195">
        <v>90899.25</v>
      </c>
      <c r="R162" s="196"/>
      <c r="S162" s="195">
        <v>293454</v>
      </c>
      <c r="T162" s="195">
        <v>0</v>
      </c>
      <c r="U162" s="195">
        <v>293454</v>
      </c>
      <c r="V162" s="185"/>
    </row>
    <row r="163" spans="1:22" x14ac:dyDescent="0.25">
      <c r="A163" s="192">
        <v>2021</v>
      </c>
      <c r="B163" s="192" t="s">
        <v>822</v>
      </c>
      <c r="C163" s="193" t="s">
        <v>183</v>
      </c>
      <c r="D163" s="194" t="s">
        <v>819</v>
      </c>
      <c r="E163" s="194" t="s">
        <v>819</v>
      </c>
      <c r="F163" s="194" t="s">
        <v>183</v>
      </c>
      <c r="G163" s="193" t="s">
        <v>533</v>
      </c>
      <c r="H163" s="195">
        <v>0</v>
      </c>
      <c r="I163" s="195">
        <v>0</v>
      </c>
      <c r="J163" s="196"/>
      <c r="K163" s="195">
        <v>0</v>
      </c>
      <c r="L163" s="195">
        <v>0</v>
      </c>
      <c r="M163" s="195">
        <v>0</v>
      </c>
      <c r="N163" s="196"/>
      <c r="O163" s="195">
        <v>0</v>
      </c>
      <c r="P163" s="195">
        <v>0</v>
      </c>
      <c r="Q163" s="195">
        <v>0</v>
      </c>
      <c r="R163" s="196"/>
      <c r="S163" s="195">
        <v>0</v>
      </c>
      <c r="T163" s="195">
        <v>0</v>
      </c>
      <c r="U163" s="195">
        <v>0</v>
      </c>
      <c r="V163" s="185"/>
    </row>
    <row r="164" spans="1:22" x14ac:dyDescent="0.25">
      <c r="A164" s="192">
        <v>2021</v>
      </c>
      <c r="B164" s="192" t="s">
        <v>821</v>
      </c>
      <c r="C164" s="193" t="s">
        <v>184</v>
      </c>
      <c r="D164" s="194" t="s">
        <v>819</v>
      </c>
      <c r="E164" s="194" t="s">
        <v>819</v>
      </c>
      <c r="F164" s="194" t="s">
        <v>184</v>
      </c>
      <c r="G164" s="193" t="s">
        <v>534</v>
      </c>
      <c r="H164" s="195">
        <v>1</v>
      </c>
      <c r="I164" s="195">
        <v>1</v>
      </c>
      <c r="J164" s="196"/>
      <c r="K164" s="195">
        <v>27629.25</v>
      </c>
      <c r="L164" s="195">
        <v>13814.63</v>
      </c>
      <c r="M164" s="195">
        <v>13814.62</v>
      </c>
      <c r="N164" s="196"/>
      <c r="O164" s="195">
        <v>9937.75</v>
      </c>
      <c r="P164" s="195">
        <v>4968.88</v>
      </c>
      <c r="Q164" s="195">
        <v>4968.87</v>
      </c>
      <c r="R164" s="196"/>
      <c r="S164" s="195">
        <v>37567</v>
      </c>
      <c r="T164" s="195">
        <v>18783.509999999998</v>
      </c>
      <c r="U164" s="195">
        <v>18783.490000000002</v>
      </c>
      <c r="V164" s="185"/>
    </row>
    <row r="165" spans="1:22" x14ac:dyDescent="0.25">
      <c r="A165" s="192">
        <v>2021</v>
      </c>
      <c r="B165" s="192" t="s">
        <v>821</v>
      </c>
      <c r="C165" s="193" t="s">
        <v>185</v>
      </c>
      <c r="D165" s="194" t="s">
        <v>819</v>
      </c>
      <c r="E165" s="194" t="s">
        <v>819</v>
      </c>
      <c r="F165" s="194" t="s">
        <v>185</v>
      </c>
      <c r="G165" s="193" t="s">
        <v>535</v>
      </c>
      <c r="H165" s="195">
        <v>0</v>
      </c>
      <c r="I165" s="195">
        <v>1</v>
      </c>
      <c r="J165" s="196"/>
      <c r="K165" s="195">
        <v>86645.25</v>
      </c>
      <c r="L165" s="195">
        <v>0</v>
      </c>
      <c r="M165" s="195">
        <v>86645.25</v>
      </c>
      <c r="N165" s="196"/>
      <c r="O165" s="195">
        <v>36423.75</v>
      </c>
      <c r="P165" s="195">
        <v>0</v>
      </c>
      <c r="Q165" s="195">
        <v>36423.75</v>
      </c>
      <c r="R165" s="196"/>
      <c r="S165" s="195">
        <v>123069</v>
      </c>
      <c r="T165" s="195">
        <v>0</v>
      </c>
      <c r="U165" s="195">
        <v>123069</v>
      </c>
      <c r="V165" s="185"/>
    </row>
    <row r="166" spans="1:22" x14ac:dyDescent="0.25">
      <c r="A166" s="192">
        <v>2021</v>
      </c>
      <c r="B166" s="192" t="s">
        <v>825</v>
      </c>
      <c r="C166" s="193" t="s">
        <v>187</v>
      </c>
      <c r="D166" s="194" t="s">
        <v>819</v>
      </c>
      <c r="E166" s="194" t="s">
        <v>819</v>
      </c>
      <c r="F166" s="194" t="s">
        <v>187</v>
      </c>
      <c r="G166" s="193" t="s">
        <v>537</v>
      </c>
      <c r="H166" s="195">
        <v>0</v>
      </c>
      <c r="I166" s="195">
        <v>0</v>
      </c>
      <c r="J166" s="196"/>
      <c r="K166" s="195">
        <v>0</v>
      </c>
      <c r="L166" s="195">
        <v>0</v>
      </c>
      <c r="M166" s="195">
        <v>0</v>
      </c>
      <c r="N166" s="196"/>
      <c r="O166" s="195">
        <v>0</v>
      </c>
      <c r="P166" s="195">
        <v>0</v>
      </c>
      <c r="Q166" s="195">
        <v>0</v>
      </c>
      <c r="R166" s="196"/>
      <c r="S166" s="195">
        <v>0</v>
      </c>
      <c r="T166" s="195">
        <v>0</v>
      </c>
      <c r="U166" s="195">
        <v>0</v>
      </c>
      <c r="V166" s="185"/>
    </row>
    <row r="167" spans="1:22" x14ac:dyDescent="0.25">
      <c r="A167" s="192">
        <v>2021</v>
      </c>
      <c r="B167" s="192" t="s">
        <v>825</v>
      </c>
      <c r="C167" s="193" t="s">
        <v>188</v>
      </c>
      <c r="D167" s="194" t="s">
        <v>819</v>
      </c>
      <c r="E167" s="194" t="s">
        <v>819</v>
      </c>
      <c r="F167" s="194" t="s">
        <v>188</v>
      </c>
      <c r="G167" s="193" t="s">
        <v>538</v>
      </c>
      <c r="H167" s="195">
        <v>0</v>
      </c>
      <c r="I167" s="195">
        <v>1</v>
      </c>
      <c r="J167" s="196"/>
      <c r="K167" s="195">
        <v>29459.25</v>
      </c>
      <c r="L167" s="195">
        <v>0</v>
      </c>
      <c r="M167" s="195">
        <v>29459.25</v>
      </c>
      <c r="N167" s="196"/>
      <c r="O167" s="195">
        <v>10457.75</v>
      </c>
      <c r="P167" s="195">
        <v>0</v>
      </c>
      <c r="Q167" s="195">
        <v>10457.75</v>
      </c>
      <c r="R167" s="196"/>
      <c r="S167" s="195">
        <v>39917</v>
      </c>
      <c r="T167" s="195">
        <v>0</v>
      </c>
      <c r="U167" s="195">
        <v>39917</v>
      </c>
      <c r="V167" s="185"/>
    </row>
    <row r="168" spans="1:22" x14ac:dyDescent="0.25">
      <c r="A168" s="192">
        <v>2021</v>
      </c>
      <c r="B168" s="192" t="s">
        <v>821</v>
      </c>
      <c r="C168" s="193" t="s">
        <v>189</v>
      </c>
      <c r="D168" s="194" t="s">
        <v>819</v>
      </c>
      <c r="E168" s="194" t="s">
        <v>819</v>
      </c>
      <c r="F168" s="194" t="s">
        <v>189</v>
      </c>
      <c r="G168" s="193" t="s">
        <v>539</v>
      </c>
      <c r="H168" s="195">
        <v>0</v>
      </c>
      <c r="I168" s="195">
        <v>7</v>
      </c>
      <c r="J168" s="196"/>
      <c r="K168" s="195">
        <v>126740.25</v>
      </c>
      <c r="L168" s="195">
        <v>0</v>
      </c>
      <c r="M168" s="195">
        <v>126740.25</v>
      </c>
      <c r="N168" s="196"/>
      <c r="O168" s="195">
        <v>47082.75</v>
      </c>
      <c r="P168" s="195">
        <v>0</v>
      </c>
      <c r="Q168" s="195">
        <v>47082.75</v>
      </c>
      <c r="R168" s="196"/>
      <c r="S168" s="195">
        <v>173823</v>
      </c>
      <c r="T168" s="195">
        <v>0</v>
      </c>
      <c r="U168" s="195">
        <v>173823</v>
      </c>
      <c r="V168" s="185"/>
    </row>
    <row r="169" spans="1:22" x14ac:dyDescent="0.25">
      <c r="A169" s="192">
        <v>2021</v>
      </c>
      <c r="B169" s="192" t="s">
        <v>825</v>
      </c>
      <c r="C169" s="193" t="s">
        <v>190</v>
      </c>
      <c r="D169" s="194" t="s">
        <v>819</v>
      </c>
      <c r="E169" s="194" t="s">
        <v>819</v>
      </c>
      <c r="F169" s="194" t="s">
        <v>190</v>
      </c>
      <c r="G169" s="193" t="s">
        <v>540</v>
      </c>
      <c r="H169" s="195">
        <v>0</v>
      </c>
      <c r="I169" s="195">
        <v>6</v>
      </c>
      <c r="J169" s="196"/>
      <c r="K169" s="195">
        <v>100948.5</v>
      </c>
      <c r="L169" s="195">
        <v>0</v>
      </c>
      <c r="M169" s="195">
        <v>100948.5</v>
      </c>
      <c r="N169" s="196"/>
      <c r="O169" s="195">
        <v>37534.5</v>
      </c>
      <c r="P169" s="195">
        <v>0</v>
      </c>
      <c r="Q169" s="195">
        <v>37534.5</v>
      </c>
      <c r="R169" s="196"/>
      <c r="S169" s="195">
        <v>138483</v>
      </c>
      <c r="T169" s="195">
        <v>0</v>
      </c>
      <c r="U169" s="195">
        <v>138483</v>
      </c>
      <c r="V169" s="185"/>
    </row>
    <row r="170" spans="1:22" x14ac:dyDescent="0.25">
      <c r="A170" s="192">
        <v>2021</v>
      </c>
      <c r="B170" s="192" t="s">
        <v>828</v>
      </c>
      <c r="C170" s="193" t="s">
        <v>191</v>
      </c>
      <c r="D170" s="194" t="s">
        <v>819</v>
      </c>
      <c r="E170" s="194" t="s">
        <v>819</v>
      </c>
      <c r="F170" s="194" t="s">
        <v>191</v>
      </c>
      <c r="G170" s="193" t="s">
        <v>541</v>
      </c>
      <c r="H170" s="195">
        <v>0</v>
      </c>
      <c r="I170" s="195">
        <v>9</v>
      </c>
      <c r="J170" s="196"/>
      <c r="K170" s="195">
        <v>289065.75</v>
      </c>
      <c r="L170" s="195">
        <v>0</v>
      </c>
      <c r="M170" s="195">
        <v>289065.75</v>
      </c>
      <c r="N170" s="196"/>
      <c r="O170" s="195">
        <v>102890.25</v>
      </c>
      <c r="P170" s="195">
        <v>0</v>
      </c>
      <c r="Q170" s="195">
        <v>102890.25</v>
      </c>
      <c r="R170" s="196"/>
      <c r="S170" s="195">
        <v>391956</v>
      </c>
      <c r="T170" s="195">
        <v>0</v>
      </c>
      <c r="U170" s="195">
        <v>391956</v>
      </c>
      <c r="V170" s="185"/>
    </row>
    <row r="171" spans="1:22" x14ac:dyDescent="0.25">
      <c r="A171" s="192">
        <v>2021</v>
      </c>
      <c r="B171" s="192" t="s">
        <v>823</v>
      </c>
      <c r="C171" s="193" t="s">
        <v>192</v>
      </c>
      <c r="D171" s="194" t="s">
        <v>819</v>
      </c>
      <c r="E171" s="194" t="s">
        <v>819</v>
      </c>
      <c r="F171" s="194" t="s">
        <v>192</v>
      </c>
      <c r="G171" s="193" t="s">
        <v>542</v>
      </c>
      <c r="H171" s="195">
        <v>0</v>
      </c>
      <c r="I171" s="195">
        <v>13</v>
      </c>
      <c r="J171" s="196"/>
      <c r="K171" s="195">
        <v>110341.5</v>
      </c>
      <c r="L171" s="195">
        <v>0</v>
      </c>
      <c r="M171" s="195">
        <v>110341.5</v>
      </c>
      <c r="N171" s="196"/>
      <c r="O171" s="195">
        <v>44773.5</v>
      </c>
      <c r="P171" s="195">
        <v>0</v>
      </c>
      <c r="Q171" s="195">
        <v>44773.5</v>
      </c>
      <c r="R171" s="196"/>
      <c r="S171" s="195">
        <v>155115</v>
      </c>
      <c r="T171" s="195">
        <v>0</v>
      </c>
      <c r="U171" s="195">
        <v>155115</v>
      </c>
      <c r="V171" s="185"/>
    </row>
    <row r="172" spans="1:22" x14ac:dyDescent="0.25">
      <c r="A172" s="192">
        <v>2021</v>
      </c>
      <c r="B172" s="192" t="s">
        <v>818</v>
      </c>
      <c r="C172" s="193" t="s">
        <v>193</v>
      </c>
      <c r="D172" s="194" t="s">
        <v>819</v>
      </c>
      <c r="E172" s="194" t="s">
        <v>819</v>
      </c>
      <c r="F172" s="194" t="s">
        <v>193</v>
      </c>
      <c r="G172" s="193" t="s">
        <v>543</v>
      </c>
      <c r="H172" s="195">
        <v>0</v>
      </c>
      <c r="I172" s="195">
        <v>6</v>
      </c>
      <c r="J172" s="196"/>
      <c r="K172" s="195">
        <v>155205.75</v>
      </c>
      <c r="L172" s="195">
        <v>0</v>
      </c>
      <c r="M172" s="195">
        <v>155205.75</v>
      </c>
      <c r="N172" s="196"/>
      <c r="O172" s="195">
        <v>100225.25</v>
      </c>
      <c r="P172" s="195">
        <v>0</v>
      </c>
      <c r="Q172" s="195">
        <v>100225.25</v>
      </c>
      <c r="R172" s="196"/>
      <c r="S172" s="195">
        <v>255431</v>
      </c>
      <c r="T172" s="195">
        <v>0</v>
      </c>
      <c r="U172" s="195">
        <v>255431</v>
      </c>
      <c r="V172" s="185"/>
    </row>
    <row r="173" spans="1:22" x14ac:dyDescent="0.25">
      <c r="A173" s="192">
        <v>2021</v>
      </c>
      <c r="B173" s="192" t="s">
        <v>818</v>
      </c>
      <c r="C173" s="193" t="s">
        <v>194</v>
      </c>
      <c r="D173" s="194" t="s">
        <v>819</v>
      </c>
      <c r="E173" s="194" t="s">
        <v>819</v>
      </c>
      <c r="F173" s="194" t="s">
        <v>194</v>
      </c>
      <c r="G173" s="193" t="s">
        <v>544</v>
      </c>
      <c r="H173" s="195">
        <v>0</v>
      </c>
      <c r="I173" s="195">
        <v>6</v>
      </c>
      <c r="J173" s="196"/>
      <c r="K173" s="195">
        <v>195157.5</v>
      </c>
      <c r="L173" s="195">
        <v>0</v>
      </c>
      <c r="M173" s="195">
        <v>195157.5</v>
      </c>
      <c r="N173" s="196"/>
      <c r="O173" s="195">
        <v>70722.5</v>
      </c>
      <c r="P173" s="195">
        <v>0</v>
      </c>
      <c r="Q173" s="195">
        <v>70722.5</v>
      </c>
      <c r="R173" s="196"/>
      <c r="S173" s="195">
        <v>265880</v>
      </c>
      <c r="T173" s="195">
        <v>0</v>
      </c>
      <c r="U173" s="195">
        <v>265880</v>
      </c>
      <c r="V173" s="185"/>
    </row>
    <row r="174" spans="1:22" x14ac:dyDescent="0.25">
      <c r="A174" s="192">
        <v>2021</v>
      </c>
      <c r="B174" s="192" t="s">
        <v>823</v>
      </c>
      <c r="C174" s="193" t="s">
        <v>196</v>
      </c>
      <c r="D174" s="194" t="s">
        <v>819</v>
      </c>
      <c r="E174" s="194" t="s">
        <v>819</v>
      </c>
      <c r="F174" s="194" t="s">
        <v>196</v>
      </c>
      <c r="G174" s="193" t="s">
        <v>546</v>
      </c>
      <c r="H174" s="195">
        <v>0</v>
      </c>
      <c r="I174" s="195">
        <v>7</v>
      </c>
      <c r="J174" s="196"/>
      <c r="K174" s="195">
        <v>312382.5</v>
      </c>
      <c r="L174" s="195">
        <v>0</v>
      </c>
      <c r="M174" s="195">
        <v>312382.5</v>
      </c>
      <c r="N174" s="196"/>
      <c r="O174" s="195">
        <v>117815.5</v>
      </c>
      <c r="P174" s="195">
        <v>0</v>
      </c>
      <c r="Q174" s="195">
        <v>117815.5</v>
      </c>
      <c r="R174" s="196"/>
      <c r="S174" s="195">
        <v>430198</v>
      </c>
      <c r="T174" s="195">
        <v>0</v>
      </c>
      <c r="U174" s="195">
        <v>430198</v>
      </c>
      <c r="V174" s="185"/>
    </row>
    <row r="175" spans="1:22" x14ac:dyDescent="0.25">
      <c r="A175" s="192">
        <v>2021</v>
      </c>
      <c r="B175" s="192" t="s">
        <v>822</v>
      </c>
      <c r="C175" s="193" t="s">
        <v>197</v>
      </c>
      <c r="D175" s="194" t="s">
        <v>833</v>
      </c>
      <c r="E175" s="194" t="s">
        <v>819</v>
      </c>
      <c r="F175" s="194" t="s">
        <v>197</v>
      </c>
      <c r="G175" s="193" t="s">
        <v>547</v>
      </c>
      <c r="H175" s="195">
        <v>0</v>
      </c>
      <c r="I175" s="195">
        <v>4</v>
      </c>
      <c r="J175" s="196"/>
      <c r="K175" s="195">
        <v>110871</v>
      </c>
      <c r="L175" s="195">
        <v>0</v>
      </c>
      <c r="M175" s="195">
        <v>110871</v>
      </c>
      <c r="N175" s="196"/>
      <c r="O175" s="195">
        <v>40230</v>
      </c>
      <c r="P175" s="195">
        <v>0</v>
      </c>
      <c r="Q175" s="195">
        <v>40230</v>
      </c>
      <c r="R175" s="196"/>
      <c r="S175" s="195">
        <v>151101</v>
      </c>
      <c r="T175" s="195">
        <v>0</v>
      </c>
      <c r="U175" s="195">
        <v>151101</v>
      </c>
      <c r="V175" s="185"/>
    </row>
    <row r="176" spans="1:22" x14ac:dyDescent="0.25">
      <c r="A176" s="192">
        <v>2021</v>
      </c>
      <c r="B176" s="192" t="s">
        <v>828</v>
      </c>
      <c r="C176" s="193" t="s">
        <v>198</v>
      </c>
      <c r="D176" s="194" t="s">
        <v>819</v>
      </c>
      <c r="E176" s="194" t="s">
        <v>819</v>
      </c>
      <c r="F176" s="194" t="s">
        <v>198</v>
      </c>
      <c r="G176" s="193" t="s">
        <v>548</v>
      </c>
      <c r="H176" s="195">
        <v>0</v>
      </c>
      <c r="I176" s="195">
        <v>9</v>
      </c>
      <c r="J176" s="196"/>
      <c r="K176" s="195">
        <v>489944.25</v>
      </c>
      <c r="L176" s="195">
        <v>0</v>
      </c>
      <c r="M176" s="195">
        <v>489944.25</v>
      </c>
      <c r="N176" s="196"/>
      <c r="O176" s="195">
        <v>174151.75</v>
      </c>
      <c r="P176" s="195">
        <v>0</v>
      </c>
      <c r="Q176" s="195">
        <v>174151.75</v>
      </c>
      <c r="R176" s="196"/>
      <c r="S176" s="195">
        <v>664096</v>
      </c>
      <c r="T176" s="195">
        <v>0</v>
      </c>
      <c r="U176" s="195">
        <v>664096</v>
      </c>
      <c r="V176" s="185"/>
    </row>
    <row r="177" spans="1:22" x14ac:dyDescent="0.25">
      <c r="A177" s="192">
        <v>2021</v>
      </c>
      <c r="B177" s="192" t="s">
        <v>827</v>
      </c>
      <c r="C177" s="193" t="s">
        <v>199</v>
      </c>
      <c r="D177" s="194" t="s">
        <v>819</v>
      </c>
      <c r="E177" s="194" t="s">
        <v>819</v>
      </c>
      <c r="F177" s="194" t="s">
        <v>199</v>
      </c>
      <c r="G177" s="193" t="s">
        <v>549</v>
      </c>
      <c r="H177" s="195">
        <v>0</v>
      </c>
      <c r="I177" s="195">
        <v>0</v>
      </c>
      <c r="J177" s="196"/>
      <c r="K177" s="195">
        <v>0</v>
      </c>
      <c r="L177" s="195">
        <v>0</v>
      </c>
      <c r="M177" s="195">
        <v>0</v>
      </c>
      <c r="N177" s="196"/>
      <c r="O177" s="195">
        <v>0</v>
      </c>
      <c r="P177" s="195">
        <v>0</v>
      </c>
      <c r="Q177" s="195">
        <v>0</v>
      </c>
      <c r="R177" s="196"/>
      <c r="S177" s="195">
        <v>0</v>
      </c>
      <c r="T177" s="195">
        <v>0</v>
      </c>
      <c r="U177" s="195">
        <v>0</v>
      </c>
      <c r="V177" s="185"/>
    </row>
    <row r="178" spans="1:22" x14ac:dyDescent="0.25">
      <c r="A178" s="192">
        <v>2021</v>
      </c>
      <c r="B178" s="192" t="s">
        <v>822</v>
      </c>
      <c r="C178" s="193" t="s">
        <v>200</v>
      </c>
      <c r="D178" s="194" t="s">
        <v>819</v>
      </c>
      <c r="E178" s="194" t="s">
        <v>819</v>
      </c>
      <c r="F178" s="194" t="s">
        <v>200</v>
      </c>
      <c r="G178" s="193" t="s">
        <v>550</v>
      </c>
      <c r="H178" s="195">
        <v>0</v>
      </c>
      <c r="I178" s="195">
        <v>8</v>
      </c>
      <c r="J178" s="196"/>
      <c r="K178" s="195">
        <v>180764.25</v>
      </c>
      <c r="L178" s="195">
        <v>0</v>
      </c>
      <c r="M178" s="195">
        <v>180764.25</v>
      </c>
      <c r="N178" s="196"/>
      <c r="O178" s="195">
        <v>66304.75</v>
      </c>
      <c r="P178" s="195">
        <v>0</v>
      </c>
      <c r="Q178" s="195">
        <v>66304.75</v>
      </c>
      <c r="R178" s="196"/>
      <c r="S178" s="195">
        <v>247069</v>
      </c>
      <c r="T178" s="195">
        <v>0</v>
      </c>
      <c r="U178" s="195">
        <v>247069</v>
      </c>
      <c r="V178" s="185"/>
    </row>
    <row r="179" spans="1:22" x14ac:dyDescent="0.25">
      <c r="A179" s="192">
        <v>2021</v>
      </c>
      <c r="B179" s="192" t="s">
        <v>825</v>
      </c>
      <c r="C179" s="193" t="s">
        <v>201</v>
      </c>
      <c r="D179" s="194" t="s">
        <v>819</v>
      </c>
      <c r="E179" s="194" t="s">
        <v>819</v>
      </c>
      <c r="F179" s="194" t="s">
        <v>201</v>
      </c>
      <c r="G179" s="193" t="s">
        <v>551</v>
      </c>
      <c r="H179" s="195">
        <v>2</v>
      </c>
      <c r="I179" s="195">
        <v>2</v>
      </c>
      <c r="J179" s="196"/>
      <c r="K179" s="195">
        <v>418875.75</v>
      </c>
      <c r="L179" s="195">
        <v>209437.88</v>
      </c>
      <c r="M179" s="195">
        <v>209437.87</v>
      </c>
      <c r="N179" s="196"/>
      <c r="O179" s="195">
        <v>149100.25</v>
      </c>
      <c r="P179" s="195">
        <v>74550.13</v>
      </c>
      <c r="Q179" s="195">
        <v>74550.12</v>
      </c>
      <c r="R179" s="196"/>
      <c r="S179" s="195">
        <v>567976</v>
      </c>
      <c r="T179" s="195">
        <v>283988.01</v>
      </c>
      <c r="U179" s="195">
        <v>283987.99</v>
      </c>
      <c r="V179" s="185"/>
    </row>
    <row r="180" spans="1:22" x14ac:dyDescent="0.25">
      <c r="A180" s="192">
        <v>2021</v>
      </c>
      <c r="B180" s="192" t="s">
        <v>820</v>
      </c>
      <c r="C180" s="193" t="s">
        <v>202</v>
      </c>
      <c r="D180" s="194" t="s">
        <v>819</v>
      </c>
      <c r="E180" s="194" t="s">
        <v>819</v>
      </c>
      <c r="F180" s="194" t="s">
        <v>202</v>
      </c>
      <c r="G180" s="193" t="s">
        <v>552</v>
      </c>
      <c r="H180" s="195">
        <v>0</v>
      </c>
      <c r="I180" s="195">
        <v>0</v>
      </c>
      <c r="J180" s="196"/>
      <c r="K180" s="195">
        <v>0</v>
      </c>
      <c r="L180" s="195">
        <v>0</v>
      </c>
      <c r="M180" s="195">
        <v>0</v>
      </c>
      <c r="N180" s="196"/>
      <c r="O180" s="195">
        <v>0</v>
      </c>
      <c r="P180" s="195">
        <v>0</v>
      </c>
      <c r="Q180" s="195">
        <v>0</v>
      </c>
      <c r="R180" s="196"/>
      <c r="S180" s="195">
        <v>0</v>
      </c>
      <c r="T180" s="195">
        <v>0</v>
      </c>
      <c r="U180" s="195">
        <v>0</v>
      </c>
      <c r="V180" s="185"/>
    </row>
    <row r="181" spans="1:22" x14ac:dyDescent="0.25">
      <c r="A181" s="192">
        <v>2021</v>
      </c>
      <c r="B181" s="192" t="s">
        <v>818</v>
      </c>
      <c r="C181" s="193" t="s">
        <v>203</v>
      </c>
      <c r="D181" s="194" t="s">
        <v>819</v>
      </c>
      <c r="E181" s="194" t="s">
        <v>819</v>
      </c>
      <c r="F181" s="194" t="s">
        <v>203</v>
      </c>
      <c r="G181" s="193" t="s">
        <v>553</v>
      </c>
      <c r="H181" s="195">
        <v>0</v>
      </c>
      <c r="I181" s="195">
        <v>1</v>
      </c>
      <c r="J181" s="196"/>
      <c r="K181" s="195">
        <v>30423.75</v>
      </c>
      <c r="L181" s="195">
        <v>0</v>
      </c>
      <c r="M181" s="195">
        <v>30423.75</v>
      </c>
      <c r="N181" s="196"/>
      <c r="O181" s="195">
        <v>12446.25</v>
      </c>
      <c r="P181" s="195">
        <v>0</v>
      </c>
      <c r="Q181" s="195">
        <v>12446.25</v>
      </c>
      <c r="R181" s="196"/>
      <c r="S181" s="195">
        <v>42870</v>
      </c>
      <c r="T181" s="195">
        <v>0</v>
      </c>
      <c r="U181" s="195">
        <v>42870</v>
      </c>
      <c r="V181" s="185"/>
    </row>
    <row r="182" spans="1:22" x14ac:dyDescent="0.25">
      <c r="A182" s="192">
        <v>2021</v>
      </c>
      <c r="B182" s="192" t="s">
        <v>820</v>
      </c>
      <c r="C182" s="193" t="s">
        <v>204</v>
      </c>
      <c r="D182" s="194" t="s">
        <v>819</v>
      </c>
      <c r="E182" s="194" t="s">
        <v>819</v>
      </c>
      <c r="F182" s="194" t="s">
        <v>204</v>
      </c>
      <c r="G182" s="193" t="s">
        <v>554</v>
      </c>
      <c r="H182" s="195">
        <v>0</v>
      </c>
      <c r="I182" s="195">
        <v>6</v>
      </c>
      <c r="J182" s="196"/>
      <c r="K182" s="195">
        <v>1201124.25</v>
      </c>
      <c r="L182" s="195">
        <v>0</v>
      </c>
      <c r="M182" s="195">
        <v>1201124.25</v>
      </c>
      <c r="N182" s="196"/>
      <c r="O182" s="195">
        <v>470986.75</v>
      </c>
      <c r="P182" s="195">
        <v>0</v>
      </c>
      <c r="Q182" s="195">
        <v>470986.75</v>
      </c>
      <c r="R182" s="196"/>
      <c r="S182" s="195">
        <v>1672111</v>
      </c>
      <c r="T182" s="195">
        <v>0</v>
      </c>
      <c r="U182" s="195">
        <v>1672111</v>
      </c>
      <c r="V182" s="185"/>
    </row>
    <row r="183" spans="1:22" x14ac:dyDescent="0.25">
      <c r="A183" s="192">
        <v>2021</v>
      </c>
      <c r="B183" s="192" t="s">
        <v>824</v>
      </c>
      <c r="C183" s="193" t="s">
        <v>206</v>
      </c>
      <c r="D183" s="194" t="s">
        <v>819</v>
      </c>
      <c r="E183" s="194" t="s">
        <v>819</v>
      </c>
      <c r="F183" s="194" t="s">
        <v>206</v>
      </c>
      <c r="G183" s="193" t="s">
        <v>556</v>
      </c>
      <c r="H183" s="195">
        <v>4</v>
      </c>
      <c r="I183" s="195">
        <v>6</v>
      </c>
      <c r="J183" s="196"/>
      <c r="K183" s="195">
        <v>392784.75</v>
      </c>
      <c r="L183" s="195">
        <v>157113.9</v>
      </c>
      <c r="M183" s="195">
        <v>235670.85</v>
      </c>
      <c r="N183" s="196"/>
      <c r="O183" s="195">
        <v>158294.25</v>
      </c>
      <c r="P183" s="195">
        <v>63317.7</v>
      </c>
      <c r="Q183" s="195">
        <v>94976.55</v>
      </c>
      <c r="R183" s="196"/>
      <c r="S183" s="195">
        <v>551079</v>
      </c>
      <c r="T183" s="195">
        <v>220431.59999999998</v>
      </c>
      <c r="U183" s="195">
        <v>330647.40000000002</v>
      </c>
      <c r="V183" s="185"/>
    </row>
    <row r="184" spans="1:22" x14ac:dyDescent="0.25">
      <c r="A184" s="192">
        <v>2021</v>
      </c>
      <c r="B184" s="192" t="s">
        <v>818</v>
      </c>
      <c r="C184" s="193" t="s">
        <v>207</v>
      </c>
      <c r="D184" s="194" t="s">
        <v>819</v>
      </c>
      <c r="E184" s="194" t="s">
        <v>819</v>
      </c>
      <c r="F184" s="194" t="s">
        <v>207</v>
      </c>
      <c r="G184" s="193" t="s">
        <v>557</v>
      </c>
      <c r="H184" s="195">
        <v>0</v>
      </c>
      <c r="I184" s="195">
        <v>2</v>
      </c>
      <c r="J184" s="196"/>
      <c r="K184" s="195">
        <v>19010.25</v>
      </c>
      <c r="L184" s="195">
        <v>0</v>
      </c>
      <c r="M184" s="195">
        <v>19010.25</v>
      </c>
      <c r="N184" s="196"/>
      <c r="O184" s="195">
        <v>6405.75</v>
      </c>
      <c r="P184" s="195">
        <v>0</v>
      </c>
      <c r="Q184" s="195">
        <v>6405.75</v>
      </c>
      <c r="R184" s="196"/>
      <c r="S184" s="195">
        <v>25416</v>
      </c>
      <c r="T184" s="195">
        <v>0</v>
      </c>
      <c r="U184" s="195">
        <v>25416</v>
      </c>
      <c r="V184" s="185"/>
    </row>
    <row r="185" spans="1:22" x14ac:dyDescent="0.25">
      <c r="A185" s="192">
        <v>2021</v>
      </c>
      <c r="B185" s="192" t="s">
        <v>827</v>
      </c>
      <c r="C185" s="193" t="s">
        <v>211</v>
      </c>
      <c r="D185" s="194" t="s">
        <v>819</v>
      </c>
      <c r="E185" s="194" t="s">
        <v>819</v>
      </c>
      <c r="F185" s="194" t="s">
        <v>211</v>
      </c>
      <c r="G185" s="193" t="s">
        <v>561</v>
      </c>
      <c r="H185" s="195">
        <v>4</v>
      </c>
      <c r="I185" s="195">
        <v>6</v>
      </c>
      <c r="J185" s="196"/>
      <c r="K185" s="195">
        <v>298019.25</v>
      </c>
      <c r="L185" s="195">
        <v>119207.7</v>
      </c>
      <c r="M185" s="195">
        <v>178811.55</v>
      </c>
      <c r="N185" s="196"/>
      <c r="O185" s="195">
        <v>109404.75</v>
      </c>
      <c r="P185" s="195">
        <v>43761.9</v>
      </c>
      <c r="Q185" s="195">
        <v>65642.850000000006</v>
      </c>
      <c r="R185" s="196"/>
      <c r="S185" s="195">
        <v>407424</v>
      </c>
      <c r="T185" s="195">
        <v>162969.60000000001</v>
      </c>
      <c r="U185" s="195">
        <v>244454.39999999999</v>
      </c>
      <c r="V185" s="185"/>
    </row>
    <row r="186" spans="1:22" x14ac:dyDescent="0.25">
      <c r="A186" s="192">
        <v>2021</v>
      </c>
      <c r="B186" s="192" t="s">
        <v>825</v>
      </c>
      <c r="C186" s="193" t="s">
        <v>208</v>
      </c>
      <c r="D186" s="194" t="s">
        <v>819</v>
      </c>
      <c r="E186" s="194" t="s">
        <v>819</v>
      </c>
      <c r="F186" s="194" t="s">
        <v>208</v>
      </c>
      <c r="G186" s="193" t="s">
        <v>558</v>
      </c>
      <c r="H186" s="195">
        <v>0</v>
      </c>
      <c r="I186" s="195">
        <v>12</v>
      </c>
      <c r="J186" s="196"/>
      <c r="K186" s="195">
        <v>219862.5</v>
      </c>
      <c r="L186" s="195">
        <v>0</v>
      </c>
      <c r="M186" s="195">
        <v>219862.5</v>
      </c>
      <c r="N186" s="196"/>
      <c r="O186" s="195">
        <v>78819.5</v>
      </c>
      <c r="P186" s="195">
        <v>0</v>
      </c>
      <c r="Q186" s="195">
        <v>78819.5</v>
      </c>
      <c r="R186" s="196"/>
      <c r="S186" s="195">
        <v>298682</v>
      </c>
      <c r="T186" s="195">
        <v>0</v>
      </c>
      <c r="U186" s="195">
        <v>298682</v>
      </c>
      <c r="V186" s="185"/>
    </row>
    <row r="187" spans="1:22" x14ac:dyDescent="0.25">
      <c r="A187" s="192">
        <v>2021</v>
      </c>
      <c r="B187" s="192" t="s">
        <v>825</v>
      </c>
      <c r="C187" s="193" t="s">
        <v>209</v>
      </c>
      <c r="D187" s="194" t="s">
        <v>819</v>
      </c>
      <c r="E187" s="194" t="s">
        <v>819</v>
      </c>
      <c r="F187" s="194" t="s">
        <v>209</v>
      </c>
      <c r="G187" s="193" t="s">
        <v>559</v>
      </c>
      <c r="H187" s="195">
        <v>5</v>
      </c>
      <c r="I187" s="195">
        <v>5</v>
      </c>
      <c r="J187" s="196"/>
      <c r="K187" s="195">
        <v>609366</v>
      </c>
      <c r="L187" s="195">
        <v>304683</v>
      </c>
      <c r="M187" s="195">
        <v>304683</v>
      </c>
      <c r="N187" s="196"/>
      <c r="O187" s="195">
        <v>228488</v>
      </c>
      <c r="P187" s="195">
        <v>114244</v>
      </c>
      <c r="Q187" s="195">
        <v>114244</v>
      </c>
      <c r="R187" s="196"/>
      <c r="S187" s="195">
        <v>837854</v>
      </c>
      <c r="T187" s="195">
        <v>418927</v>
      </c>
      <c r="U187" s="195">
        <v>418927</v>
      </c>
      <c r="V187" s="185"/>
    </row>
    <row r="188" spans="1:22" x14ac:dyDescent="0.25">
      <c r="A188" s="192">
        <v>2021</v>
      </c>
      <c r="B188" s="192" t="s">
        <v>821</v>
      </c>
      <c r="C188" s="193" t="s">
        <v>210</v>
      </c>
      <c r="D188" s="194" t="s">
        <v>819</v>
      </c>
      <c r="E188" s="194" t="s">
        <v>819</v>
      </c>
      <c r="F188" s="194" t="s">
        <v>210</v>
      </c>
      <c r="G188" s="193" t="s">
        <v>560</v>
      </c>
      <c r="H188" s="195">
        <v>0</v>
      </c>
      <c r="I188" s="195">
        <v>5</v>
      </c>
      <c r="J188" s="196"/>
      <c r="K188" s="195">
        <v>118284.75</v>
      </c>
      <c r="L188" s="195">
        <v>0</v>
      </c>
      <c r="M188" s="195">
        <v>118284.75</v>
      </c>
      <c r="N188" s="196"/>
      <c r="O188" s="195">
        <v>42939.25</v>
      </c>
      <c r="P188" s="195">
        <v>0</v>
      </c>
      <c r="Q188" s="195">
        <v>42939.25</v>
      </c>
      <c r="R188" s="196"/>
      <c r="S188" s="195">
        <v>161224</v>
      </c>
      <c r="T188" s="195">
        <v>0</v>
      </c>
      <c r="U188" s="195">
        <v>161224</v>
      </c>
      <c r="V188" s="185"/>
    </row>
    <row r="189" spans="1:22" x14ac:dyDescent="0.25">
      <c r="A189" s="192">
        <v>2021</v>
      </c>
      <c r="B189" s="192" t="s">
        <v>822</v>
      </c>
      <c r="C189" s="193" t="s">
        <v>205</v>
      </c>
      <c r="D189" s="194" t="s">
        <v>819</v>
      </c>
      <c r="E189" s="194" t="s">
        <v>819</v>
      </c>
      <c r="F189" s="194" t="s">
        <v>205</v>
      </c>
      <c r="G189" s="193" t="s">
        <v>555</v>
      </c>
      <c r="H189" s="195">
        <v>0</v>
      </c>
      <c r="I189" s="195">
        <v>3</v>
      </c>
      <c r="J189" s="196"/>
      <c r="K189" s="195">
        <v>242013.75</v>
      </c>
      <c r="L189" s="195">
        <v>0</v>
      </c>
      <c r="M189" s="195">
        <v>242013.75</v>
      </c>
      <c r="N189" s="196"/>
      <c r="O189" s="195">
        <v>94143.25</v>
      </c>
      <c r="P189" s="195">
        <v>0</v>
      </c>
      <c r="Q189" s="195">
        <v>94143.25</v>
      </c>
      <c r="R189" s="196"/>
      <c r="S189" s="195">
        <v>336157</v>
      </c>
      <c r="T189" s="195">
        <v>0</v>
      </c>
      <c r="U189" s="195">
        <v>336157</v>
      </c>
      <c r="V189" s="185"/>
    </row>
    <row r="190" spans="1:22" x14ac:dyDescent="0.25">
      <c r="A190" s="192">
        <v>2021</v>
      </c>
      <c r="B190" s="192" t="s">
        <v>820</v>
      </c>
      <c r="C190" s="193" t="s">
        <v>212</v>
      </c>
      <c r="D190" s="194" t="s">
        <v>819</v>
      </c>
      <c r="E190" s="194" t="s">
        <v>819</v>
      </c>
      <c r="F190" s="194" t="s">
        <v>212</v>
      </c>
      <c r="G190" s="193" t="s">
        <v>562</v>
      </c>
      <c r="H190" s="195">
        <v>0</v>
      </c>
      <c r="I190" s="195">
        <v>8</v>
      </c>
      <c r="J190" s="196"/>
      <c r="K190" s="195">
        <v>201207</v>
      </c>
      <c r="L190" s="195">
        <v>0</v>
      </c>
      <c r="M190" s="195">
        <v>201207</v>
      </c>
      <c r="N190" s="196"/>
      <c r="O190" s="195">
        <v>73658</v>
      </c>
      <c r="P190" s="195">
        <v>0</v>
      </c>
      <c r="Q190" s="195">
        <v>73658</v>
      </c>
      <c r="R190" s="196"/>
      <c r="S190" s="195">
        <v>274865</v>
      </c>
      <c r="T190" s="195">
        <v>0</v>
      </c>
      <c r="U190" s="195">
        <v>274865</v>
      </c>
      <c r="V190" s="185"/>
    </row>
    <row r="191" spans="1:22" x14ac:dyDescent="0.25">
      <c r="A191" s="192">
        <v>2021</v>
      </c>
      <c r="B191" s="192" t="s">
        <v>825</v>
      </c>
      <c r="C191" s="193" t="s">
        <v>213</v>
      </c>
      <c r="D191" s="194" t="s">
        <v>819</v>
      </c>
      <c r="E191" s="194" t="s">
        <v>819</v>
      </c>
      <c r="F191" s="194" t="s">
        <v>213</v>
      </c>
      <c r="G191" s="193" t="s">
        <v>563</v>
      </c>
      <c r="H191" s="195">
        <v>1</v>
      </c>
      <c r="I191" s="195">
        <v>1</v>
      </c>
      <c r="J191" s="196"/>
      <c r="K191" s="195">
        <v>92811</v>
      </c>
      <c r="L191" s="195">
        <v>46405.5</v>
      </c>
      <c r="M191" s="195">
        <v>46405.5</v>
      </c>
      <c r="N191" s="196"/>
      <c r="O191" s="195">
        <v>34020</v>
      </c>
      <c r="P191" s="195">
        <v>17010</v>
      </c>
      <c r="Q191" s="195">
        <v>17010</v>
      </c>
      <c r="R191" s="196"/>
      <c r="S191" s="195">
        <v>126831</v>
      </c>
      <c r="T191" s="195">
        <v>63415.5</v>
      </c>
      <c r="U191" s="195">
        <v>63415.5</v>
      </c>
      <c r="V191" s="185"/>
    </row>
    <row r="192" spans="1:22" x14ac:dyDescent="0.25">
      <c r="A192" s="192">
        <v>2021</v>
      </c>
      <c r="B192" s="192" t="s">
        <v>824</v>
      </c>
      <c r="C192" s="193" t="s">
        <v>214</v>
      </c>
      <c r="D192" s="194" t="s">
        <v>819</v>
      </c>
      <c r="E192" s="194" t="s">
        <v>819</v>
      </c>
      <c r="F192" s="194" t="s">
        <v>214</v>
      </c>
      <c r="G192" s="193" t="s">
        <v>564</v>
      </c>
      <c r="H192" s="195">
        <v>0</v>
      </c>
      <c r="I192" s="195">
        <v>11</v>
      </c>
      <c r="J192" s="196"/>
      <c r="K192" s="195">
        <v>128319.75</v>
      </c>
      <c r="L192" s="195">
        <v>0</v>
      </c>
      <c r="M192" s="195">
        <v>128319.75</v>
      </c>
      <c r="N192" s="196"/>
      <c r="O192" s="195">
        <v>45955.25</v>
      </c>
      <c r="P192" s="195">
        <v>0</v>
      </c>
      <c r="Q192" s="195">
        <v>45955.25</v>
      </c>
      <c r="R192" s="196"/>
      <c r="S192" s="195">
        <v>174275</v>
      </c>
      <c r="T192" s="195">
        <v>0</v>
      </c>
      <c r="U192" s="195">
        <v>174275</v>
      </c>
      <c r="V192" s="185"/>
    </row>
    <row r="193" spans="1:22" x14ac:dyDescent="0.25">
      <c r="A193" s="192">
        <v>2021</v>
      </c>
      <c r="B193" s="192" t="s">
        <v>821</v>
      </c>
      <c r="C193" s="193" t="s">
        <v>215</v>
      </c>
      <c r="D193" s="194" t="s">
        <v>819</v>
      </c>
      <c r="E193" s="194" t="s">
        <v>819</v>
      </c>
      <c r="F193" s="194" t="s">
        <v>215</v>
      </c>
      <c r="G193" s="193" t="s">
        <v>565</v>
      </c>
      <c r="H193" s="195">
        <v>0</v>
      </c>
      <c r="I193" s="195">
        <v>6</v>
      </c>
      <c r="J193" s="196"/>
      <c r="K193" s="195">
        <v>49109.25</v>
      </c>
      <c r="L193" s="195">
        <v>0</v>
      </c>
      <c r="M193" s="195">
        <v>49109.25</v>
      </c>
      <c r="N193" s="196"/>
      <c r="O193" s="195">
        <v>18253.75</v>
      </c>
      <c r="P193" s="195">
        <v>0</v>
      </c>
      <c r="Q193" s="195">
        <v>18253.75</v>
      </c>
      <c r="R193" s="196"/>
      <c r="S193" s="195">
        <v>67363</v>
      </c>
      <c r="T193" s="195">
        <v>0</v>
      </c>
      <c r="U193" s="195">
        <v>67363</v>
      </c>
      <c r="V193" s="185"/>
    </row>
    <row r="194" spans="1:22" x14ac:dyDescent="0.25">
      <c r="A194" s="192">
        <v>2021</v>
      </c>
      <c r="B194" s="192" t="s">
        <v>824</v>
      </c>
      <c r="C194" s="193" t="s">
        <v>216</v>
      </c>
      <c r="D194" s="194" t="s">
        <v>819</v>
      </c>
      <c r="E194" s="194" t="s">
        <v>819</v>
      </c>
      <c r="F194" s="194" t="s">
        <v>216</v>
      </c>
      <c r="G194" s="193" t="s">
        <v>566</v>
      </c>
      <c r="H194" s="195">
        <v>0</v>
      </c>
      <c r="I194" s="195">
        <v>7</v>
      </c>
      <c r="J194" s="196"/>
      <c r="K194" s="195">
        <v>54432.75</v>
      </c>
      <c r="L194" s="195">
        <v>0</v>
      </c>
      <c r="M194" s="195">
        <v>54432.75</v>
      </c>
      <c r="N194" s="196"/>
      <c r="O194" s="195">
        <v>19472.25</v>
      </c>
      <c r="P194" s="195">
        <v>0</v>
      </c>
      <c r="Q194" s="195">
        <v>19472.25</v>
      </c>
      <c r="R194" s="196"/>
      <c r="S194" s="195">
        <v>73905</v>
      </c>
      <c r="T194" s="195">
        <v>0</v>
      </c>
      <c r="U194" s="195">
        <v>73905</v>
      </c>
      <c r="V194" s="185"/>
    </row>
    <row r="195" spans="1:22" x14ac:dyDescent="0.25">
      <c r="A195" s="192">
        <v>2021</v>
      </c>
      <c r="B195" s="192" t="s">
        <v>824</v>
      </c>
      <c r="C195" s="193" t="s">
        <v>217</v>
      </c>
      <c r="D195" s="194" t="s">
        <v>819</v>
      </c>
      <c r="E195" s="194" t="s">
        <v>819</v>
      </c>
      <c r="F195" s="194" t="s">
        <v>217</v>
      </c>
      <c r="G195" s="193" t="s">
        <v>567</v>
      </c>
      <c r="H195" s="195">
        <v>0</v>
      </c>
      <c r="I195" s="195">
        <v>12</v>
      </c>
      <c r="J195" s="196"/>
      <c r="K195" s="195">
        <v>79012.5</v>
      </c>
      <c r="L195" s="195">
        <v>0</v>
      </c>
      <c r="M195" s="195">
        <v>79012.5</v>
      </c>
      <c r="N195" s="196"/>
      <c r="O195" s="195">
        <v>28247.5</v>
      </c>
      <c r="P195" s="195">
        <v>0</v>
      </c>
      <c r="Q195" s="195">
        <v>28247.5</v>
      </c>
      <c r="R195" s="196"/>
      <c r="S195" s="195">
        <v>107260</v>
      </c>
      <c r="T195" s="195">
        <v>0</v>
      </c>
      <c r="U195" s="195">
        <v>107260</v>
      </c>
      <c r="V195" s="185"/>
    </row>
    <row r="196" spans="1:22" x14ac:dyDescent="0.25">
      <c r="A196" s="192">
        <v>2021</v>
      </c>
      <c r="B196" s="192" t="s">
        <v>821</v>
      </c>
      <c r="C196" s="193" t="s">
        <v>218</v>
      </c>
      <c r="D196" s="194" t="s">
        <v>819</v>
      </c>
      <c r="E196" s="194" t="s">
        <v>819</v>
      </c>
      <c r="F196" s="194" t="s">
        <v>218</v>
      </c>
      <c r="G196" s="193" t="s">
        <v>568</v>
      </c>
      <c r="H196" s="195">
        <v>0</v>
      </c>
      <c r="I196" s="195">
        <v>6</v>
      </c>
      <c r="J196" s="196"/>
      <c r="K196" s="195">
        <v>120887.25</v>
      </c>
      <c r="L196" s="195">
        <v>0</v>
      </c>
      <c r="M196" s="195">
        <v>120887.25</v>
      </c>
      <c r="N196" s="196"/>
      <c r="O196" s="195">
        <v>49455.75</v>
      </c>
      <c r="P196" s="195">
        <v>0</v>
      </c>
      <c r="Q196" s="195">
        <v>49455.75</v>
      </c>
      <c r="R196" s="196"/>
      <c r="S196" s="195">
        <v>170343</v>
      </c>
      <c r="T196" s="195">
        <v>0</v>
      </c>
      <c r="U196" s="195">
        <v>170343</v>
      </c>
      <c r="V196" s="185"/>
    </row>
    <row r="197" spans="1:22" x14ac:dyDescent="0.25">
      <c r="A197" s="192">
        <v>2021</v>
      </c>
      <c r="B197" s="192" t="s">
        <v>824</v>
      </c>
      <c r="C197" s="193" t="s">
        <v>219</v>
      </c>
      <c r="D197" s="194" t="s">
        <v>819</v>
      </c>
      <c r="E197" s="194" t="s">
        <v>819</v>
      </c>
      <c r="F197" s="194" t="s">
        <v>219</v>
      </c>
      <c r="G197" s="193" t="s">
        <v>569</v>
      </c>
      <c r="H197" s="195">
        <v>0</v>
      </c>
      <c r="I197" s="195">
        <v>5</v>
      </c>
      <c r="J197" s="196"/>
      <c r="K197" s="195">
        <v>365567.25</v>
      </c>
      <c r="L197" s="195">
        <v>0</v>
      </c>
      <c r="M197" s="195">
        <v>365567.25</v>
      </c>
      <c r="N197" s="196"/>
      <c r="O197" s="195">
        <v>138814.75</v>
      </c>
      <c r="P197" s="195">
        <v>0</v>
      </c>
      <c r="Q197" s="195">
        <v>138814.75</v>
      </c>
      <c r="R197" s="196"/>
      <c r="S197" s="195">
        <v>504382</v>
      </c>
      <c r="T197" s="195">
        <v>0</v>
      </c>
      <c r="U197" s="195">
        <v>504382</v>
      </c>
      <c r="V197" s="185"/>
    </row>
    <row r="198" spans="1:22" x14ac:dyDescent="0.25">
      <c r="A198" s="192">
        <v>2021</v>
      </c>
      <c r="B198" s="192" t="s">
        <v>825</v>
      </c>
      <c r="C198" s="193" t="s">
        <v>220</v>
      </c>
      <c r="D198" s="194" t="s">
        <v>819</v>
      </c>
      <c r="E198" s="194" t="s">
        <v>819</v>
      </c>
      <c r="F198" s="194" t="s">
        <v>220</v>
      </c>
      <c r="G198" s="193" t="s">
        <v>570</v>
      </c>
      <c r="H198" s="195">
        <v>0</v>
      </c>
      <c r="I198" s="195">
        <v>6</v>
      </c>
      <c r="J198" s="196"/>
      <c r="K198" s="195">
        <v>370137</v>
      </c>
      <c r="L198" s="195">
        <v>0</v>
      </c>
      <c r="M198" s="195">
        <v>370137</v>
      </c>
      <c r="N198" s="196"/>
      <c r="O198" s="195">
        <v>173978</v>
      </c>
      <c r="P198" s="195">
        <v>0</v>
      </c>
      <c r="Q198" s="195">
        <v>173978</v>
      </c>
      <c r="R198" s="196"/>
      <c r="S198" s="195">
        <v>544115</v>
      </c>
      <c r="T198" s="195">
        <v>0</v>
      </c>
      <c r="U198" s="195">
        <v>544115</v>
      </c>
      <c r="V198" s="185"/>
    </row>
    <row r="199" spans="1:22" x14ac:dyDescent="0.25">
      <c r="A199" s="192">
        <v>2021</v>
      </c>
      <c r="B199" s="192" t="s">
        <v>821</v>
      </c>
      <c r="C199" s="193" t="s">
        <v>221</v>
      </c>
      <c r="D199" s="194" t="s">
        <v>819</v>
      </c>
      <c r="E199" s="194" t="s">
        <v>819</v>
      </c>
      <c r="F199" s="194" t="s">
        <v>221</v>
      </c>
      <c r="G199" s="193" t="s">
        <v>571</v>
      </c>
      <c r="H199" s="195">
        <v>0</v>
      </c>
      <c r="I199" s="195">
        <v>12</v>
      </c>
      <c r="J199" s="196"/>
      <c r="K199" s="195">
        <v>91275.75</v>
      </c>
      <c r="L199" s="195">
        <v>0</v>
      </c>
      <c r="M199" s="195">
        <v>91275.75</v>
      </c>
      <c r="N199" s="196"/>
      <c r="O199" s="195">
        <v>37711.25</v>
      </c>
      <c r="P199" s="195">
        <v>0</v>
      </c>
      <c r="Q199" s="195">
        <v>37711.25</v>
      </c>
      <c r="R199" s="196"/>
      <c r="S199" s="195">
        <v>128987</v>
      </c>
      <c r="T199" s="195">
        <v>0</v>
      </c>
      <c r="U199" s="195">
        <v>128987</v>
      </c>
      <c r="V199" s="185"/>
    </row>
    <row r="200" spans="1:22" x14ac:dyDescent="0.25">
      <c r="A200" s="192">
        <v>2021</v>
      </c>
      <c r="B200" s="192" t="s">
        <v>828</v>
      </c>
      <c r="C200" s="193" t="s">
        <v>222</v>
      </c>
      <c r="D200" s="194" t="s">
        <v>819</v>
      </c>
      <c r="E200" s="194" t="s">
        <v>819</v>
      </c>
      <c r="F200" s="194" t="s">
        <v>222</v>
      </c>
      <c r="G200" s="193" t="s">
        <v>572</v>
      </c>
      <c r="H200" s="195">
        <v>0</v>
      </c>
      <c r="I200" s="195">
        <v>1</v>
      </c>
      <c r="J200" s="196"/>
      <c r="K200" s="195">
        <v>211697.25</v>
      </c>
      <c r="L200" s="195">
        <v>0</v>
      </c>
      <c r="M200" s="195">
        <v>211697.25</v>
      </c>
      <c r="N200" s="196"/>
      <c r="O200" s="195">
        <v>84931.75</v>
      </c>
      <c r="P200" s="195">
        <v>0</v>
      </c>
      <c r="Q200" s="195">
        <v>84931.75</v>
      </c>
      <c r="R200" s="196"/>
      <c r="S200" s="195">
        <v>296629</v>
      </c>
      <c r="T200" s="195">
        <v>0</v>
      </c>
      <c r="U200" s="195">
        <v>296629</v>
      </c>
      <c r="V200" s="185"/>
    </row>
    <row r="201" spans="1:22" x14ac:dyDescent="0.25">
      <c r="A201" s="192">
        <v>2021</v>
      </c>
      <c r="B201" s="192" t="s">
        <v>820</v>
      </c>
      <c r="C201" s="193" t="s">
        <v>223</v>
      </c>
      <c r="D201" s="194" t="s">
        <v>819</v>
      </c>
      <c r="E201" s="194" t="s">
        <v>819</v>
      </c>
      <c r="F201" s="194" t="s">
        <v>223</v>
      </c>
      <c r="G201" s="193" t="s">
        <v>573</v>
      </c>
      <c r="H201" s="195">
        <v>0</v>
      </c>
      <c r="I201" s="195">
        <v>9</v>
      </c>
      <c r="J201" s="196"/>
      <c r="K201" s="195">
        <v>239208.75</v>
      </c>
      <c r="L201" s="195">
        <v>0</v>
      </c>
      <c r="M201" s="195">
        <v>239208.75</v>
      </c>
      <c r="N201" s="196"/>
      <c r="O201" s="195">
        <v>82581.25</v>
      </c>
      <c r="P201" s="195">
        <v>0</v>
      </c>
      <c r="Q201" s="195">
        <v>82581.25</v>
      </c>
      <c r="R201" s="196"/>
      <c r="S201" s="195">
        <v>321790</v>
      </c>
      <c r="T201" s="195">
        <v>0</v>
      </c>
      <c r="U201" s="195">
        <v>321790</v>
      </c>
      <c r="V201" s="185"/>
    </row>
    <row r="202" spans="1:22" x14ac:dyDescent="0.25">
      <c r="A202" s="192">
        <v>2021</v>
      </c>
      <c r="B202" s="192" t="s">
        <v>818</v>
      </c>
      <c r="C202" s="193" t="s">
        <v>224</v>
      </c>
      <c r="D202" s="194" t="s">
        <v>819</v>
      </c>
      <c r="E202" s="194" t="s">
        <v>819</v>
      </c>
      <c r="F202" s="194" t="s">
        <v>224</v>
      </c>
      <c r="G202" s="193" t="s">
        <v>574</v>
      </c>
      <c r="H202" s="195">
        <v>0</v>
      </c>
      <c r="I202" s="195">
        <v>5</v>
      </c>
      <c r="J202" s="196"/>
      <c r="K202" s="195">
        <v>340386</v>
      </c>
      <c r="L202" s="195">
        <v>0</v>
      </c>
      <c r="M202" s="195">
        <v>340386</v>
      </c>
      <c r="N202" s="196"/>
      <c r="O202" s="195">
        <v>133522</v>
      </c>
      <c r="P202" s="195">
        <v>0</v>
      </c>
      <c r="Q202" s="195">
        <v>133522</v>
      </c>
      <c r="R202" s="196"/>
      <c r="S202" s="195">
        <v>473908</v>
      </c>
      <c r="T202" s="195">
        <v>0</v>
      </c>
      <c r="U202" s="195">
        <v>473908</v>
      </c>
      <c r="V202" s="185"/>
    </row>
    <row r="203" spans="1:22" x14ac:dyDescent="0.25">
      <c r="A203" s="192">
        <v>2021</v>
      </c>
      <c r="B203" s="192" t="s">
        <v>827</v>
      </c>
      <c r="C203" s="193" t="s">
        <v>226</v>
      </c>
      <c r="D203" s="194" t="s">
        <v>819</v>
      </c>
      <c r="E203" s="194" t="s">
        <v>819</v>
      </c>
      <c r="F203" s="194" t="s">
        <v>226</v>
      </c>
      <c r="G203" s="193" t="s">
        <v>576</v>
      </c>
      <c r="H203" s="195">
        <v>0</v>
      </c>
      <c r="I203" s="195">
        <v>7</v>
      </c>
      <c r="J203" s="196"/>
      <c r="K203" s="195">
        <v>337826.25</v>
      </c>
      <c r="L203" s="195">
        <v>0</v>
      </c>
      <c r="M203" s="195">
        <v>337826.25</v>
      </c>
      <c r="N203" s="196"/>
      <c r="O203" s="195">
        <v>197600.75</v>
      </c>
      <c r="P203" s="195">
        <v>0</v>
      </c>
      <c r="Q203" s="195">
        <v>197600.75</v>
      </c>
      <c r="R203" s="196"/>
      <c r="S203" s="195">
        <v>535427</v>
      </c>
      <c r="T203" s="195">
        <v>0</v>
      </c>
      <c r="U203" s="195">
        <v>535427</v>
      </c>
      <c r="V203" s="185"/>
    </row>
    <row r="204" spans="1:22" x14ac:dyDescent="0.25">
      <c r="A204" s="192">
        <v>2021</v>
      </c>
      <c r="B204" s="192" t="s">
        <v>824</v>
      </c>
      <c r="C204" s="193" t="s">
        <v>227</v>
      </c>
      <c r="D204" s="194" t="s">
        <v>819</v>
      </c>
      <c r="E204" s="194" t="s">
        <v>819</v>
      </c>
      <c r="F204" s="194" t="s">
        <v>227</v>
      </c>
      <c r="G204" s="193" t="s">
        <v>577</v>
      </c>
      <c r="H204" s="195">
        <v>2</v>
      </c>
      <c r="I204" s="195">
        <v>7</v>
      </c>
      <c r="J204" s="196"/>
      <c r="K204" s="195">
        <v>181613.25</v>
      </c>
      <c r="L204" s="195">
        <v>40358.5</v>
      </c>
      <c r="M204" s="195">
        <v>141254.75</v>
      </c>
      <c r="N204" s="196"/>
      <c r="O204" s="195">
        <v>63498.75</v>
      </c>
      <c r="P204" s="195">
        <v>14110.83</v>
      </c>
      <c r="Q204" s="195">
        <v>49387.92</v>
      </c>
      <c r="R204" s="196"/>
      <c r="S204" s="195">
        <v>245112</v>
      </c>
      <c r="T204" s="195">
        <v>54469.33</v>
      </c>
      <c r="U204" s="195">
        <v>190642.66999999998</v>
      </c>
      <c r="V204" s="185"/>
    </row>
    <row r="205" spans="1:22" x14ac:dyDescent="0.25">
      <c r="A205" s="192">
        <v>2021</v>
      </c>
      <c r="B205" s="192" t="s">
        <v>823</v>
      </c>
      <c r="C205" s="193" t="s">
        <v>225</v>
      </c>
      <c r="D205" s="194" t="s">
        <v>819</v>
      </c>
      <c r="E205" s="194" t="s">
        <v>819</v>
      </c>
      <c r="F205" s="194" t="s">
        <v>225</v>
      </c>
      <c r="G205" s="193" t="s">
        <v>575</v>
      </c>
      <c r="H205" s="195">
        <v>0</v>
      </c>
      <c r="I205" s="195">
        <v>10</v>
      </c>
      <c r="J205" s="196"/>
      <c r="K205" s="195">
        <v>185259.75</v>
      </c>
      <c r="L205" s="195">
        <v>0</v>
      </c>
      <c r="M205" s="195">
        <v>185259.75</v>
      </c>
      <c r="N205" s="196"/>
      <c r="O205" s="195">
        <v>66939.25</v>
      </c>
      <c r="P205" s="195">
        <v>0</v>
      </c>
      <c r="Q205" s="195">
        <v>66939.25</v>
      </c>
      <c r="R205" s="196"/>
      <c r="S205" s="195">
        <v>252199</v>
      </c>
      <c r="T205" s="195">
        <v>0</v>
      </c>
      <c r="U205" s="195">
        <v>252199</v>
      </c>
      <c r="V205" s="185"/>
    </row>
    <row r="206" spans="1:22" x14ac:dyDescent="0.25">
      <c r="A206" s="192">
        <v>2021</v>
      </c>
      <c r="B206" s="192" t="s">
        <v>818</v>
      </c>
      <c r="C206" s="193" t="s">
        <v>228</v>
      </c>
      <c r="D206" s="194" t="s">
        <v>819</v>
      </c>
      <c r="E206" s="194" t="s">
        <v>819</v>
      </c>
      <c r="F206" s="194" t="s">
        <v>228</v>
      </c>
      <c r="G206" s="193" t="s">
        <v>578</v>
      </c>
      <c r="H206" s="195">
        <v>0</v>
      </c>
      <c r="I206" s="195">
        <v>7</v>
      </c>
      <c r="J206" s="196"/>
      <c r="K206" s="195">
        <v>907971.75</v>
      </c>
      <c r="L206" s="195">
        <v>0</v>
      </c>
      <c r="M206" s="195">
        <v>907971.75</v>
      </c>
      <c r="N206" s="196"/>
      <c r="O206" s="195">
        <v>374920.25</v>
      </c>
      <c r="P206" s="195">
        <v>0</v>
      </c>
      <c r="Q206" s="195">
        <v>374920.25</v>
      </c>
      <c r="R206" s="196"/>
      <c r="S206" s="195">
        <v>1282892</v>
      </c>
      <c r="T206" s="195">
        <v>0</v>
      </c>
      <c r="U206" s="195">
        <v>1282892</v>
      </c>
      <c r="V206" s="185"/>
    </row>
    <row r="207" spans="1:22" x14ac:dyDescent="0.25">
      <c r="A207" s="192">
        <v>2021</v>
      </c>
      <c r="B207" s="192" t="s">
        <v>821</v>
      </c>
      <c r="C207" s="193" t="s">
        <v>143</v>
      </c>
      <c r="D207" s="194" t="s">
        <v>819</v>
      </c>
      <c r="E207" s="194" t="s">
        <v>819</v>
      </c>
      <c r="F207" s="194" t="s">
        <v>143</v>
      </c>
      <c r="G207" s="193" t="s">
        <v>496</v>
      </c>
      <c r="H207" s="195">
        <v>0</v>
      </c>
      <c r="I207" s="195">
        <v>2</v>
      </c>
      <c r="J207" s="196"/>
      <c r="K207" s="195">
        <v>50500.5</v>
      </c>
      <c r="L207" s="195">
        <v>0</v>
      </c>
      <c r="M207" s="195">
        <v>50500.5</v>
      </c>
      <c r="N207" s="196"/>
      <c r="O207" s="195">
        <v>17875.5</v>
      </c>
      <c r="P207" s="195">
        <v>0</v>
      </c>
      <c r="Q207" s="195">
        <v>17875.5</v>
      </c>
      <c r="R207" s="196"/>
      <c r="S207" s="195">
        <v>68376</v>
      </c>
      <c r="T207" s="195">
        <v>0</v>
      </c>
      <c r="U207" s="195">
        <v>68376</v>
      </c>
      <c r="V207" s="185"/>
    </row>
    <row r="208" spans="1:22" x14ac:dyDescent="0.25">
      <c r="A208" s="192">
        <v>2021</v>
      </c>
      <c r="B208" s="192" t="s">
        <v>820</v>
      </c>
      <c r="C208" s="193" t="s">
        <v>29</v>
      </c>
      <c r="D208" s="194" t="s">
        <v>834</v>
      </c>
      <c r="E208" s="194" t="s">
        <v>819</v>
      </c>
      <c r="F208" s="194" t="s">
        <v>29</v>
      </c>
      <c r="G208" s="193" t="s">
        <v>389</v>
      </c>
      <c r="H208" s="195">
        <v>0</v>
      </c>
      <c r="I208" s="195">
        <v>1</v>
      </c>
      <c r="J208" s="196"/>
      <c r="K208" s="195">
        <v>24085.5</v>
      </c>
      <c r="L208" s="195">
        <v>0</v>
      </c>
      <c r="M208" s="195">
        <v>24085.5</v>
      </c>
      <c r="N208" s="196"/>
      <c r="O208" s="195">
        <v>8797.5</v>
      </c>
      <c r="P208" s="195">
        <v>0</v>
      </c>
      <c r="Q208" s="195">
        <v>8797.5</v>
      </c>
      <c r="R208" s="196"/>
      <c r="S208" s="195">
        <v>32883</v>
      </c>
      <c r="T208" s="195">
        <v>0</v>
      </c>
      <c r="U208" s="195">
        <v>32883</v>
      </c>
      <c r="V208" s="185"/>
    </row>
    <row r="209" spans="1:22" x14ac:dyDescent="0.25">
      <c r="A209" s="192">
        <v>2021</v>
      </c>
      <c r="B209" s="192" t="s">
        <v>825</v>
      </c>
      <c r="C209" s="193" t="s">
        <v>186</v>
      </c>
      <c r="D209" s="194" t="s">
        <v>819</v>
      </c>
      <c r="E209" s="194" t="s">
        <v>819</v>
      </c>
      <c r="F209" s="194" t="s">
        <v>186</v>
      </c>
      <c r="G209" s="193" t="s">
        <v>536</v>
      </c>
      <c r="H209" s="195">
        <v>3</v>
      </c>
      <c r="I209" s="195">
        <v>7</v>
      </c>
      <c r="J209" s="196"/>
      <c r="K209" s="195">
        <v>354562.5</v>
      </c>
      <c r="L209" s="195">
        <v>106368.75</v>
      </c>
      <c r="M209" s="195">
        <v>248193.75</v>
      </c>
      <c r="N209" s="196"/>
      <c r="O209" s="195">
        <v>122459.5</v>
      </c>
      <c r="P209" s="195">
        <v>36737.85</v>
      </c>
      <c r="Q209" s="195">
        <v>85721.65</v>
      </c>
      <c r="R209" s="196"/>
      <c r="S209" s="195">
        <v>477022</v>
      </c>
      <c r="T209" s="195">
        <v>143106.6</v>
      </c>
      <c r="U209" s="195">
        <v>333915.40000000002</v>
      </c>
      <c r="V209" s="185"/>
    </row>
    <row r="210" spans="1:22" x14ac:dyDescent="0.25">
      <c r="A210" s="192">
        <v>2021</v>
      </c>
      <c r="B210" s="192" t="s">
        <v>827</v>
      </c>
      <c r="C210" s="193" t="s">
        <v>231</v>
      </c>
      <c r="D210" s="194" t="s">
        <v>315</v>
      </c>
      <c r="E210" s="194" t="s">
        <v>819</v>
      </c>
      <c r="F210" s="194" t="s">
        <v>231</v>
      </c>
      <c r="G210" s="193" t="s">
        <v>799</v>
      </c>
      <c r="H210" s="195">
        <v>0</v>
      </c>
      <c r="I210" s="195">
        <v>5</v>
      </c>
      <c r="J210" s="196"/>
      <c r="K210" s="195">
        <v>234496.5</v>
      </c>
      <c r="L210" s="195">
        <v>0</v>
      </c>
      <c r="M210" s="195">
        <v>234496.5</v>
      </c>
      <c r="N210" s="196"/>
      <c r="O210" s="195">
        <v>98351.5</v>
      </c>
      <c r="P210" s="195">
        <v>0</v>
      </c>
      <c r="Q210" s="195">
        <v>98351.5</v>
      </c>
      <c r="R210" s="196"/>
      <c r="S210" s="195">
        <v>332848</v>
      </c>
      <c r="T210" s="195">
        <v>0</v>
      </c>
      <c r="U210" s="195">
        <v>332848</v>
      </c>
      <c r="V210" s="185"/>
    </row>
    <row r="211" spans="1:22" x14ac:dyDescent="0.25">
      <c r="A211" s="192">
        <v>2021</v>
      </c>
      <c r="B211" s="192" t="s">
        <v>820</v>
      </c>
      <c r="C211" s="193" t="s">
        <v>59</v>
      </c>
      <c r="D211" s="194" t="s">
        <v>819</v>
      </c>
      <c r="E211" s="194" t="s">
        <v>819</v>
      </c>
      <c r="F211" s="194" t="s">
        <v>59</v>
      </c>
      <c r="G211" s="193" t="s">
        <v>414</v>
      </c>
      <c r="H211" s="195">
        <v>1</v>
      </c>
      <c r="I211" s="195">
        <v>9</v>
      </c>
      <c r="J211" s="196"/>
      <c r="K211" s="195">
        <v>176995.5</v>
      </c>
      <c r="L211" s="195">
        <v>17699.55</v>
      </c>
      <c r="M211" s="195">
        <v>159295.95000000001</v>
      </c>
      <c r="N211" s="196"/>
      <c r="O211" s="195">
        <v>78796.5</v>
      </c>
      <c r="P211" s="195">
        <v>7879.65</v>
      </c>
      <c r="Q211" s="195">
        <v>70916.850000000006</v>
      </c>
      <c r="R211" s="196"/>
      <c r="S211" s="195">
        <v>255792</v>
      </c>
      <c r="T211" s="195">
        <v>25579.199999999997</v>
      </c>
      <c r="U211" s="195">
        <v>230212.80000000002</v>
      </c>
      <c r="V211" s="185"/>
    </row>
    <row r="212" spans="1:22" x14ac:dyDescent="0.25">
      <c r="A212" s="192">
        <v>2021</v>
      </c>
      <c r="B212" s="192" t="s">
        <v>823</v>
      </c>
      <c r="C212" s="193" t="s">
        <v>235</v>
      </c>
      <c r="D212" s="194" t="s">
        <v>819</v>
      </c>
      <c r="E212" s="194" t="s">
        <v>819</v>
      </c>
      <c r="F212" s="194" t="s">
        <v>235</v>
      </c>
      <c r="G212" s="193" t="s">
        <v>583</v>
      </c>
      <c r="H212" s="195">
        <v>0</v>
      </c>
      <c r="I212" s="195">
        <v>6</v>
      </c>
      <c r="J212" s="196"/>
      <c r="K212" s="195">
        <v>62759.25</v>
      </c>
      <c r="L212" s="195">
        <v>0</v>
      </c>
      <c r="M212" s="195">
        <v>62759.25</v>
      </c>
      <c r="N212" s="196"/>
      <c r="O212" s="195">
        <v>23135.75</v>
      </c>
      <c r="P212" s="195">
        <v>0</v>
      </c>
      <c r="Q212" s="195">
        <v>23135.75</v>
      </c>
      <c r="R212" s="196"/>
      <c r="S212" s="195">
        <v>85895</v>
      </c>
      <c r="T212" s="195">
        <v>0</v>
      </c>
      <c r="U212" s="195">
        <v>85895</v>
      </c>
      <c r="V212" s="185"/>
    </row>
    <row r="213" spans="1:22" x14ac:dyDescent="0.25">
      <c r="A213" s="192">
        <v>2021</v>
      </c>
      <c r="B213" s="192" t="s">
        <v>825</v>
      </c>
      <c r="C213" s="193" t="s">
        <v>234</v>
      </c>
      <c r="D213" s="194" t="s">
        <v>819</v>
      </c>
      <c r="E213" s="194" t="s">
        <v>819</v>
      </c>
      <c r="F213" s="194" t="s">
        <v>234</v>
      </c>
      <c r="G213" s="193" t="s">
        <v>582</v>
      </c>
      <c r="H213" s="195">
        <v>0</v>
      </c>
      <c r="I213" s="195">
        <v>3</v>
      </c>
      <c r="J213" s="196"/>
      <c r="K213" s="195">
        <v>81560.25</v>
      </c>
      <c r="L213" s="195">
        <v>0</v>
      </c>
      <c r="M213" s="195">
        <v>81560.25</v>
      </c>
      <c r="N213" s="196"/>
      <c r="O213" s="195">
        <v>28621.75</v>
      </c>
      <c r="P213" s="195">
        <v>0</v>
      </c>
      <c r="Q213" s="195">
        <v>28621.75</v>
      </c>
      <c r="R213" s="196"/>
      <c r="S213" s="195">
        <v>110182</v>
      </c>
      <c r="T213" s="195">
        <v>0</v>
      </c>
      <c r="U213" s="195">
        <v>110182</v>
      </c>
      <c r="V213" s="185"/>
    </row>
    <row r="214" spans="1:22" x14ac:dyDescent="0.25">
      <c r="A214" s="192">
        <v>2021</v>
      </c>
      <c r="B214" s="192" t="s">
        <v>824</v>
      </c>
      <c r="C214" s="193" t="s">
        <v>233</v>
      </c>
      <c r="D214" s="194" t="s">
        <v>819</v>
      </c>
      <c r="E214" s="194" t="s">
        <v>819</v>
      </c>
      <c r="F214" s="194" t="s">
        <v>233</v>
      </c>
      <c r="G214" s="193" t="s">
        <v>581</v>
      </c>
      <c r="H214" s="195">
        <v>0</v>
      </c>
      <c r="I214" s="195">
        <v>3</v>
      </c>
      <c r="J214" s="196"/>
      <c r="K214" s="195">
        <v>55896</v>
      </c>
      <c r="L214" s="195">
        <v>0</v>
      </c>
      <c r="M214" s="195">
        <v>55896</v>
      </c>
      <c r="N214" s="196"/>
      <c r="O214" s="195">
        <v>30749</v>
      </c>
      <c r="P214" s="195">
        <v>0</v>
      </c>
      <c r="Q214" s="195">
        <v>30749</v>
      </c>
      <c r="R214" s="196"/>
      <c r="S214" s="195">
        <v>86645</v>
      </c>
      <c r="T214" s="195">
        <v>0</v>
      </c>
      <c r="U214" s="195">
        <v>86645</v>
      </c>
      <c r="V214" s="185"/>
    </row>
    <row r="215" spans="1:22" x14ac:dyDescent="0.25">
      <c r="A215" s="192">
        <v>2021</v>
      </c>
      <c r="B215" s="192" t="s">
        <v>818</v>
      </c>
      <c r="C215" s="193" t="s">
        <v>236</v>
      </c>
      <c r="D215" s="194" t="s">
        <v>819</v>
      </c>
      <c r="E215" s="194" t="s">
        <v>819</v>
      </c>
      <c r="F215" s="194" t="s">
        <v>236</v>
      </c>
      <c r="G215" s="193" t="s">
        <v>584</v>
      </c>
      <c r="H215" s="195">
        <v>0</v>
      </c>
      <c r="I215" s="195">
        <v>1</v>
      </c>
      <c r="J215" s="196"/>
      <c r="K215" s="195">
        <v>101816.25</v>
      </c>
      <c r="L215" s="195">
        <v>0</v>
      </c>
      <c r="M215" s="195">
        <v>101816.25</v>
      </c>
      <c r="N215" s="196"/>
      <c r="O215" s="195">
        <v>39490.75</v>
      </c>
      <c r="P215" s="195">
        <v>0</v>
      </c>
      <c r="Q215" s="195">
        <v>39490.75</v>
      </c>
      <c r="R215" s="196"/>
      <c r="S215" s="195">
        <v>141307</v>
      </c>
      <c r="T215" s="195">
        <v>0</v>
      </c>
      <c r="U215" s="195">
        <v>141307</v>
      </c>
      <c r="V215" s="185"/>
    </row>
    <row r="216" spans="1:22" x14ac:dyDescent="0.25">
      <c r="A216" s="192">
        <v>2021</v>
      </c>
      <c r="B216" s="192" t="s">
        <v>828</v>
      </c>
      <c r="C216" s="193" t="s">
        <v>237</v>
      </c>
      <c r="D216" s="194" t="s">
        <v>819</v>
      </c>
      <c r="E216" s="194" t="s">
        <v>819</v>
      </c>
      <c r="F216" s="194" t="s">
        <v>237</v>
      </c>
      <c r="G216" s="193" t="s">
        <v>585</v>
      </c>
      <c r="H216" s="195">
        <v>0</v>
      </c>
      <c r="I216" s="195">
        <v>1</v>
      </c>
      <c r="J216" s="196"/>
      <c r="K216" s="195">
        <v>161713.5</v>
      </c>
      <c r="L216" s="195">
        <v>0</v>
      </c>
      <c r="M216" s="195">
        <v>161713.5</v>
      </c>
      <c r="N216" s="196"/>
      <c r="O216" s="195">
        <v>62602.5</v>
      </c>
      <c r="P216" s="195">
        <v>0</v>
      </c>
      <c r="Q216" s="195">
        <v>62602.5</v>
      </c>
      <c r="R216" s="196"/>
      <c r="S216" s="195">
        <v>224316</v>
      </c>
      <c r="T216" s="195">
        <v>0</v>
      </c>
      <c r="U216" s="195">
        <v>224316</v>
      </c>
      <c r="V216" s="185"/>
    </row>
    <row r="217" spans="1:22" x14ac:dyDescent="0.25">
      <c r="A217" s="192">
        <v>2021</v>
      </c>
      <c r="B217" s="192" t="s">
        <v>820</v>
      </c>
      <c r="C217" s="193" t="s">
        <v>238</v>
      </c>
      <c r="D217" s="194" t="s">
        <v>819</v>
      </c>
      <c r="E217" s="194" t="s">
        <v>819</v>
      </c>
      <c r="F217" s="194" t="s">
        <v>238</v>
      </c>
      <c r="G217" s="193" t="s">
        <v>586</v>
      </c>
      <c r="H217" s="195">
        <v>0</v>
      </c>
      <c r="I217" s="195">
        <v>8</v>
      </c>
      <c r="J217" s="196"/>
      <c r="K217" s="195">
        <v>158977.5</v>
      </c>
      <c r="L217" s="195">
        <v>0</v>
      </c>
      <c r="M217" s="195">
        <v>158977.5</v>
      </c>
      <c r="N217" s="196"/>
      <c r="O217" s="195">
        <v>70190.5</v>
      </c>
      <c r="P217" s="195">
        <v>0</v>
      </c>
      <c r="Q217" s="195">
        <v>70190.5</v>
      </c>
      <c r="R217" s="196"/>
      <c r="S217" s="195">
        <v>229168</v>
      </c>
      <c r="T217" s="195">
        <v>0</v>
      </c>
      <c r="U217" s="195">
        <v>229168</v>
      </c>
      <c r="V217" s="185"/>
    </row>
    <row r="218" spans="1:22" x14ac:dyDescent="0.25">
      <c r="A218" s="192">
        <v>2021</v>
      </c>
      <c r="B218" s="192" t="s">
        <v>823</v>
      </c>
      <c r="C218" s="193" t="s">
        <v>36</v>
      </c>
      <c r="D218" s="194" t="s">
        <v>819</v>
      </c>
      <c r="E218" s="194" t="s">
        <v>819</v>
      </c>
      <c r="F218" s="194" t="s">
        <v>36</v>
      </c>
      <c r="G218" s="193" t="s">
        <v>395</v>
      </c>
      <c r="H218" s="195">
        <v>3</v>
      </c>
      <c r="I218" s="195">
        <v>3</v>
      </c>
      <c r="J218" s="196"/>
      <c r="K218" s="195">
        <v>114177</v>
      </c>
      <c r="L218" s="195">
        <v>57088.5</v>
      </c>
      <c r="M218" s="195">
        <v>57088.5</v>
      </c>
      <c r="N218" s="196"/>
      <c r="O218" s="195">
        <v>39747</v>
      </c>
      <c r="P218" s="195">
        <v>19873.5</v>
      </c>
      <c r="Q218" s="195">
        <v>19873.5</v>
      </c>
      <c r="R218" s="196"/>
      <c r="S218" s="195">
        <v>153924</v>
      </c>
      <c r="T218" s="195">
        <v>76962</v>
      </c>
      <c r="U218" s="195">
        <v>76962</v>
      </c>
      <c r="V218" s="185"/>
    </row>
    <row r="219" spans="1:22" x14ac:dyDescent="0.25">
      <c r="A219" s="192">
        <v>2021</v>
      </c>
      <c r="B219" s="192" t="s">
        <v>828</v>
      </c>
      <c r="C219" s="193" t="s">
        <v>230</v>
      </c>
      <c r="D219" s="194" t="s">
        <v>819</v>
      </c>
      <c r="E219" s="194" t="s">
        <v>819</v>
      </c>
      <c r="F219" s="194" t="s">
        <v>230</v>
      </c>
      <c r="G219" s="193" t="s">
        <v>580</v>
      </c>
      <c r="H219" s="195">
        <v>0</v>
      </c>
      <c r="I219" s="195">
        <v>10</v>
      </c>
      <c r="J219" s="196"/>
      <c r="K219" s="195">
        <v>224949</v>
      </c>
      <c r="L219" s="195">
        <v>0</v>
      </c>
      <c r="M219" s="195">
        <v>224949</v>
      </c>
      <c r="N219" s="196"/>
      <c r="O219" s="195">
        <v>82459</v>
      </c>
      <c r="P219" s="195">
        <v>0</v>
      </c>
      <c r="Q219" s="195">
        <v>82459</v>
      </c>
      <c r="R219" s="196"/>
      <c r="S219" s="195">
        <v>307408</v>
      </c>
      <c r="T219" s="195">
        <v>0</v>
      </c>
      <c r="U219" s="195">
        <v>307408</v>
      </c>
      <c r="V219" s="185"/>
    </row>
    <row r="220" spans="1:22" x14ac:dyDescent="0.25">
      <c r="A220" s="192">
        <v>2021</v>
      </c>
      <c r="B220" s="192" t="s">
        <v>820</v>
      </c>
      <c r="C220" s="193" t="s">
        <v>240</v>
      </c>
      <c r="D220" s="194" t="s">
        <v>819</v>
      </c>
      <c r="E220" s="194" t="s">
        <v>819</v>
      </c>
      <c r="F220" s="194" t="s">
        <v>240</v>
      </c>
      <c r="G220" s="193" t="s">
        <v>587</v>
      </c>
      <c r="H220" s="195">
        <v>0</v>
      </c>
      <c r="I220" s="195">
        <v>5</v>
      </c>
      <c r="J220" s="196"/>
      <c r="K220" s="195">
        <v>100338</v>
      </c>
      <c r="L220" s="195">
        <v>0</v>
      </c>
      <c r="M220" s="195">
        <v>100338</v>
      </c>
      <c r="N220" s="196"/>
      <c r="O220" s="195">
        <v>38103</v>
      </c>
      <c r="P220" s="195">
        <v>0</v>
      </c>
      <c r="Q220" s="195">
        <v>38103</v>
      </c>
      <c r="R220" s="196"/>
      <c r="S220" s="195">
        <v>138441</v>
      </c>
      <c r="T220" s="195">
        <v>0</v>
      </c>
      <c r="U220" s="195">
        <v>138441</v>
      </c>
      <c r="V220" s="185"/>
    </row>
    <row r="221" spans="1:22" x14ac:dyDescent="0.25">
      <c r="A221" s="192">
        <v>2021</v>
      </c>
      <c r="B221" s="192" t="s">
        <v>818</v>
      </c>
      <c r="C221" s="193" t="s">
        <v>241</v>
      </c>
      <c r="D221" s="194" t="s">
        <v>819</v>
      </c>
      <c r="E221" s="194" t="s">
        <v>819</v>
      </c>
      <c r="F221" s="194" t="s">
        <v>241</v>
      </c>
      <c r="G221" s="193" t="s">
        <v>588</v>
      </c>
      <c r="H221" s="195">
        <v>0</v>
      </c>
      <c r="I221" s="195">
        <v>0</v>
      </c>
      <c r="J221" s="196"/>
      <c r="K221" s="195">
        <v>0</v>
      </c>
      <c r="L221" s="195">
        <v>0</v>
      </c>
      <c r="M221" s="195">
        <v>0</v>
      </c>
      <c r="N221" s="196"/>
      <c r="O221" s="195">
        <v>0</v>
      </c>
      <c r="P221" s="195">
        <v>0</v>
      </c>
      <c r="Q221" s="195">
        <v>0</v>
      </c>
      <c r="R221" s="196"/>
      <c r="S221" s="195">
        <v>0</v>
      </c>
      <c r="T221" s="195">
        <v>0</v>
      </c>
      <c r="U221" s="195">
        <v>0</v>
      </c>
      <c r="V221" s="185"/>
    </row>
    <row r="222" spans="1:22" x14ac:dyDescent="0.25">
      <c r="A222" s="192">
        <v>2021</v>
      </c>
      <c r="B222" s="192" t="s">
        <v>822</v>
      </c>
      <c r="C222" s="193" t="s">
        <v>243</v>
      </c>
      <c r="D222" s="194" t="s">
        <v>43</v>
      </c>
      <c r="E222" s="194" t="s">
        <v>819</v>
      </c>
      <c r="F222" s="194" t="s">
        <v>243</v>
      </c>
      <c r="G222" s="193" t="s">
        <v>814</v>
      </c>
      <c r="H222" s="195">
        <v>0</v>
      </c>
      <c r="I222" s="195">
        <v>1</v>
      </c>
      <c r="J222" s="196"/>
      <c r="K222" s="195">
        <v>46393.5</v>
      </c>
      <c r="L222" s="195">
        <v>0</v>
      </c>
      <c r="M222" s="195">
        <v>46393.5</v>
      </c>
      <c r="N222" s="196"/>
      <c r="O222" s="195">
        <v>16935.5</v>
      </c>
      <c r="P222" s="195">
        <v>0</v>
      </c>
      <c r="Q222" s="195">
        <v>16935.5</v>
      </c>
      <c r="R222" s="196"/>
      <c r="S222" s="195">
        <v>63329</v>
      </c>
      <c r="T222" s="195">
        <v>0</v>
      </c>
      <c r="U222" s="195">
        <v>63329</v>
      </c>
      <c r="V222" s="185"/>
    </row>
    <row r="223" spans="1:22" x14ac:dyDescent="0.25">
      <c r="A223" s="192">
        <v>2021</v>
      </c>
      <c r="B223" s="192" t="s">
        <v>827</v>
      </c>
      <c r="C223" s="193" t="s">
        <v>244</v>
      </c>
      <c r="D223" s="194" t="s">
        <v>819</v>
      </c>
      <c r="E223" s="194" t="s">
        <v>819</v>
      </c>
      <c r="F223" s="194" t="s">
        <v>244</v>
      </c>
      <c r="G223" s="193" t="s">
        <v>590</v>
      </c>
      <c r="H223" s="195">
        <v>2</v>
      </c>
      <c r="I223" s="195">
        <v>5</v>
      </c>
      <c r="J223" s="196"/>
      <c r="K223" s="195">
        <v>284502.75</v>
      </c>
      <c r="L223" s="195">
        <v>81286.5</v>
      </c>
      <c r="M223" s="195">
        <v>203216.25</v>
      </c>
      <c r="N223" s="196"/>
      <c r="O223" s="195">
        <v>99313.25</v>
      </c>
      <c r="P223" s="195">
        <v>28375.21</v>
      </c>
      <c r="Q223" s="195">
        <v>70938.040000000008</v>
      </c>
      <c r="R223" s="196"/>
      <c r="S223" s="195">
        <v>383816</v>
      </c>
      <c r="T223" s="195">
        <v>109661.70999999999</v>
      </c>
      <c r="U223" s="195">
        <v>274154.29000000004</v>
      </c>
      <c r="V223" s="185"/>
    </row>
    <row r="224" spans="1:22" x14ac:dyDescent="0.25">
      <c r="A224" s="192">
        <v>2021</v>
      </c>
      <c r="B224" s="192" t="s">
        <v>818</v>
      </c>
      <c r="C224" s="193" t="s">
        <v>245</v>
      </c>
      <c r="D224" s="194" t="s">
        <v>819</v>
      </c>
      <c r="E224" s="194" t="s">
        <v>819</v>
      </c>
      <c r="F224" s="194" t="s">
        <v>245</v>
      </c>
      <c r="G224" s="193" t="s">
        <v>591</v>
      </c>
      <c r="H224" s="195">
        <v>0</v>
      </c>
      <c r="I224" s="195">
        <v>5</v>
      </c>
      <c r="J224" s="196"/>
      <c r="K224" s="195">
        <v>145836</v>
      </c>
      <c r="L224" s="195">
        <v>0</v>
      </c>
      <c r="M224" s="195">
        <v>145836</v>
      </c>
      <c r="N224" s="196"/>
      <c r="O224" s="195">
        <v>52970</v>
      </c>
      <c r="P224" s="195">
        <v>0</v>
      </c>
      <c r="Q224" s="195">
        <v>52970</v>
      </c>
      <c r="R224" s="196"/>
      <c r="S224" s="195">
        <v>198806</v>
      </c>
      <c r="T224" s="195">
        <v>0</v>
      </c>
      <c r="U224" s="195">
        <v>198806</v>
      </c>
      <c r="V224" s="185"/>
    </row>
    <row r="225" spans="1:22" x14ac:dyDescent="0.25">
      <c r="A225" s="192">
        <v>2021</v>
      </c>
      <c r="B225" s="192" t="s">
        <v>823</v>
      </c>
      <c r="C225" s="193" t="s">
        <v>246</v>
      </c>
      <c r="D225" s="194" t="s">
        <v>819</v>
      </c>
      <c r="E225" s="194" t="s">
        <v>819</v>
      </c>
      <c r="F225" s="194" t="s">
        <v>246</v>
      </c>
      <c r="G225" s="193" t="s">
        <v>592</v>
      </c>
      <c r="H225" s="195">
        <v>0</v>
      </c>
      <c r="I225" s="195">
        <v>2</v>
      </c>
      <c r="J225" s="196"/>
      <c r="K225" s="195">
        <v>127302.75</v>
      </c>
      <c r="L225" s="195">
        <v>0</v>
      </c>
      <c r="M225" s="195">
        <v>127302.75</v>
      </c>
      <c r="N225" s="196"/>
      <c r="O225" s="195">
        <v>59384.25</v>
      </c>
      <c r="P225" s="195">
        <v>0</v>
      </c>
      <c r="Q225" s="195">
        <v>59384.25</v>
      </c>
      <c r="R225" s="196"/>
      <c r="S225" s="195">
        <v>186687</v>
      </c>
      <c r="T225" s="195">
        <v>0</v>
      </c>
      <c r="U225" s="195">
        <v>186687</v>
      </c>
      <c r="V225" s="185"/>
    </row>
    <row r="226" spans="1:22" x14ac:dyDescent="0.25">
      <c r="A226" s="192">
        <v>2021</v>
      </c>
      <c r="B226" s="192" t="s">
        <v>825</v>
      </c>
      <c r="C226" s="193" t="s">
        <v>247</v>
      </c>
      <c r="D226" s="194" t="s">
        <v>819</v>
      </c>
      <c r="E226" s="194" t="s">
        <v>819</v>
      </c>
      <c r="F226" s="194" t="s">
        <v>247</v>
      </c>
      <c r="G226" s="193" t="s">
        <v>593</v>
      </c>
      <c r="H226" s="195">
        <v>0</v>
      </c>
      <c r="I226" s="195">
        <v>1</v>
      </c>
      <c r="J226" s="196"/>
      <c r="K226" s="195">
        <v>7582.5</v>
      </c>
      <c r="L226" s="195">
        <v>0</v>
      </c>
      <c r="M226" s="195">
        <v>7582.5</v>
      </c>
      <c r="N226" s="196"/>
      <c r="O226" s="195">
        <v>2682.5</v>
      </c>
      <c r="P226" s="195">
        <v>0</v>
      </c>
      <c r="Q226" s="195">
        <v>2682.5</v>
      </c>
      <c r="R226" s="196"/>
      <c r="S226" s="195">
        <v>10265</v>
      </c>
      <c r="T226" s="195">
        <v>0</v>
      </c>
      <c r="U226" s="195">
        <v>10265</v>
      </c>
      <c r="V226" s="185"/>
    </row>
    <row r="227" spans="1:22" x14ac:dyDescent="0.25">
      <c r="A227" s="192">
        <v>2021</v>
      </c>
      <c r="B227" s="192" t="s">
        <v>821</v>
      </c>
      <c r="C227" s="193" t="s">
        <v>248</v>
      </c>
      <c r="D227" s="194" t="s">
        <v>819</v>
      </c>
      <c r="E227" s="194" t="s">
        <v>819</v>
      </c>
      <c r="F227" s="194" t="s">
        <v>248</v>
      </c>
      <c r="G227" s="193" t="s">
        <v>594</v>
      </c>
      <c r="H227" s="195">
        <v>1</v>
      </c>
      <c r="I227" s="195">
        <v>1</v>
      </c>
      <c r="J227" s="196"/>
      <c r="K227" s="195">
        <v>13626</v>
      </c>
      <c r="L227" s="195">
        <v>6813</v>
      </c>
      <c r="M227" s="195">
        <v>6813</v>
      </c>
      <c r="N227" s="196"/>
      <c r="O227" s="195">
        <v>5213</v>
      </c>
      <c r="P227" s="195">
        <v>2606.5</v>
      </c>
      <c r="Q227" s="195">
        <v>2606.5</v>
      </c>
      <c r="R227" s="196"/>
      <c r="S227" s="195">
        <v>18839</v>
      </c>
      <c r="T227" s="195">
        <v>9419.5</v>
      </c>
      <c r="U227" s="195">
        <v>9419.5</v>
      </c>
      <c r="V227" s="185"/>
    </row>
    <row r="228" spans="1:22" x14ac:dyDescent="0.25">
      <c r="A228" s="192">
        <v>2021</v>
      </c>
      <c r="B228" s="192" t="s">
        <v>820</v>
      </c>
      <c r="C228" s="193" t="s">
        <v>249</v>
      </c>
      <c r="D228" s="194" t="s">
        <v>819</v>
      </c>
      <c r="E228" s="194" t="s">
        <v>819</v>
      </c>
      <c r="F228" s="194" t="s">
        <v>249</v>
      </c>
      <c r="G228" s="193" t="s">
        <v>595</v>
      </c>
      <c r="H228" s="195">
        <v>1</v>
      </c>
      <c r="I228" s="195">
        <v>1</v>
      </c>
      <c r="J228" s="196"/>
      <c r="K228" s="195">
        <v>80612.25</v>
      </c>
      <c r="L228" s="195">
        <v>40306.129999999997</v>
      </c>
      <c r="M228" s="195">
        <v>40306.120000000003</v>
      </c>
      <c r="N228" s="196"/>
      <c r="O228" s="195">
        <v>30309.75</v>
      </c>
      <c r="P228" s="195">
        <v>15154.88</v>
      </c>
      <c r="Q228" s="195">
        <v>15154.87</v>
      </c>
      <c r="R228" s="196"/>
      <c r="S228" s="195">
        <v>110922</v>
      </c>
      <c r="T228" s="195">
        <v>55461.009999999995</v>
      </c>
      <c r="U228" s="195">
        <v>55460.990000000005</v>
      </c>
      <c r="V228" s="185"/>
    </row>
    <row r="229" spans="1:22" x14ac:dyDescent="0.25">
      <c r="A229" s="192">
        <v>2021</v>
      </c>
      <c r="B229" s="192" t="s">
        <v>824</v>
      </c>
      <c r="C229" s="193" t="s">
        <v>250</v>
      </c>
      <c r="D229" s="194" t="s">
        <v>819</v>
      </c>
      <c r="E229" s="194" t="s">
        <v>819</v>
      </c>
      <c r="F229" s="194" t="s">
        <v>250</v>
      </c>
      <c r="G229" s="193" t="s">
        <v>596</v>
      </c>
      <c r="H229" s="195">
        <v>0</v>
      </c>
      <c r="I229" s="195">
        <v>4</v>
      </c>
      <c r="J229" s="196"/>
      <c r="K229" s="195">
        <v>393675.75</v>
      </c>
      <c r="L229" s="195">
        <v>0</v>
      </c>
      <c r="M229" s="195">
        <v>393675.75</v>
      </c>
      <c r="N229" s="196"/>
      <c r="O229" s="195">
        <v>150077.25</v>
      </c>
      <c r="P229" s="195">
        <v>0</v>
      </c>
      <c r="Q229" s="195">
        <v>150077.25</v>
      </c>
      <c r="R229" s="196"/>
      <c r="S229" s="195">
        <v>543753</v>
      </c>
      <c r="T229" s="195">
        <v>0</v>
      </c>
      <c r="U229" s="195">
        <v>543753</v>
      </c>
      <c r="V229" s="185"/>
    </row>
    <row r="230" spans="1:22" x14ac:dyDescent="0.25">
      <c r="A230" s="192">
        <v>2021</v>
      </c>
      <c r="B230" s="192" t="s">
        <v>824</v>
      </c>
      <c r="C230" s="193" t="s">
        <v>251</v>
      </c>
      <c r="D230" s="194" t="s">
        <v>819</v>
      </c>
      <c r="E230" s="194" t="s">
        <v>819</v>
      </c>
      <c r="F230" s="194" t="s">
        <v>251</v>
      </c>
      <c r="G230" s="193" t="s">
        <v>597</v>
      </c>
      <c r="H230" s="195">
        <v>0</v>
      </c>
      <c r="I230" s="195">
        <v>0</v>
      </c>
      <c r="J230" s="196"/>
      <c r="K230" s="195">
        <v>0</v>
      </c>
      <c r="L230" s="195">
        <v>0</v>
      </c>
      <c r="M230" s="195">
        <v>0</v>
      </c>
      <c r="N230" s="196"/>
      <c r="O230" s="195">
        <v>0</v>
      </c>
      <c r="P230" s="195">
        <v>0</v>
      </c>
      <c r="Q230" s="195">
        <v>0</v>
      </c>
      <c r="R230" s="196"/>
      <c r="S230" s="195">
        <v>0</v>
      </c>
      <c r="T230" s="195">
        <v>0</v>
      </c>
      <c r="U230" s="195">
        <v>0</v>
      </c>
      <c r="V230" s="185"/>
    </row>
    <row r="231" spans="1:22" x14ac:dyDescent="0.25">
      <c r="A231" s="192">
        <v>2021</v>
      </c>
      <c r="B231" s="192" t="s">
        <v>818</v>
      </c>
      <c r="C231" s="193" t="s">
        <v>252</v>
      </c>
      <c r="D231" s="194" t="s">
        <v>819</v>
      </c>
      <c r="E231" s="194" t="s">
        <v>819</v>
      </c>
      <c r="F231" s="194" t="s">
        <v>252</v>
      </c>
      <c r="G231" s="193" t="s">
        <v>598</v>
      </c>
      <c r="H231" s="195">
        <v>0</v>
      </c>
      <c r="I231" s="195">
        <v>4</v>
      </c>
      <c r="J231" s="196"/>
      <c r="K231" s="195">
        <v>162390.75</v>
      </c>
      <c r="L231" s="195">
        <v>0</v>
      </c>
      <c r="M231" s="195">
        <v>162390.75</v>
      </c>
      <c r="N231" s="196"/>
      <c r="O231" s="195">
        <v>70414.25</v>
      </c>
      <c r="P231" s="195">
        <v>0</v>
      </c>
      <c r="Q231" s="195">
        <v>70414.25</v>
      </c>
      <c r="R231" s="196"/>
      <c r="S231" s="195">
        <v>232805</v>
      </c>
      <c r="T231" s="195">
        <v>0</v>
      </c>
      <c r="U231" s="195">
        <v>232805</v>
      </c>
      <c r="V231" s="185"/>
    </row>
    <row r="232" spans="1:22" x14ac:dyDescent="0.25">
      <c r="A232" s="192">
        <v>2021</v>
      </c>
      <c r="B232" s="192" t="s">
        <v>823</v>
      </c>
      <c r="C232" s="193" t="s">
        <v>253</v>
      </c>
      <c r="D232" s="194" t="s">
        <v>819</v>
      </c>
      <c r="E232" s="194" t="s">
        <v>819</v>
      </c>
      <c r="F232" s="194" t="s">
        <v>253</v>
      </c>
      <c r="G232" s="193" t="s">
        <v>599</v>
      </c>
      <c r="H232" s="195">
        <v>0</v>
      </c>
      <c r="I232" s="195">
        <v>5</v>
      </c>
      <c r="J232" s="196"/>
      <c r="K232" s="195">
        <v>35262.75</v>
      </c>
      <c r="L232" s="195">
        <v>0</v>
      </c>
      <c r="M232" s="195">
        <v>35262.75</v>
      </c>
      <c r="N232" s="196"/>
      <c r="O232" s="195">
        <v>12409.25</v>
      </c>
      <c r="P232" s="195">
        <v>0</v>
      </c>
      <c r="Q232" s="195">
        <v>12409.25</v>
      </c>
      <c r="R232" s="196"/>
      <c r="S232" s="195">
        <v>47672</v>
      </c>
      <c r="T232" s="195">
        <v>0</v>
      </c>
      <c r="U232" s="195">
        <v>47672</v>
      </c>
      <c r="V232" s="185"/>
    </row>
    <row r="233" spans="1:22" x14ac:dyDescent="0.25">
      <c r="A233" s="192">
        <v>2021</v>
      </c>
      <c r="B233" s="192" t="s">
        <v>818</v>
      </c>
      <c r="C233" s="193" t="s">
        <v>262</v>
      </c>
      <c r="D233" s="194" t="s">
        <v>819</v>
      </c>
      <c r="E233" s="194" t="s">
        <v>819</v>
      </c>
      <c r="F233" s="194" t="s">
        <v>699</v>
      </c>
      <c r="G233" s="193" t="s">
        <v>6</v>
      </c>
      <c r="H233" s="195">
        <v>0</v>
      </c>
      <c r="I233" s="195">
        <v>5</v>
      </c>
      <c r="J233" s="196"/>
      <c r="K233" s="195">
        <v>231744.75</v>
      </c>
      <c r="L233" s="195">
        <v>0</v>
      </c>
      <c r="M233" s="195">
        <v>231744.75</v>
      </c>
      <c r="N233" s="196"/>
      <c r="O233" s="195">
        <v>91495.25</v>
      </c>
      <c r="P233" s="195">
        <v>0</v>
      </c>
      <c r="Q233" s="195">
        <v>91495.25</v>
      </c>
      <c r="R233" s="196"/>
      <c r="S233" s="195">
        <v>323240</v>
      </c>
      <c r="T233" s="195">
        <v>0</v>
      </c>
      <c r="U233" s="195">
        <v>323240</v>
      </c>
      <c r="V233" s="185"/>
    </row>
    <row r="234" spans="1:22" x14ac:dyDescent="0.25">
      <c r="A234" s="192">
        <v>2021</v>
      </c>
      <c r="B234" s="192" t="s">
        <v>824</v>
      </c>
      <c r="C234" s="193" t="s">
        <v>255</v>
      </c>
      <c r="D234" s="194" t="s">
        <v>819</v>
      </c>
      <c r="E234" s="194" t="s">
        <v>819</v>
      </c>
      <c r="F234" s="194" t="s">
        <v>255</v>
      </c>
      <c r="G234" s="193" t="s">
        <v>601</v>
      </c>
      <c r="H234" s="195">
        <v>3</v>
      </c>
      <c r="I234" s="195">
        <v>5</v>
      </c>
      <c r="J234" s="196"/>
      <c r="K234" s="195">
        <v>182936.25</v>
      </c>
      <c r="L234" s="195">
        <v>68601.09</v>
      </c>
      <c r="M234" s="195">
        <v>114335.16</v>
      </c>
      <c r="N234" s="196"/>
      <c r="O234" s="195">
        <v>67388.75</v>
      </c>
      <c r="P234" s="195">
        <v>25270.78</v>
      </c>
      <c r="Q234" s="195">
        <v>42117.97</v>
      </c>
      <c r="R234" s="196"/>
      <c r="S234" s="195">
        <v>250325</v>
      </c>
      <c r="T234" s="195">
        <v>93871.87</v>
      </c>
      <c r="U234" s="195">
        <v>156453.13</v>
      </c>
      <c r="V234" s="185"/>
    </row>
    <row r="235" spans="1:22" x14ac:dyDescent="0.25">
      <c r="A235" s="192">
        <v>2021</v>
      </c>
      <c r="B235" s="192" t="s">
        <v>818</v>
      </c>
      <c r="C235" s="193" t="s">
        <v>256</v>
      </c>
      <c r="D235" s="194" t="s">
        <v>819</v>
      </c>
      <c r="E235" s="194" t="s">
        <v>819</v>
      </c>
      <c r="F235" s="194" t="s">
        <v>256</v>
      </c>
      <c r="G235" s="193" t="s">
        <v>602</v>
      </c>
      <c r="H235" s="195">
        <v>0</v>
      </c>
      <c r="I235" s="195">
        <v>4</v>
      </c>
      <c r="J235" s="196"/>
      <c r="K235" s="195">
        <v>612520.5</v>
      </c>
      <c r="L235" s="195">
        <v>0</v>
      </c>
      <c r="M235" s="195">
        <v>612520.5</v>
      </c>
      <c r="N235" s="196"/>
      <c r="O235" s="195">
        <v>222859.5</v>
      </c>
      <c r="P235" s="195">
        <v>0</v>
      </c>
      <c r="Q235" s="195">
        <v>222859.5</v>
      </c>
      <c r="R235" s="196"/>
      <c r="S235" s="195">
        <v>835380</v>
      </c>
      <c r="T235" s="195">
        <v>0</v>
      </c>
      <c r="U235" s="195">
        <v>835380</v>
      </c>
      <c r="V235" s="185"/>
    </row>
    <row r="236" spans="1:22" x14ac:dyDescent="0.25">
      <c r="A236" s="192">
        <v>2021</v>
      </c>
      <c r="B236" s="192" t="s">
        <v>818</v>
      </c>
      <c r="C236" s="193" t="s">
        <v>257</v>
      </c>
      <c r="D236" s="194" t="s">
        <v>819</v>
      </c>
      <c r="E236" s="194" t="s">
        <v>819</v>
      </c>
      <c r="F236" s="194" t="s">
        <v>257</v>
      </c>
      <c r="G236" s="193" t="s">
        <v>603</v>
      </c>
      <c r="H236" s="195">
        <v>3</v>
      </c>
      <c r="I236" s="195">
        <v>0</v>
      </c>
      <c r="J236" s="196"/>
      <c r="K236" s="195">
        <v>165729.75</v>
      </c>
      <c r="L236" s="195">
        <v>165729.75</v>
      </c>
      <c r="M236" s="195">
        <v>0</v>
      </c>
      <c r="N236" s="196"/>
      <c r="O236" s="195">
        <v>60160.25</v>
      </c>
      <c r="P236" s="195">
        <v>60160.25</v>
      </c>
      <c r="Q236" s="195">
        <v>0</v>
      </c>
      <c r="R236" s="196"/>
      <c r="S236" s="195">
        <v>225890</v>
      </c>
      <c r="T236" s="195">
        <v>225890</v>
      </c>
      <c r="U236" s="195">
        <v>0</v>
      </c>
      <c r="V236" s="185"/>
    </row>
    <row r="237" spans="1:22" x14ac:dyDescent="0.25">
      <c r="A237" s="192">
        <v>2021</v>
      </c>
      <c r="B237" s="192" t="s">
        <v>828</v>
      </c>
      <c r="C237" s="193" t="s">
        <v>258</v>
      </c>
      <c r="D237" s="194" t="s">
        <v>819</v>
      </c>
      <c r="E237" s="194" t="s">
        <v>819</v>
      </c>
      <c r="F237" s="194" t="s">
        <v>258</v>
      </c>
      <c r="G237" s="193" t="s">
        <v>604</v>
      </c>
      <c r="H237" s="195">
        <v>0</v>
      </c>
      <c r="I237" s="195">
        <v>0</v>
      </c>
      <c r="J237" s="196"/>
      <c r="K237" s="195">
        <v>0</v>
      </c>
      <c r="L237" s="195">
        <v>0</v>
      </c>
      <c r="M237" s="195">
        <v>0</v>
      </c>
      <c r="N237" s="196"/>
      <c r="O237" s="195">
        <v>0</v>
      </c>
      <c r="P237" s="195">
        <v>0</v>
      </c>
      <c r="Q237" s="195">
        <v>0</v>
      </c>
      <c r="R237" s="196"/>
      <c r="S237" s="195">
        <v>0</v>
      </c>
      <c r="T237" s="195">
        <v>0</v>
      </c>
      <c r="U237" s="195">
        <v>0</v>
      </c>
      <c r="V237" s="185"/>
    </row>
    <row r="238" spans="1:22" x14ac:dyDescent="0.25">
      <c r="A238" s="192">
        <v>2021</v>
      </c>
      <c r="B238" s="192" t="s">
        <v>818</v>
      </c>
      <c r="C238" s="193" t="s">
        <v>259</v>
      </c>
      <c r="D238" s="194" t="s">
        <v>819</v>
      </c>
      <c r="E238" s="194" t="s">
        <v>819</v>
      </c>
      <c r="F238" s="194" t="s">
        <v>259</v>
      </c>
      <c r="G238" s="193" t="s">
        <v>605</v>
      </c>
      <c r="H238" s="195">
        <v>0</v>
      </c>
      <c r="I238" s="195">
        <v>8</v>
      </c>
      <c r="J238" s="196"/>
      <c r="K238" s="195">
        <v>230323.5</v>
      </c>
      <c r="L238" s="195">
        <v>0</v>
      </c>
      <c r="M238" s="195">
        <v>230323.5</v>
      </c>
      <c r="N238" s="196"/>
      <c r="O238" s="195">
        <v>91456.5</v>
      </c>
      <c r="P238" s="195">
        <v>0</v>
      </c>
      <c r="Q238" s="195">
        <v>91456.5</v>
      </c>
      <c r="R238" s="196"/>
      <c r="S238" s="195">
        <v>321780</v>
      </c>
      <c r="T238" s="195">
        <v>0</v>
      </c>
      <c r="U238" s="195">
        <v>321780</v>
      </c>
      <c r="V238" s="185"/>
    </row>
    <row r="239" spans="1:22" x14ac:dyDescent="0.25">
      <c r="A239" s="192">
        <v>2021</v>
      </c>
      <c r="B239" s="192" t="s">
        <v>823</v>
      </c>
      <c r="C239" s="193" t="s">
        <v>260</v>
      </c>
      <c r="D239" s="194" t="s">
        <v>819</v>
      </c>
      <c r="E239" s="194" t="s">
        <v>819</v>
      </c>
      <c r="F239" s="194" t="s">
        <v>260</v>
      </c>
      <c r="G239" s="193" t="s">
        <v>606</v>
      </c>
      <c r="H239" s="195">
        <v>0</v>
      </c>
      <c r="I239" s="195">
        <v>1</v>
      </c>
      <c r="J239" s="196"/>
      <c r="K239" s="195">
        <v>31722</v>
      </c>
      <c r="L239" s="195">
        <v>0</v>
      </c>
      <c r="M239" s="195">
        <v>31722</v>
      </c>
      <c r="N239" s="196"/>
      <c r="O239" s="195">
        <v>11273</v>
      </c>
      <c r="P239" s="195">
        <v>0</v>
      </c>
      <c r="Q239" s="195">
        <v>11273</v>
      </c>
      <c r="R239" s="196"/>
      <c r="S239" s="195">
        <v>42995</v>
      </c>
      <c r="T239" s="195">
        <v>0</v>
      </c>
      <c r="U239" s="195">
        <v>42995</v>
      </c>
      <c r="V239" s="185"/>
    </row>
    <row r="240" spans="1:22" x14ac:dyDescent="0.25">
      <c r="A240" s="192">
        <v>2021</v>
      </c>
      <c r="B240" s="192" t="s">
        <v>827</v>
      </c>
      <c r="C240" s="193" t="s">
        <v>261</v>
      </c>
      <c r="D240" s="194" t="s">
        <v>819</v>
      </c>
      <c r="E240" s="194" t="s">
        <v>819</v>
      </c>
      <c r="F240" s="194" t="s">
        <v>261</v>
      </c>
      <c r="G240" s="193" t="s">
        <v>607</v>
      </c>
      <c r="H240" s="195">
        <v>2</v>
      </c>
      <c r="I240" s="195">
        <v>13</v>
      </c>
      <c r="J240" s="196"/>
      <c r="K240" s="195">
        <v>229751.25</v>
      </c>
      <c r="L240" s="195">
        <v>30633.5</v>
      </c>
      <c r="M240" s="195">
        <v>199117.75</v>
      </c>
      <c r="N240" s="196"/>
      <c r="O240" s="195">
        <v>81207.75</v>
      </c>
      <c r="P240" s="195">
        <v>10827.7</v>
      </c>
      <c r="Q240" s="195">
        <v>70380.05</v>
      </c>
      <c r="R240" s="196"/>
      <c r="S240" s="195">
        <v>310959</v>
      </c>
      <c r="T240" s="195">
        <v>41461.199999999997</v>
      </c>
      <c r="U240" s="195">
        <v>269497.8</v>
      </c>
      <c r="V240" s="185"/>
    </row>
    <row r="241" spans="1:22" x14ac:dyDescent="0.25">
      <c r="A241" s="192">
        <v>2021</v>
      </c>
      <c r="B241" s="192" t="s">
        <v>823</v>
      </c>
      <c r="C241" s="193" t="s">
        <v>263</v>
      </c>
      <c r="D241" s="194" t="s">
        <v>819</v>
      </c>
      <c r="E241" s="194" t="s">
        <v>819</v>
      </c>
      <c r="F241" s="194" t="s">
        <v>700</v>
      </c>
      <c r="G241" s="193" t="s">
        <v>608</v>
      </c>
      <c r="H241" s="195">
        <v>0</v>
      </c>
      <c r="I241" s="195">
        <v>5</v>
      </c>
      <c r="J241" s="196"/>
      <c r="K241" s="195">
        <v>122182.5</v>
      </c>
      <c r="L241" s="195">
        <v>0</v>
      </c>
      <c r="M241" s="195">
        <v>122182.5</v>
      </c>
      <c r="N241" s="196"/>
      <c r="O241" s="195">
        <v>43177.5</v>
      </c>
      <c r="P241" s="195">
        <v>0</v>
      </c>
      <c r="Q241" s="195">
        <v>43177.5</v>
      </c>
      <c r="R241" s="196"/>
      <c r="S241" s="195">
        <v>165360</v>
      </c>
      <c r="T241" s="195">
        <v>0</v>
      </c>
      <c r="U241" s="195">
        <v>165360</v>
      </c>
      <c r="V241" s="185"/>
    </row>
    <row r="242" spans="1:22" x14ac:dyDescent="0.25">
      <c r="A242" s="192">
        <v>2021</v>
      </c>
      <c r="B242" s="192" t="s">
        <v>821</v>
      </c>
      <c r="C242" s="193" t="s">
        <v>264</v>
      </c>
      <c r="D242" s="194" t="s">
        <v>819</v>
      </c>
      <c r="E242" s="194" t="s">
        <v>819</v>
      </c>
      <c r="F242" s="194" t="s">
        <v>264</v>
      </c>
      <c r="G242" s="193" t="s">
        <v>609</v>
      </c>
      <c r="H242" s="195">
        <v>1</v>
      </c>
      <c r="I242" s="195">
        <v>9</v>
      </c>
      <c r="J242" s="196"/>
      <c r="K242" s="195">
        <v>399337.5</v>
      </c>
      <c r="L242" s="195">
        <v>39933.75</v>
      </c>
      <c r="M242" s="195">
        <v>359403.75</v>
      </c>
      <c r="N242" s="196"/>
      <c r="O242" s="195">
        <v>148669.5</v>
      </c>
      <c r="P242" s="195">
        <v>14866.95</v>
      </c>
      <c r="Q242" s="195">
        <v>133802.54999999999</v>
      </c>
      <c r="R242" s="196"/>
      <c r="S242" s="195">
        <v>548007</v>
      </c>
      <c r="T242" s="195">
        <v>54800.7</v>
      </c>
      <c r="U242" s="195">
        <v>493206.3</v>
      </c>
      <c r="V242" s="185"/>
    </row>
    <row r="243" spans="1:22" x14ac:dyDescent="0.25">
      <c r="A243" s="192">
        <v>2021</v>
      </c>
      <c r="B243" s="192" t="s">
        <v>822</v>
      </c>
      <c r="C243" s="193" t="s">
        <v>265</v>
      </c>
      <c r="D243" s="194" t="s">
        <v>819</v>
      </c>
      <c r="E243" s="194" t="s">
        <v>819</v>
      </c>
      <c r="F243" s="194" t="s">
        <v>265</v>
      </c>
      <c r="G243" s="193" t="s">
        <v>610</v>
      </c>
      <c r="H243" s="195">
        <v>0</v>
      </c>
      <c r="I243" s="195">
        <v>6</v>
      </c>
      <c r="J243" s="196"/>
      <c r="K243" s="195">
        <v>142661.25</v>
      </c>
      <c r="L243" s="195">
        <v>0</v>
      </c>
      <c r="M243" s="195">
        <v>142661.25</v>
      </c>
      <c r="N243" s="196"/>
      <c r="O243" s="195">
        <v>50703.75</v>
      </c>
      <c r="P243" s="195">
        <v>0</v>
      </c>
      <c r="Q243" s="195">
        <v>50703.75</v>
      </c>
      <c r="R243" s="196"/>
      <c r="S243" s="195">
        <v>193365</v>
      </c>
      <c r="T243" s="195">
        <v>0</v>
      </c>
      <c r="U243" s="195">
        <v>193365</v>
      </c>
      <c r="V243" s="185"/>
    </row>
    <row r="244" spans="1:22" x14ac:dyDescent="0.25">
      <c r="A244" s="192">
        <v>2021</v>
      </c>
      <c r="B244" s="192" t="s">
        <v>827</v>
      </c>
      <c r="C244" s="193" t="s">
        <v>266</v>
      </c>
      <c r="D244" s="194" t="s">
        <v>819</v>
      </c>
      <c r="E244" s="194" t="s">
        <v>819</v>
      </c>
      <c r="F244" s="194" t="s">
        <v>266</v>
      </c>
      <c r="G244" s="193" t="s">
        <v>611</v>
      </c>
      <c r="H244" s="195">
        <v>5</v>
      </c>
      <c r="I244" s="195">
        <v>5</v>
      </c>
      <c r="J244" s="196"/>
      <c r="K244" s="195">
        <v>113624.25</v>
      </c>
      <c r="L244" s="195">
        <v>56812.13</v>
      </c>
      <c r="M244" s="195">
        <v>56812.12</v>
      </c>
      <c r="N244" s="196"/>
      <c r="O244" s="195">
        <v>45047.75</v>
      </c>
      <c r="P244" s="195">
        <v>22523.88</v>
      </c>
      <c r="Q244" s="195">
        <v>22523.87</v>
      </c>
      <c r="R244" s="196"/>
      <c r="S244" s="195">
        <v>158672</v>
      </c>
      <c r="T244" s="195">
        <v>79336.009999999995</v>
      </c>
      <c r="U244" s="195">
        <v>79335.990000000005</v>
      </c>
      <c r="V244" s="185"/>
    </row>
    <row r="245" spans="1:22" x14ac:dyDescent="0.25">
      <c r="A245" s="192">
        <v>2021</v>
      </c>
      <c r="B245" s="192" t="s">
        <v>822</v>
      </c>
      <c r="C245" s="193" t="s">
        <v>121</v>
      </c>
      <c r="D245" s="194" t="s">
        <v>819</v>
      </c>
      <c r="E245" s="194" t="s">
        <v>819</v>
      </c>
      <c r="F245" s="194" t="s">
        <v>121</v>
      </c>
      <c r="G245" s="193" t="s">
        <v>474</v>
      </c>
      <c r="H245" s="195">
        <v>1</v>
      </c>
      <c r="I245" s="195">
        <v>1</v>
      </c>
      <c r="J245" s="196"/>
      <c r="K245" s="195">
        <v>29188.5</v>
      </c>
      <c r="L245" s="195">
        <v>14594.25</v>
      </c>
      <c r="M245" s="195">
        <v>14594.25</v>
      </c>
      <c r="N245" s="196"/>
      <c r="O245" s="195">
        <v>10951.5</v>
      </c>
      <c r="P245" s="195">
        <v>5475.75</v>
      </c>
      <c r="Q245" s="195">
        <v>5475.75</v>
      </c>
      <c r="R245" s="196"/>
      <c r="S245" s="195">
        <v>40140</v>
      </c>
      <c r="T245" s="195">
        <v>20070</v>
      </c>
      <c r="U245" s="195">
        <v>20070</v>
      </c>
      <c r="V245" s="185"/>
    </row>
    <row r="246" spans="1:22" x14ac:dyDescent="0.25">
      <c r="A246" s="192">
        <v>2021</v>
      </c>
      <c r="B246" s="192" t="s">
        <v>821</v>
      </c>
      <c r="C246" s="193" t="s">
        <v>242</v>
      </c>
      <c r="D246" s="194" t="s">
        <v>819</v>
      </c>
      <c r="E246" s="194" t="s">
        <v>819</v>
      </c>
      <c r="F246" s="194" t="s">
        <v>697</v>
      </c>
      <c r="G246" s="193" t="s">
        <v>589</v>
      </c>
      <c r="H246" s="195">
        <v>0</v>
      </c>
      <c r="I246" s="195">
        <v>9</v>
      </c>
      <c r="J246" s="196"/>
      <c r="K246" s="195">
        <v>213779.25</v>
      </c>
      <c r="L246" s="195">
        <v>0</v>
      </c>
      <c r="M246" s="195">
        <v>213779.25</v>
      </c>
      <c r="N246" s="196"/>
      <c r="O246" s="195">
        <v>80315.75</v>
      </c>
      <c r="P246" s="195">
        <v>0</v>
      </c>
      <c r="Q246" s="195">
        <v>80315.75</v>
      </c>
      <c r="R246" s="196"/>
      <c r="S246" s="195">
        <v>294095</v>
      </c>
      <c r="T246" s="195">
        <v>0</v>
      </c>
      <c r="U246" s="195">
        <v>294095</v>
      </c>
      <c r="V246" s="185"/>
    </row>
    <row r="247" spans="1:22" x14ac:dyDescent="0.25">
      <c r="A247" s="192">
        <v>2021</v>
      </c>
      <c r="B247" s="192" t="s">
        <v>822</v>
      </c>
      <c r="C247" s="193" t="s">
        <v>267</v>
      </c>
      <c r="D247" s="194" t="s">
        <v>819</v>
      </c>
      <c r="E247" s="194" t="s">
        <v>819</v>
      </c>
      <c r="F247" s="194" t="s">
        <v>267</v>
      </c>
      <c r="G247" s="193" t="s">
        <v>612</v>
      </c>
      <c r="H247" s="195">
        <v>0</v>
      </c>
      <c r="I247" s="195">
        <v>0</v>
      </c>
      <c r="J247" s="196"/>
      <c r="K247" s="195">
        <v>0</v>
      </c>
      <c r="L247" s="195">
        <v>0</v>
      </c>
      <c r="M247" s="195">
        <v>0</v>
      </c>
      <c r="N247" s="196"/>
      <c r="O247" s="195">
        <v>0</v>
      </c>
      <c r="P247" s="195">
        <v>0</v>
      </c>
      <c r="Q247" s="195">
        <v>0</v>
      </c>
      <c r="R247" s="196"/>
      <c r="S247" s="195">
        <v>0</v>
      </c>
      <c r="T247" s="195">
        <v>0</v>
      </c>
      <c r="U247" s="195">
        <v>0</v>
      </c>
      <c r="V247" s="185"/>
    </row>
    <row r="248" spans="1:22" x14ac:dyDescent="0.25">
      <c r="A248" s="192">
        <v>2021</v>
      </c>
      <c r="B248" s="192" t="s">
        <v>818</v>
      </c>
      <c r="C248" s="193" t="s">
        <v>268</v>
      </c>
      <c r="D248" s="194" t="s">
        <v>819</v>
      </c>
      <c r="E248" s="194" t="s">
        <v>819</v>
      </c>
      <c r="F248" s="194" t="s">
        <v>268</v>
      </c>
      <c r="G248" s="193" t="s">
        <v>613</v>
      </c>
      <c r="H248" s="195">
        <v>2</v>
      </c>
      <c r="I248" s="195">
        <v>6</v>
      </c>
      <c r="J248" s="196"/>
      <c r="K248" s="195">
        <v>426750.75</v>
      </c>
      <c r="L248" s="195">
        <v>106687.69</v>
      </c>
      <c r="M248" s="195">
        <v>320063.06</v>
      </c>
      <c r="N248" s="196"/>
      <c r="O248" s="195">
        <v>171469.25</v>
      </c>
      <c r="P248" s="195">
        <v>42867.31</v>
      </c>
      <c r="Q248" s="195">
        <v>128601.94</v>
      </c>
      <c r="R248" s="196"/>
      <c r="S248" s="195">
        <v>598220</v>
      </c>
      <c r="T248" s="195">
        <v>149555</v>
      </c>
      <c r="U248" s="195">
        <v>448665</v>
      </c>
      <c r="V248" s="185"/>
    </row>
    <row r="249" spans="1:22" x14ac:dyDescent="0.25">
      <c r="A249" s="192">
        <v>2021</v>
      </c>
      <c r="B249" s="192" t="s">
        <v>820</v>
      </c>
      <c r="C249" s="193" t="s">
        <v>269</v>
      </c>
      <c r="D249" s="194" t="s">
        <v>819</v>
      </c>
      <c r="E249" s="194" t="s">
        <v>819</v>
      </c>
      <c r="F249" s="194" t="s">
        <v>269</v>
      </c>
      <c r="G249" s="193" t="s">
        <v>614</v>
      </c>
      <c r="H249" s="195">
        <v>0</v>
      </c>
      <c r="I249" s="195">
        <v>3</v>
      </c>
      <c r="J249" s="196"/>
      <c r="K249" s="195">
        <v>61210.5</v>
      </c>
      <c r="L249" s="195">
        <v>0</v>
      </c>
      <c r="M249" s="195">
        <v>61210.5</v>
      </c>
      <c r="N249" s="196"/>
      <c r="O249" s="195">
        <v>21811.5</v>
      </c>
      <c r="P249" s="195">
        <v>0</v>
      </c>
      <c r="Q249" s="195">
        <v>21811.5</v>
      </c>
      <c r="R249" s="196"/>
      <c r="S249" s="195">
        <v>83022</v>
      </c>
      <c r="T249" s="195">
        <v>0</v>
      </c>
      <c r="U249" s="195">
        <v>83022</v>
      </c>
      <c r="V249" s="185"/>
    </row>
    <row r="250" spans="1:22" x14ac:dyDescent="0.25">
      <c r="A250" s="192">
        <v>2021</v>
      </c>
      <c r="B250" s="192" t="s">
        <v>823</v>
      </c>
      <c r="C250" s="193" t="s">
        <v>270</v>
      </c>
      <c r="D250" s="194" t="s">
        <v>819</v>
      </c>
      <c r="E250" s="194" t="s">
        <v>819</v>
      </c>
      <c r="F250" s="194" t="s">
        <v>270</v>
      </c>
      <c r="G250" s="193" t="s">
        <v>615</v>
      </c>
      <c r="H250" s="195">
        <v>0</v>
      </c>
      <c r="I250" s="195">
        <v>10</v>
      </c>
      <c r="J250" s="196"/>
      <c r="K250" s="195">
        <v>80478.75</v>
      </c>
      <c r="L250" s="195">
        <v>0</v>
      </c>
      <c r="M250" s="195">
        <v>80478.75</v>
      </c>
      <c r="N250" s="196"/>
      <c r="O250" s="195">
        <v>29511.25</v>
      </c>
      <c r="P250" s="195">
        <v>0</v>
      </c>
      <c r="Q250" s="195">
        <v>29511.25</v>
      </c>
      <c r="R250" s="196"/>
      <c r="S250" s="195">
        <v>109990</v>
      </c>
      <c r="T250" s="195">
        <v>0</v>
      </c>
      <c r="U250" s="195">
        <v>109990</v>
      </c>
      <c r="V250" s="185"/>
    </row>
    <row r="251" spans="1:22" x14ac:dyDescent="0.25">
      <c r="A251" s="192">
        <v>2021</v>
      </c>
      <c r="B251" s="192" t="s">
        <v>818</v>
      </c>
      <c r="C251" s="193" t="s">
        <v>272</v>
      </c>
      <c r="D251" s="194" t="s">
        <v>819</v>
      </c>
      <c r="E251" s="194" t="s">
        <v>819</v>
      </c>
      <c r="F251" s="194" t="s">
        <v>272</v>
      </c>
      <c r="G251" s="193" t="s">
        <v>617</v>
      </c>
      <c r="H251" s="195">
        <v>0</v>
      </c>
      <c r="I251" s="195">
        <v>0</v>
      </c>
      <c r="J251" s="196"/>
      <c r="K251" s="195">
        <v>0</v>
      </c>
      <c r="L251" s="195">
        <v>0</v>
      </c>
      <c r="M251" s="195">
        <v>0</v>
      </c>
      <c r="N251" s="196"/>
      <c r="O251" s="195">
        <v>0</v>
      </c>
      <c r="P251" s="195">
        <v>0</v>
      </c>
      <c r="Q251" s="195">
        <v>0</v>
      </c>
      <c r="R251" s="196"/>
      <c r="S251" s="195">
        <v>0</v>
      </c>
      <c r="T251" s="195">
        <v>0</v>
      </c>
      <c r="U251" s="195">
        <v>0</v>
      </c>
      <c r="V251" s="185"/>
    </row>
    <row r="252" spans="1:22" x14ac:dyDescent="0.25">
      <c r="A252" s="192">
        <v>2021</v>
      </c>
      <c r="B252" s="192" t="s">
        <v>823</v>
      </c>
      <c r="C252" s="193" t="s">
        <v>273</v>
      </c>
      <c r="D252" s="194" t="s">
        <v>819</v>
      </c>
      <c r="E252" s="194" t="s">
        <v>819</v>
      </c>
      <c r="F252" s="194" t="s">
        <v>273</v>
      </c>
      <c r="G252" s="193" t="s">
        <v>618</v>
      </c>
      <c r="H252" s="195">
        <v>1</v>
      </c>
      <c r="I252" s="195">
        <v>1</v>
      </c>
      <c r="J252" s="196"/>
      <c r="K252" s="195">
        <v>33372.75</v>
      </c>
      <c r="L252" s="195">
        <v>16686.38</v>
      </c>
      <c r="M252" s="195">
        <v>16686.37</v>
      </c>
      <c r="N252" s="196"/>
      <c r="O252" s="195">
        <v>11758.25</v>
      </c>
      <c r="P252" s="195">
        <v>5879.13</v>
      </c>
      <c r="Q252" s="195">
        <v>5879.12</v>
      </c>
      <c r="R252" s="196"/>
      <c r="S252" s="195">
        <v>45131</v>
      </c>
      <c r="T252" s="195">
        <v>22565.510000000002</v>
      </c>
      <c r="U252" s="195">
        <v>22565.489999999998</v>
      </c>
      <c r="V252" s="185"/>
    </row>
    <row r="253" spans="1:22" x14ac:dyDescent="0.25">
      <c r="A253" s="192">
        <v>2021</v>
      </c>
      <c r="B253" s="192" t="s">
        <v>822</v>
      </c>
      <c r="C253" s="193" t="s">
        <v>274</v>
      </c>
      <c r="D253" s="194" t="s">
        <v>819</v>
      </c>
      <c r="E253" s="194" t="s">
        <v>819</v>
      </c>
      <c r="F253" s="194" t="s">
        <v>274</v>
      </c>
      <c r="G253" s="193" t="s">
        <v>619</v>
      </c>
      <c r="H253" s="195">
        <v>0</v>
      </c>
      <c r="I253" s="195">
        <v>1</v>
      </c>
      <c r="J253" s="196"/>
      <c r="K253" s="195">
        <v>11037</v>
      </c>
      <c r="L253" s="195">
        <v>0</v>
      </c>
      <c r="M253" s="195">
        <v>11037</v>
      </c>
      <c r="N253" s="196"/>
      <c r="O253" s="195">
        <v>3848</v>
      </c>
      <c r="P253" s="195">
        <v>0</v>
      </c>
      <c r="Q253" s="195">
        <v>3848</v>
      </c>
      <c r="R253" s="196"/>
      <c r="S253" s="195">
        <v>14885</v>
      </c>
      <c r="T253" s="195">
        <v>0</v>
      </c>
      <c r="U253" s="195">
        <v>14885</v>
      </c>
      <c r="V253" s="185"/>
    </row>
    <row r="254" spans="1:22" x14ac:dyDescent="0.25">
      <c r="A254" s="192">
        <v>2021</v>
      </c>
      <c r="B254" s="192" t="s">
        <v>822</v>
      </c>
      <c r="C254" s="193" t="s">
        <v>275</v>
      </c>
      <c r="D254" s="194" t="s">
        <v>819</v>
      </c>
      <c r="E254" s="194" t="s">
        <v>819</v>
      </c>
      <c r="F254" s="194" t="s">
        <v>275</v>
      </c>
      <c r="G254" s="193" t="s">
        <v>620</v>
      </c>
      <c r="H254" s="195">
        <v>0</v>
      </c>
      <c r="I254" s="195">
        <v>0</v>
      </c>
      <c r="J254" s="196"/>
      <c r="K254" s="195">
        <v>0</v>
      </c>
      <c r="L254" s="195">
        <v>0</v>
      </c>
      <c r="M254" s="195">
        <v>0</v>
      </c>
      <c r="N254" s="196"/>
      <c r="O254" s="195">
        <v>0</v>
      </c>
      <c r="P254" s="195">
        <v>0</v>
      </c>
      <c r="Q254" s="195">
        <v>0</v>
      </c>
      <c r="R254" s="196"/>
      <c r="S254" s="195">
        <v>0</v>
      </c>
      <c r="T254" s="195">
        <v>0</v>
      </c>
      <c r="U254" s="195">
        <v>0</v>
      </c>
      <c r="V254" s="185"/>
    </row>
    <row r="255" spans="1:22" x14ac:dyDescent="0.25">
      <c r="A255" s="192">
        <v>2021</v>
      </c>
      <c r="B255" s="192" t="s">
        <v>824</v>
      </c>
      <c r="C255" s="193" t="s">
        <v>276</v>
      </c>
      <c r="D255" s="194" t="s">
        <v>819</v>
      </c>
      <c r="E255" s="194" t="s">
        <v>819</v>
      </c>
      <c r="F255" s="194" t="s">
        <v>276</v>
      </c>
      <c r="G255" s="193" t="s">
        <v>621</v>
      </c>
      <c r="H255" s="195">
        <v>0</v>
      </c>
      <c r="I255" s="195">
        <v>10</v>
      </c>
      <c r="J255" s="196"/>
      <c r="K255" s="195">
        <v>85395</v>
      </c>
      <c r="L255" s="195">
        <v>0</v>
      </c>
      <c r="M255" s="195">
        <v>85395</v>
      </c>
      <c r="N255" s="196"/>
      <c r="O255" s="195">
        <v>34961</v>
      </c>
      <c r="P255" s="195">
        <v>0</v>
      </c>
      <c r="Q255" s="195">
        <v>34961</v>
      </c>
      <c r="R255" s="196"/>
      <c r="S255" s="195">
        <v>120356</v>
      </c>
      <c r="T255" s="195">
        <v>0</v>
      </c>
      <c r="U255" s="195">
        <v>120356</v>
      </c>
      <c r="V255" s="185"/>
    </row>
    <row r="256" spans="1:22" x14ac:dyDescent="0.25">
      <c r="A256" s="192">
        <v>2021</v>
      </c>
      <c r="B256" s="192" t="s">
        <v>822</v>
      </c>
      <c r="C256" s="193" t="s">
        <v>278</v>
      </c>
      <c r="D256" s="194" t="s">
        <v>819</v>
      </c>
      <c r="E256" s="194" t="s">
        <v>819</v>
      </c>
      <c r="F256" s="194" t="s">
        <v>278</v>
      </c>
      <c r="G256" s="193" t="s">
        <v>623</v>
      </c>
      <c r="H256" s="195">
        <v>0</v>
      </c>
      <c r="I256" s="195">
        <v>7</v>
      </c>
      <c r="J256" s="196"/>
      <c r="K256" s="195">
        <v>362223</v>
      </c>
      <c r="L256" s="195">
        <v>0</v>
      </c>
      <c r="M256" s="195">
        <v>362223</v>
      </c>
      <c r="N256" s="196"/>
      <c r="O256" s="195">
        <v>146365</v>
      </c>
      <c r="P256" s="195">
        <v>0</v>
      </c>
      <c r="Q256" s="195">
        <v>146365</v>
      </c>
      <c r="R256" s="196"/>
      <c r="S256" s="195">
        <v>508588</v>
      </c>
      <c r="T256" s="195">
        <v>0</v>
      </c>
      <c r="U256" s="195">
        <v>508588</v>
      </c>
      <c r="V256" s="185"/>
    </row>
    <row r="257" spans="1:22" x14ac:dyDescent="0.25">
      <c r="A257" s="192">
        <v>2021</v>
      </c>
      <c r="B257" s="192" t="s">
        <v>821</v>
      </c>
      <c r="C257" s="193" t="s">
        <v>279</v>
      </c>
      <c r="D257" s="194" t="s">
        <v>819</v>
      </c>
      <c r="E257" s="194" t="s">
        <v>819</v>
      </c>
      <c r="F257" s="194" t="s">
        <v>279</v>
      </c>
      <c r="G257" s="193" t="s">
        <v>624</v>
      </c>
      <c r="H257" s="195">
        <v>4</v>
      </c>
      <c r="I257" s="195">
        <v>4</v>
      </c>
      <c r="J257" s="196"/>
      <c r="K257" s="195">
        <v>300468.75</v>
      </c>
      <c r="L257" s="195">
        <v>150234.38</v>
      </c>
      <c r="M257" s="195">
        <v>150234.37</v>
      </c>
      <c r="N257" s="196"/>
      <c r="O257" s="195">
        <v>109614.25</v>
      </c>
      <c r="P257" s="195">
        <v>54807.13</v>
      </c>
      <c r="Q257" s="195">
        <v>54807.12</v>
      </c>
      <c r="R257" s="196"/>
      <c r="S257" s="195">
        <v>410083</v>
      </c>
      <c r="T257" s="195">
        <v>205041.51</v>
      </c>
      <c r="U257" s="195">
        <v>205041.49</v>
      </c>
      <c r="V257" s="185"/>
    </row>
    <row r="258" spans="1:22" x14ac:dyDescent="0.25">
      <c r="A258" s="192">
        <v>2021</v>
      </c>
      <c r="B258" s="192" t="s">
        <v>822</v>
      </c>
      <c r="C258" s="193" t="s">
        <v>280</v>
      </c>
      <c r="D258" s="194" t="s">
        <v>819</v>
      </c>
      <c r="E258" s="194" t="s">
        <v>819</v>
      </c>
      <c r="F258" s="194" t="s">
        <v>280</v>
      </c>
      <c r="G258" s="193" t="s">
        <v>625</v>
      </c>
      <c r="H258" s="195">
        <v>4</v>
      </c>
      <c r="I258" s="195">
        <v>6</v>
      </c>
      <c r="J258" s="196"/>
      <c r="K258" s="195">
        <v>270298.5</v>
      </c>
      <c r="L258" s="195">
        <v>108119.4</v>
      </c>
      <c r="M258" s="195">
        <v>162179.1</v>
      </c>
      <c r="N258" s="196"/>
      <c r="O258" s="195">
        <v>108210.5</v>
      </c>
      <c r="P258" s="195">
        <v>43284.2</v>
      </c>
      <c r="Q258" s="195">
        <v>64926.3</v>
      </c>
      <c r="R258" s="196"/>
      <c r="S258" s="195">
        <v>378509</v>
      </c>
      <c r="T258" s="195">
        <v>151403.59999999998</v>
      </c>
      <c r="U258" s="195">
        <v>227105.40000000002</v>
      </c>
      <c r="V258" s="185"/>
    </row>
    <row r="259" spans="1:22" x14ac:dyDescent="0.25">
      <c r="A259" s="192">
        <v>2021</v>
      </c>
      <c r="B259" s="192" t="s">
        <v>821</v>
      </c>
      <c r="C259" s="193" t="s">
        <v>281</v>
      </c>
      <c r="D259" s="194" t="s">
        <v>819</v>
      </c>
      <c r="E259" s="194" t="s">
        <v>819</v>
      </c>
      <c r="F259" s="194" t="s">
        <v>281</v>
      </c>
      <c r="G259" s="193" t="s">
        <v>626</v>
      </c>
      <c r="H259" s="195">
        <v>10</v>
      </c>
      <c r="I259" s="195">
        <v>10</v>
      </c>
      <c r="J259" s="196"/>
      <c r="K259" s="195">
        <v>267052.5</v>
      </c>
      <c r="L259" s="195">
        <v>133526.25</v>
      </c>
      <c r="M259" s="195">
        <v>133526.25</v>
      </c>
      <c r="N259" s="196"/>
      <c r="O259" s="195">
        <v>92110.5</v>
      </c>
      <c r="P259" s="195">
        <v>46055.25</v>
      </c>
      <c r="Q259" s="195">
        <v>46055.25</v>
      </c>
      <c r="R259" s="196"/>
      <c r="S259" s="195">
        <v>359163</v>
      </c>
      <c r="T259" s="195">
        <v>179581.5</v>
      </c>
      <c r="U259" s="195">
        <v>179581.5</v>
      </c>
      <c r="V259" s="185"/>
    </row>
    <row r="260" spans="1:22" x14ac:dyDescent="0.25">
      <c r="A260" s="192">
        <v>2021</v>
      </c>
      <c r="B260" s="192" t="s">
        <v>824</v>
      </c>
      <c r="C260" s="193" t="s">
        <v>282</v>
      </c>
      <c r="D260" s="194" t="s">
        <v>819</v>
      </c>
      <c r="E260" s="194" t="s">
        <v>819</v>
      </c>
      <c r="F260" s="194" t="s">
        <v>282</v>
      </c>
      <c r="G260" s="193" t="s">
        <v>627</v>
      </c>
      <c r="H260" s="195">
        <v>0</v>
      </c>
      <c r="I260" s="195">
        <v>1</v>
      </c>
      <c r="J260" s="196"/>
      <c r="K260" s="195">
        <v>21847.5</v>
      </c>
      <c r="L260" s="195">
        <v>0</v>
      </c>
      <c r="M260" s="195">
        <v>21847.5</v>
      </c>
      <c r="N260" s="196"/>
      <c r="O260" s="195">
        <v>8358.5</v>
      </c>
      <c r="P260" s="195">
        <v>0</v>
      </c>
      <c r="Q260" s="195">
        <v>8358.5</v>
      </c>
      <c r="R260" s="196"/>
      <c r="S260" s="195">
        <v>30206</v>
      </c>
      <c r="T260" s="195">
        <v>0</v>
      </c>
      <c r="U260" s="195">
        <v>30206</v>
      </c>
      <c r="V260" s="185"/>
    </row>
    <row r="261" spans="1:22" x14ac:dyDescent="0.25">
      <c r="A261" s="192">
        <v>2021</v>
      </c>
      <c r="B261" s="192" t="s">
        <v>822</v>
      </c>
      <c r="C261" s="193" t="s">
        <v>283</v>
      </c>
      <c r="D261" s="194" t="s">
        <v>819</v>
      </c>
      <c r="E261" s="194" t="s">
        <v>819</v>
      </c>
      <c r="F261" s="194" t="s">
        <v>283</v>
      </c>
      <c r="G261" s="193" t="s">
        <v>628</v>
      </c>
      <c r="H261" s="195">
        <v>0</v>
      </c>
      <c r="I261" s="195">
        <v>5</v>
      </c>
      <c r="J261" s="196"/>
      <c r="K261" s="195">
        <v>400245.75</v>
      </c>
      <c r="L261" s="195">
        <v>0</v>
      </c>
      <c r="M261" s="195">
        <v>400245.75</v>
      </c>
      <c r="N261" s="196"/>
      <c r="O261" s="195">
        <v>143257.25</v>
      </c>
      <c r="P261" s="195">
        <v>0</v>
      </c>
      <c r="Q261" s="195">
        <v>143257.25</v>
      </c>
      <c r="R261" s="196"/>
      <c r="S261" s="195">
        <v>543503</v>
      </c>
      <c r="T261" s="195">
        <v>0</v>
      </c>
      <c r="U261" s="195">
        <v>543503</v>
      </c>
      <c r="V261" s="185"/>
    </row>
    <row r="262" spans="1:22" x14ac:dyDescent="0.25">
      <c r="A262" s="192">
        <v>2021</v>
      </c>
      <c r="B262" s="192" t="s">
        <v>823</v>
      </c>
      <c r="C262" s="193" t="s">
        <v>285</v>
      </c>
      <c r="D262" s="194" t="s">
        <v>819</v>
      </c>
      <c r="E262" s="194" t="s">
        <v>819</v>
      </c>
      <c r="F262" s="194" t="s">
        <v>701</v>
      </c>
      <c r="G262" s="193" t="s">
        <v>630</v>
      </c>
      <c r="H262" s="195">
        <v>0</v>
      </c>
      <c r="I262" s="195">
        <v>5</v>
      </c>
      <c r="J262" s="196"/>
      <c r="K262" s="195">
        <v>101736</v>
      </c>
      <c r="L262" s="195">
        <v>0</v>
      </c>
      <c r="M262" s="195">
        <v>101736</v>
      </c>
      <c r="N262" s="196"/>
      <c r="O262" s="195">
        <v>38961</v>
      </c>
      <c r="P262" s="195">
        <v>0</v>
      </c>
      <c r="Q262" s="195">
        <v>38961</v>
      </c>
      <c r="R262" s="196"/>
      <c r="S262" s="195">
        <v>140697</v>
      </c>
      <c r="T262" s="195">
        <v>0</v>
      </c>
      <c r="U262" s="195">
        <v>140697</v>
      </c>
      <c r="V262" s="185"/>
    </row>
    <row r="263" spans="1:22" x14ac:dyDescent="0.25">
      <c r="A263" s="192">
        <v>2021</v>
      </c>
      <c r="B263" s="192" t="s">
        <v>822</v>
      </c>
      <c r="C263" s="193" t="s">
        <v>284</v>
      </c>
      <c r="D263" s="194" t="s">
        <v>819</v>
      </c>
      <c r="E263" s="194" t="s">
        <v>819</v>
      </c>
      <c r="F263" s="194" t="s">
        <v>284</v>
      </c>
      <c r="G263" s="193" t="s">
        <v>629</v>
      </c>
      <c r="H263" s="195">
        <v>0</v>
      </c>
      <c r="I263" s="195">
        <v>3</v>
      </c>
      <c r="J263" s="196"/>
      <c r="K263" s="195">
        <v>1439144.25</v>
      </c>
      <c r="L263" s="195">
        <v>0</v>
      </c>
      <c r="M263" s="195">
        <v>1439144.25</v>
      </c>
      <c r="N263" s="196"/>
      <c r="O263" s="195">
        <v>536663.75</v>
      </c>
      <c r="P263" s="195">
        <v>0</v>
      </c>
      <c r="Q263" s="195">
        <v>536663.75</v>
      </c>
      <c r="R263" s="196"/>
      <c r="S263" s="195">
        <v>1975808</v>
      </c>
      <c r="T263" s="195">
        <v>0</v>
      </c>
      <c r="U263" s="195">
        <v>1975808</v>
      </c>
      <c r="V263" s="185"/>
    </row>
    <row r="264" spans="1:22" x14ac:dyDescent="0.25">
      <c r="A264" s="192">
        <v>2021</v>
      </c>
      <c r="B264" s="192" t="s">
        <v>825</v>
      </c>
      <c r="C264" s="193" t="s">
        <v>287</v>
      </c>
      <c r="D264" s="194" t="s">
        <v>819</v>
      </c>
      <c r="E264" s="194" t="s">
        <v>819</v>
      </c>
      <c r="F264" s="194" t="s">
        <v>287</v>
      </c>
      <c r="G264" s="193" t="s">
        <v>632</v>
      </c>
      <c r="H264" s="195">
        <v>0</v>
      </c>
      <c r="I264" s="195">
        <v>5</v>
      </c>
      <c r="J264" s="196"/>
      <c r="K264" s="195">
        <v>496227</v>
      </c>
      <c r="L264" s="195">
        <v>0</v>
      </c>
      <c r="M264" s="195">
        <v>496227</v>
      </c>
      <c r="N264" s="196"/>
      <c r="O264" s="195">
        <v>205908</v>
      </c>
      <c r="P264" s="195">
        <v>0</v>
      </c>
      <c r="Q264" s="195">
        <v>205908</v>
      </c>
      <c r="R264" s="196"/>
      <c r="S264" s="195">
        <v>702135</v>
      </c>
      <c r="T264" s="195">
        <v>0</v>
      </c>
      <c r="U264" s="195">
        <v>702135</v>
      </c>
      <c r="V264" s="185"/>
    </row>
    <row r="265" spans="1:22" x14ac:dyDescent="0.25">
      <c r="A265" s="192">
        <v>2021</v>
      </c>
      <c r="B265" s="192" t="s">
        <v>823</v>
      </c>
      <c r="C265" s="193" t="s">
        <v>286</v>
      </c>
      <c r="D265" s="194" t="s">
        <v>819</v>
      </c>
      <c r="E265" s="194" t="s">
        <v>819</v>
      </c>
      <c r="F265" s="194" t="s">
        <v>286</v>
      </c>
      <c r="G265" s="193" t="s">
        <v>631</v>
      </c>
      <c r="H265" s="195">
        <v>0</v>
      </c>
      <c r="I265" s="195">
        <v>1</v>
      </c>
      <c r="J265" s="196"/>
      <c r="K265" s="195">
        <v>39278.25</v>
      </c>
      <c r="L265" s="195">
        <v>0</v>
      </c>
      <c r="M265" s="195">
        <v>39278.25</v>
      </c>
      <c r="N265" s="196"/>
      <c r="O265" s="195">
        <v>14497.75</v>
      </c>
      <c r="P265" s="195">
        <v>0</v>
      </c>
      <c r="Q265" s="195">
        <v>14497.75</v>
      </c>
      <c r="R265" s="196"/>
      <c r="S265" s="195">
        <v>53776</v>
      </c>
      <c r="T265" s="195">
        <v>0</v>
      </c>
      <c r="U265" s="195">
        <v>53776</v>
      </c>
      <c r="V265" s="185"/>
    </row>
    <row r="266" spans="1:22" x14ac:dyDescent="0.25">
      <c r="A266" s="192">
        <v>2021</v>
      </c>
      <c r="B266" s="192" t="s">
        <v>823</v>
      </c>
      <c r="C266" s="193" t="s">
        <v>289</v>
      </c>
      <c r="D266" s="194" t="s">
        <v>819</v>
      </c>
      <c r="E266" s="194" t="s">
        <v>819</v>
      </c>
      <c r="F266" s="194" t="s">
        <v>289</v>
      </c>
      <c r="G266" s="193" t="s">
        <v>634</v>
      </c>
      <c r="H266" s="195">
        <v>0</v>
      </c>
      <c r="I266" s="195">
        <v>8</v>
      </c>
      <c r="J266" s="196"/>
      <c r="K266" s="195">
        <v>243441</v>
      </c>
      <c r="L266" s="195">
        <v>0</v>
      </c>
      <c r="M266" s="195">
        <v>243441</v>
      </c>
      <c r="N266" s="196"/>
      <c r="O266" s="195">
        <v>89587</v>
      </c>
      <c r="P266" s="195">
        <v>0</v>
      </c>
      <c r="Q266" s="195">
        <v>89587</v>
      </c>
      <c r="R266" s="196"/>
      <c r="S266" s="195">
        <v>333028</v>
      </c>
      <c r="T266" s="195">
        <v>0</v>
      </c>
      <c r="U266" s="195">
        <v>333028</v>
      </c>
      <c r="V266" s="185"/>
    </row>
    <row r="267" spans="1:22" x14ac:dyDescent="0.25">
      <c r="A267" s="192">
        <v>2021</v>
      </c>
      <c r="B267" s="192" t="s">
        <v>822</v>
      </c>
      <c r="C267" s="193" t="s">
        <v>254</v>
      </c>
      <c r="D267" s="194" t="s">
        <v>819</v>
      </c>
      <c r="E267" s="194" t="s">
        <v>819</v>
      </c>
      <c r="F267" s="194" t="s">
        <v>698</v>
      </c>
      <c r="G267" s="193" t="s">
        <v>600</v>
      </c>
      <c r="H267" s="195">
        <v>2</v>
      </c>
      <c r="I267" s="195">
        <v>8</v>
      </c>
      <c r="J267" s="196"/>
      <c r="K267" s="195">
        <v>314868</v>
      </c>
      <c r="L267" s="195">
        <v>62973.599999999999</v>
      </c>
      <c r="M267" s="195">
        <v>251894.39999999999</v>
      </c>
      <c r="N267" s="196"/>
      <c r="O267" s="195">
        <v>111813</v>
      </c>
      <c r="P267" s="195">
        <v>22362.6</v>
      </c>
      <c r="Q267" s="195">
        <v>89450.4</v>
      </c>
      <c r="R267" s="196"/>
      <c r="S267" s="195">
        <v>426681</v>
      </c>
      <c r="T267" s="195">
        <v>85336.2</v>
      </c>
      <c r="U267" s="195">
        <v>341344.8</v>
      </c>
      <c r="V267" s="185"/>
    </row>
    <row r="268" spans="1:22" x14ac:dyDescent="0.25">
      <c r="A268" s="192">
        <v>2021</v>
      </c>
      <c r="B268" s="192" t="s">
        <v>821</v>
      </c>
      <c r="C268" s="193" t="s">
        <v>291</v>
      </c>
      <c r="D268" s="194" t="s">
        <v>819</v>
      </c>
      <c r="E268" s="194" t="s">
        <v>819</v>
      </c>
      <c r="F268" s="194" t="s">
        <v>291</v>
      </c>
      <c r="G268" s="193" t="s">
        <v>636</v>
      </c>
      <c r="H268" s="195">
        <v>0</v>
      </c>
      <c r="I268" s="195">
        <v>14</v>
      </c>
      <c r="J268" s="196"/>
      <c r="K268" s="195">
        <v>104505.75</v>
      </c>
      <c r="L268" s="195">
        <v>0</v>
      </c>
      <c r="M268" s="195">
        <v>104505.75</v>
      </c>
      <c r="N268" s="196"/>
      <c r="O268" s="195">
        <v>37315.25</v>
      </c>
      <c r="P268" s="195">
        <v>0</v>
      </c>
      <c r="Q268" s="195">
        <v>37315.25</v>
      </c>
      <c r="R268" s="196"/>
      <c r="S268" s="195">
        <v>141821</v>
      </c>
      <c r="T268" s="195">
        <v>0</v>
      </c>
      <c r="U268" s="195">
        <v>141821</v>
      </c>
      <c r="V268" s="185"/>
    </row>
    <row r="269" spans="1:22" x14ac:dyDescent="0.25">
      <c r="A269" s="192">
        <v>2021</v>
      </c>
      <c r="B269" s="192" t="s">
        <v>820</v>
      </c>
      <c r="C269" s="193" t="s">
        <v>292</v>
      </c>
      <c r="D269" s="194" t="s">
        <v>819</v>
      </c>
      <c r="E269" s="194" t="s">
        <v>819</v>
      </c>
      <c r="F269" s="194" t="s">
        <v>292</v>
      </c>
      <c r="G269" s="193" t="s">
        <v>637</v>
      </c>
      <c r="H269" s="195">
        <v>0</v>
      </c>
      <c r="I269" s="195">
        <v>3</v>
      </c>
      <c r="J269" s="196"/>
      <c r="K269" s="195">
        <v>133323</v>
      </c>
      <c r="L269" s="195">
        <v>0</v>
      </c>
      <c r="M269" s="195">
        <v>133323</v>
      </c>
      <c r="N269" s="196"/>
      <c r="O269" s="195">
        <v>46659</v>
      </c>
      <c r="P269" s="195">
        <v>0</v>
      </c>
      <c r="Q269" s="195">
        <v>46659</v>
      </c>
      <c r="R269" s="196"/>
      <c r="S269" s="195">
        <v>179982</v>
      </c>
      <c r="T269" s="195">
        <v>0</v>
      </c>
      <c r="U269" s="195">
        <v>179982</v>
      </c>
      <c r="V269" s="185"/>
    </row>
    <row r="270" spans="1:22" x14ac:dyDescent="0.25">
      <c r="A270" s="192">
        <v>2021</v>
      </c>
      <c r="B270" s="192" t="s">
        <v>827</v>
      </c>
      <c r="C270" s="193" t="s">
        <v>293</v>
      </c>
      <c r="D270" s="194" t="s">
        <v>819</v>
      </c>
      <c r="E270" s="194" t="s">
        <v>819</v>
      </c>
      <c r="F270" s="194" t="s">
        <v>293</v>
      </c>
      <c r="G270" s="193" t="s">
        <v>638</v>
      </c>
      <c r="H270" s="195">
        <v>3</v>
      </c>
      <c r="I270" s="195">
        <v>3</v>
      </c>
      <c r="J270" s="196"/>
      <c r="K270" s="195">
        <v>159220.5</v>
      </c>
      <c r="L270" s="195">
        <v>79610.25</v>
      </c>
      <c r="M270" s="195">
        <v>79610.25</v>
      </c>
      <c r="N270" s="196"/>
      <c r="O270" s="195">
        <v>59293.5</v>
      </c>
      <c r="P270" s="195">
        <v>29646.75</v>
      </c>
      <c r="Q270" s="195">
        <v>29646.75</v>
      </c>
      <c r="R270" s="196"/>
      <c r="S270" s="195">
        <v>218514</v>
      </c>
      <c r="T270" s="195">
        <v>109257</v>
      </c>
      <c r="U270" s="195">
        <v>109257</v>
      </c>
      <c r="V270" s="185"/>
    </row>
    <row r="271" spans="1:22" x14ac:dyDescent="0.25">
      <c r="A271" s="192">
        <v>2021</v>
      </c>
      <c r="B271" s="192" t="s">
        <v>818</v>
      </c>
      <c r="C271" s="193" t="s">
        <v>294</v>
      </c>
      <c r="D271" s="194" t="s">
        <v>819</v>
      </c>
      <c r="E271" s="194" t="s">
        <v>819</v>
      </c>
      <c r="F271" s="194" t="s">
        <v>294</v>
      </c>
      <c r="G271" s="193" t="s">
        <v>639</v>
      </c>
      <c r="H271" s="195">
        <v>0</v>
      </c>
      <c r="I271" s="195">
        <v>5</v>
      </c>
      <c r="J271" s="196"/>
      <c r="K271" s="195">
        <v>1813601.25</v>
      </c>
      <c r="L271" s="195">
        <v>0</v>
      </c>
      <c r="M271" s="195">
        <v>1813601.25</v>
      </c>
      <c r="N271" s="196"/>
      <c r="O271" s="195">
        <v>683158.75</v>
      </c>
      <c r="P271" s="195">
        <v>0</v>
      </c>
      <c r="Q271" s="195">
        <v>683158.75</v>
      </c>
      <c r="R271" s="196"/>
      <c r="S271" s="195">
        <v>2496760</v>
      </c>
      <c r="T271" s="195">
        <v>0</v>
      </c>
      <c r="U271" s="195">
        <v>2496760</v>
      </c>
      <c r="V271" s="185"/>
    </row>
    <row r="272" spans="1:22" x14ac:dyDescent="0.25">
      <c r="A272" s="192">
        <v>2021</v>
      </c>
      <c r="B272" s="192" t="s">
        <v>818</v>
      </c>
      <c r="C272" s="193" t="s">
        <v>288</v>
      </c>
      <c r="D272" s="194" t="s">
        <v>819</v>
      </c>
      <c r="E272" s="194" t="s">
        <v>819</v>
      </c>
      <c r="F272" s="194" t="s">
        <v>288</v>
      </c>
      <c r="G272" s="193" t="s">
        <v>633</v>
      </c>
      <c r="H272" s="195">
        <v>0</v>
      </c>
      <c r="I272" s="195">
        <v>5</v>
      </c>
      <c r="J272" s="196"/>
      <c r="K272" s="195">
        <v>101658.75</v>
      </c>
      <c r="L272" s="195">
        <v>0</v>
      </c>
      <c r="M272" s="195">
        <v>101658.75</v>
      </c>
      <c r="N272" s="196"/>
      <c r="O272" s="195">
        <v>36764.25</v>
      </c>
      <c r="P272" s="195">
        <v>0</v>
      </c>
      <c r="Q272" s="195">
        <v>36764.25</v>
      </c>
      <c r="R272" s="196"/>
      <c r="S272" s="195">
        <v>138423</v>
      </c>
      <c r="T272" s="195">
        <v>0</v>
      </c>
      <c r="U272" s="195">
        <v>138423</v>
      </c>
      <c r="V272" s="185"/>
    </row>
    <row r="273" spans="1:22" x14ac:dyDescent="0.25">
      <c r="A273" s="192">
        <v>2021</v>
      </c>
      <c r="B273" s="192" t="s">
        <v>823</v>
      </c>
      <c r="C273" s="193" t="s">
        <v>290</v>
      </c>
      <c r="D273" s="194" t="s">
        <v>819</v>
      </c>
      <c r="E273" s="194" t="s">
        <v>819</v>
      </c>
      <c r="F273" s="194" t="s">
        <v>290</v>
      </c>
      <c r="G273" s="193" t="s">
        <v>635</v>
      </c>
      <c r="H273" s="195">
        <v>0</v>
      </c>
      <c r="I273" s="195">
        <v>1</v>
      </c>
      <c r="J273" s="196"/>
      <c r="K273" s="195">
        <v>18992.25</v>
      </c>
      <c r="L273" s="195">
        <v>0</v>
      </c>
      <c r="M273" s="195">
        <v>18992.25</v>
      </c>
      <c r="N273" s="196"/>
      <c r="O273" s="195">
        <v>6314.75</v>
      </c>
      <c r="P273" s="195">
        <v>0</v>
      </c>
      <c r="Q273" s="195">
        <v>6314.75</v>
      </c>
      <c r="R273" s="196"/>
      <c r="S273" s="195">
        <v>25307</v>
      </c>
      <c r="T273" s="195">
        <v>0</v>
      </c>
      <c r="U273" s="195">
        <v>25307</v>
      </c>
      <c r="V273" s="185"/>
    </row>
    <row r="274" spans="1:22" x14ac:dyDescent="0.25">
      <c r="A274" s="192">
        <v>2021</v>
      </c>
      <c r="B274" s="192" t="s">
        <v>823</v>
      </c>
      <c r="C274" s="193" t="s">
        <v>295</v>
      </c>
      <c r="D274" s="194" t="s">
        <v>819</v>
      </c>
      <c r="E274" s="194" t="s">
        <v>819</v>
      </c>
      <c r="F274" s="194" t="s">
        <v>295</v>
      </c>
      <c r="G274" s="193" t="s">
        <v>640</v>
      </c>
      <c r="H274" s="195">
        <v>0</v>
      </c>
      <c r="I274" s="195">
        <v>4</v>
      </c>
      <c r="J274" s="196"/>
      <c r="K274" s="195">
        <v>371863.5</v>
      </c>
      <c r="L274" s="195">
        <v>0</v>
      </c>
      <c r="M274" s="195">
        <v>371863.5</v>
      </c>
      <c r="N274" s="196"/>
      <c r="O274" s="195">
        <v>132878.5</v>
      </c>
      <c r="P274" s="195">
        <v>0</v>
      </c>
      <c r="Q274" s="195">
        <v>132878.5</v>
      </c>
      <c r="R274" s="196"/>
      <c r="S274" s="195">
        <v>504742</v>
      </c>
      <c r="T274" s="195">
        <v>0</v>
      </c>
      <c r="U274" s="195">
        <v>504742</v>
      </c>
      <c r="V274" s="185"/>
    </row>
    <row r="275" spans="1:22" x14ac:dyDescent="0.25">
      <c r="A275" s="192">
        <v>2021</v>
      </c>
      <c r="B275" s="192" t="s">
        <v>823</v>
      </c>
      <c r="C275" s="193" t="s">
        <v>296</v>
      </c>
      <c r="D275" s="194" t="s">
        <v>819</v>
      </c>
      <c r="E275" s="194" t="s">
        <v>819</v>
      </c>
      <c r="F275" s="194" t="s">
        <v>296</v>
      </c>
      <c r="G275" s="193" t="s">
        <v>641</v>
      </c>
      <c r="H275" s="195">
        <v>0</v>
      </c>
      <c r="I275" s="195">
        <v>5</v>
      </c>
      <c r="J275" s="196"/>
      <c r="K275" s="195">
        <v>379381.5</v>
      </c>
      <c r="L275" s="195">
        <v>0</v>
      </c>
      <c r="M275" s="195">
        <v>379381.5</v>
      </c>
      <c r="N275" s="196"/>
      <c r="O275" s="195">
        <v>153401.5</v>
      </c>
      <c r="P275" s="195">
        <v>0</v>
      </c>
      <c r="Q275" s="195">
        <v>153401.5</v>
      </c>
      <c r="R275" s="196"/>
      <c r="S275" s="195">
        <v>532783</v>
      </c>
      <c r="T275" s="195">
        <v>0</v>
      </c>
      <c r="U275" s="195">
        <v>532783</v>
      </c>
      <c r="V275" s="185"/>
    </row>
    <row r="276" spans="1:22" x14ac:dyDescent="0.25">
      <c r="A276" s="192">
        <v>2021</v>
      </c>
      <c r="B276" s="192" t="s">
        <v>825</v>
      </c>
      <c r="C276" s="193" t="s">
        <v>297</v>
      </c>
      <c r="D276" s="194" t="s">
        <v>819</v>
      </c>
      <c r="E276" s="194" t="s">
        <v>819</v>
      </c>
      <c r="F276" s="194" t="s">
        <v>297</v>
      </c>
      <c r="G276" s="193" t="s">
        <v>642</v>
      </c>
      <c r="H276" s="195">
        <v>0</v>
      </c>
      <c r="I276" s="195">
        <v>6</v>
      </c>
      <c r="J276" s="196"/>
      <c r="K276" s="195">
        <v>139684.5</v>
      </c>
      <c r="L276" s="195">
        <v>0</v>
      </c>
      <c r="M276" s="195">
        <v>139684.5</v>
      </c>
      <c r="N276" s="196"/>
      <c r="O276" s="195">
        <v>52046.5</v>
      </c>
      <c r="P276" s="195">
        <v>0</v>
      </c>
      <c r="Q276" s="195">
        <v>52046.5</v>
      </c>
      <c r="R276" s="196"/>
      <c r="S276" s="195">
        <v>191731</v>
      </c>
      <c r="T276" s="195">
        <v>0</v>
      </c>
      <c r="U276" s="195">
        <v>191731</v>
      </c>
      <c r="V276" s="185"/>
    </row>
    <row r="277" spans="1:22" x14ac:dyDescent="0.25">
      <c r="A277" s="192">
        <v>2021</v>
      </c>
      <c r="B277" s="192" t="s">
        <v>820</v>
      </c>
      <c r="C277" s="193" t="s">
        <v>271</v>
      </c>
      <c r="D277" s="194" t="s">
        <v>819</v>
      </c>
      <c r="E277" s="194" t="s">
        <v>819</v>
      </c>
      <c r="F277" s="194" t="s">
        <v>271</v>
      </c>
      <c r="G277" s="193" t="s">
        <v>616</v>
      </c>
      <c r="H277" s="195">
        <v>0</v>
      </c>
      <c r="I277" s="195">
        <v>7</v>
      </c>
      <c r="J277" s="196"/>
      <c r="K277" s="195">
        <v>173925.75</v>
      </c>
      <c r="L277" s="195">
        <v>0</v>
      </c>
      <c r="M277" s="195">
        <v>173925.75</v>
      </c>
      <c r="N277" s="196"/>
      <c r="O277" s="195">
        <v>68877.25</v>
      </c>
      <c r="P277" s="195">
        <v>0</v>
      </c>
      <c r="Q277" s="195">
        <v>68877.25</v>
      </c>
      <c r="R277" s="196"/>
      <c r="S277" s="195">
        <v>242803</v>
      </c>
      <c r="T277" s="195">
        <v>0</v>
      </c>
      <c r="U277" s="195">
        <v>242803</v>
      </c>
      <c r="V277" s="185"/>
    </row>
    <row r="278" spans="1:22" x14ac:dyDescent="0.25">
      <c r="A278" s="192">
        <v>2021</v>
      </c>
      <c r="B278" s="192" t="s">
        <v>821</v>
      </c>
      <c r="C278" s="193" t="s">
        <v>298</v>
      </c>
      <c r="D278" s="194" t="s">
        <v>819</v>
      </c>
      <c r="E278" s="194" t="s">
        <v>819</v>
      </c>
      <c r="F278" s="194" t="s">
        <v>298</v>
      </c>
      <c r="G278" s="193" t="s">
        <v>643</v>
      </c>
      <c r="H278" s="195">
        <v>3</v>
      </c>
      <c r="I278" s="195">
        <v>3</v>
      </c>
      <c r="J278" s="196"/>
      <c r="K278" s="195">
        <v>45504.75</v>
      </c>
      <c r="L278" s="195">
        <v>22752.38</v>
      </c>
      <c r="M278" s="195">
        <v>22752.37</v>
      </c>
      <c r="N278" s="196"/>
      <c r="O278" s="195">
        <v>15949.25</v>
      </c>
      <c r="P278" s="195">
        <v>7974.63</v>
      </c>
      <c r="Q278" s="195">
        <v>7974.62</v>
      </c>
      <c r="R278" s="196"/>
      <c r="S278" s="195">
        <v>61454</v>
      </c>
      <c r="T278" s="195">
        <v>30727.010000000002</v>
      </c>
      <c r="U278" s="195">
        <v>30726.989999999998</v>
      </c>
      <c r="V278" s="185"/>
    </row>
    <row r="279" spans="1:22" x14ac:dyDescent="0.25">
      <c r="A279" s="192">
        <v>2021</v>
      </c>
      <c r="B279" s="192" t="s">
        <v>827</v>
      </c>
      <c r="C279" s="193" t="s">
        <v>299</v>
      </c>
      <c r="D279" s="194" t="s">
        <v>819</v>
      </c>
      <c r="E279" s="194" t="s">
        <v>819</v>
      </c>
      <c r="F279" s="194" t="s">
        <v>299</v>
      </c>
      <c r="G279" s="193" t="s">
        <v>644</v>
      </c>
      <c r="H279" s="195">
        <v>1</v>
      </c>
      <c r="I279" s="195">
        <v>1</v>
      </c>
      <c r="J279" s="196"/>
      <c r="K279" s="195">
        <v>41964.75</v>
      </c>
      <c r="L279" s="195">
        <v>20982.38</v>
      </c>
      <c r="M279" s="195">
        <v>20982.37</v>
      </c>
      <c r="N279" s="196"/>
      <c r="O279" s="195">
        <v>15873.25</v>
      </c>
      <c r="P279" s="195">
        <v>7936.63</v>
      </c>
      <c r="Q279" s="195">
        <v>7936.62</v>
      </c>
      <c r="R279" s="196"/>
      <c r="S279" s="195">
        <v>57838</v>
      </c>
      <c r="T279" s="195">
        <v>28919.010000000002</v>
      </c>
      <c r="U279" s="195">
        <v>28918.989999999998</v>
      </c>
      <c r="V279" s="185"/>
    </row>
    <row r="280" spans="1:22" x14ac:dyDescent="0.25">
      <c r="A280" s="192">
        <v>2021</v>
      </c>
      <c r="B280" s="192" t="s">
        <v>823</v>
      </c>
      <c r="C280" s="193" t="s">
        <v>300</v>
      </c>
      <c r="D280" s="194" t="s">
        <v>819</v>
      </c>
      <c r="E280" s="194" t="s">
        <v>819</v>
      </c>
      <c r="F280" s="194" t="s">
        <v>300</v>
      </c>
      <c r="G280" s="193" t="s">
        <v>645</v>
      </c>
      <c r="H280" s="195">
        <v>0</v>
      </c>
      <c r="I280" s="195">
        <v>4</v>
      </c>
      <c r="J280" s="196"/>
      <c r="K280" s="195">
        <v>340300.5</v>
      </c>
      <c r="L280" s="195">
        <v>0</v>
      </c>
      <c r="M280" s="195">
        <v>340300.5</v>
      </c>
      <c r="N280" s="196"/>
      <c r="O280" s="195">
        <v>126247.5</v>
      </c>
      <c r="P280" s="195">
        <v>0</v>
      </c>
      <c r="Q280" s="195">
        <v>126247.5</v>
      </c>
      <c r="R280" s="196"/>
      <c r="S280" s="195">
        <v>466548</v>
      </c>
      <c r="T280" s="195">
        <v>0</v>
      </c>
      <c r="U280" s="195">
        <v>466548</v>
      </c>
      <c r="V280" s="185"/>
    </row>
    <row r="281" spans="1:22" x14ac:dyDescent="0.25">
      <c r="A281" s="192">
        <v>2021</v>
      </c>
      <c r="B281" s="192" t="s">
        <v>823</v>
      </c>
      <c r="C281" s="193" t="s">
        <v>301</v>
      </c>
      <c r="D281" s="194" t="s">
        <v>819</v>
      </c>
      <c r="E281" s="194" t="s">
        <v>819</v>
      </c>
      <c r="F281" s="194" t="s">
        <v>301</v>
      </c>
      <c r="G281" s="193" t="s">
        <v>646</v>
      </c>
      <c r="H281" s="195">
        <v>0</v>
      </c>
      <c r="I281" s="195">
        <v>7</v>
      </c>
      <c r="J281" s="196"/>
      <c r="K281" s="195">
        <v>56325</v>
      </c>
      <c r="L281" s="195">
        <v>0</v>
      </c>
      <c r="M281" s="195">
        <v>56325</v>
      </c>
      <c r="N281" s="196"/>
      <c r="O281" s="195">
        <v>21269</v>
      </c>
      <c r="P281" s="195">
        <v>0</v>
      </c>
      <c r="Q281" s="195">
        <v>21269</v>
      </c>
      <c r="R281" s="196"/>
      <c r="S281" s="195">
        <v>77594</v>
      </c>
      <c r="T281" s="195">
        <v>0</v>
      </c>
      <c r="U281" s="195">
        <v>77594</v>
      </c>
      <c r="V281" s="185"/>
    </row>
    <row r="282" spans="1:22" x14ac:dyDescent="0.25">
      <c r="A282" s="192">
        <v>2021</v>
      </c>
      <c r="B282" s="192" t="s">
        <v>820</v>
      </c>
      <c r="C282" s="193" t="s">
        <v>303</v>
      </c>
      <c r="D282" s="194" t="s">
        <v>819</v>
      </c>
      <c r="E282" s="194" t="s">
        <v>819</v>
      </c>
      <c r="F282" s="194" t="s">
        <v>303</v>
      </c>
      <c r="G282" s="193" t="s">
        <v>648</v>
      </c>
      <c r="H282" s="195">
        <v>0</v>
      </c>
      <c r="I282" s="195">
        <v>7</v>
      </c>
      <c r="J282" s="196"/>
      <c r="K282" s="195">
        <v>261941.25</v>
      </c>
      <c r="L282" s="195">
        <v>0</v>
      </c>
      <c r="M282" s="195">
        <v>261941.25</v>
      </c>
      <c r="N282" s="196"/>
      <c r="O282" s="195">
        <v>92171.75</v>
      </c>
      <c r="P282" s="195">
        <v>0</v>
      </c>
      <c r="Q282" s="195">
        <v>92171.75</v>
      </c>
      <c r="R282" s="196"/>
      <c r="S282" s="195">
        <v>354113</v>
      </c>
      <c r="T282" s="195">
        <v>0</v>
      </c>
      <c r="U282" s="195">
        <v>354113</v>
      </c>
      <c r="V282" s="185"/>
    </row>
    <row r="283" spans="1:22" x14ac:dyDescent="0.25">
      <c r="A283" s="192">
        <v>2021</v>
      </c>
      <c r="B283" s="192" t="s">
        <v>825</v>
      </c>
      <c r="C283" s="193" t="s">
        <v>304</v>
      </c>
      <c r="D283" s="194" t="s">
        <v>819</v>
      </c>
      <c r="E283" s="194" t="s">
        <v>819</v>
      </c>
      <c r="F283" s="194" t="s">
        <v>304</v>
      </c>
      <c r="G283" s="193" t="s">
        <v>649</v>
      </c>
      <c r="H283" s="195">
        <v>5</v>
      </c>
      <c r="I283" s="195">
        <v>5</v>
      </c>
      <c r="J283" s="196"/>
      <c r="K283" s="195">
        <v>388566</v>
      </c>
      <c r="L283" s="195">
        <v>194283</v>
      </c>
      <c r="M283" s="195">
        <v>194283</v>
      </c>
      <c r="N283" s="196"/>
      <c r="O283" s="195">
        <v>179515</v>
      </c>
      <c r="P283" s="195">
        <v>89757.5</v>
      </c>
      <c r="Q283" s="195">
        <v>89757.5</v>
      </c>
      <c r="R283" s="196"/>
      <c r="S283" s="195">
        <v>568081</v>
      </c>
      <c r="T283" s="195">
        <v>284040.5</v>
      </c>
      <c r="U283" s="195">
        <v>284040.5</v>
      </c>
      <c r="V283" s="185"/>
    </row>
    <row r="284" spans="1:22" x14ac:dyDescent="0.25">
      <c r="A284" s="192">
        <v>2021</v>
      </c>
      <c r="B284" s="192" t="s">
        <v>821</v>
      </c>
      <c r="C284" s="193" t="s">
        <v>305</v>
      </c>
      <c r="D284" s="194" t="s">
        <v>819</v>
      </c>
      <c r="E284" s="194" t="s">
        <v>819</v>
      </c>
      <c r="F284" s="194" t="s">
        <v>305</v>
      </c>
      <c r="G284" s="193" t="s">
        <v>650</v>
      </c>
      <c r="H284" s="195">
        <v>0</v>
      </c>
      <c r="I284" s="195">
        <v>5</v>
      </c>
      <c r="J284" s="196"/>
      <c r="K284" s="195">
        <v>138792.75</v>
      </c>
      <c r="L284" s="195">
        <v>0</v>
      </c>
      <c r="M284" s="195">
        <v>138792.75</v>
      </c>
      <c r="N284" s="196"/>
      <c r="O284" s="195">
        <v>71045.25</v>
      </c>
      <c r="P284" s="195">
        <v>0</v>
      </c>
      <c r="Q284" s="195">
        <v>71045.25</v>
      </c>
      <c r="R284" s="196"/>
      <c r="S284" s="195">
        <v>209838</v>
      </c>
      <c r="T284" s="195">
        <v>0</v>
      </c>
      <c r="U284" s="195">
        <v>209838</v>
      </c>
      <c r="V284" s="185"/>
    </row>
    <row r="285" spans="1:22" x14ac:dyDescent="0.25">
      <c r="A285" s="192">
        <v>2021</v>
      </c>
      <c r="B285" s="192" t="s">
        <v>821</v>
      </c>
      <c r="C285" s="193" t="s">
        <v>306</v>
      </c>
      <c r="D285" s="194" t="s">
        <v>819</v>
      </c>
      <c r="E285" s="194" t="s">
        <v>819</v>
      </c>
      <c r="F285" s="194" t="s">
        <v>306</v>
      </c>
      <c r="G285" s="193" t="s">
        <v>651</v>
      </c>
      <c r="H285" s="195">
        <v>0</v>
      </c>
      <c r="I285" s="195">
        <v>1</v>
      </c>
      <c r="J285" s="196"/>
      <c r="K285" s="195">
        <v>23405.25</v>
      </c>
      <c r="L285" s="195">
        <v>0</v>
      </c>
      <c r="M285" s="195">
        <v>23405.25</v>
      </c>
      <c r="N285" s="196"/>
      <c r="O285" s="195">
        <v>8577.75</v>
      </c>
      <c r="P285" s="195">
        <v>0</v>
      </c>
      <c r="Q285" s="195">
        <v>8577.75</v>
      </c>
      <c r="R285" s="196"/>
      <c r="S285" s="195">
        <v>31983</v>
      </c>
      <c r="T285" s="195">
        <v>0</v>
      </c>
      <c r="U285" s="195">
        <v>31983</v>
      </c>
      <c r="V285" s="185"/>
    </row>
    <row r="286" spans="1:22" x14ac:dyDescent="0.25">
      <c r="A286" s="192">
        <v>2021</v>
      </c>
      <c r="B286" s="192" t="s">
        <v>824</v>
      </c>
      <c r="C286" s="193" t="s">
        <v>307</v>
      </c>
      <c r="D286" s="194" t="s">
        <v>819</v>
      </c>
      <c r="E286" s="194" t="s">
        <v>819</v>
      </c>
      <c r="F286" s="194" t="s">
        <v>307</v>
      </c>
      <c r="G286" s="193" t="s">
        <v>652</v>
      </c>
      <c r="H286" s="195">
        <v>0</v>
      </c>
      <c r="I286" s="195">
        <v>1</v>
      </c>
      <c r="J286" s="196"/>
      <c r="K286" s="195">
        <v>8939.25</v>
      </c>
      <c r="L286" s="195">
        <v>0</v>
      </c>
      <c r="M286" s="195">
        <v>8939.25</v>
      </c>
      <c r="N286" s="196"/>
      <c r="O286" s="195">
        <v>3197.75</v>
      </c>
      <c r="P286" s="195">
        <v>0</v>
      </c>
      <c r="Q286" s="195">
        <v>3197.75</v>
      </c>
      <c r="R286" s="196"/>
      <c r="S286" s="195">
        <v>12137</v>
      </c>
      <c r="T286" s="195">
        <v>0</v>
      </c>
      <c r="U286" s="195">
        <v>12137</v>
      </c>
      <c r="V286" s="185"/>
    </row>
    <row r="287" spans="1:22" x14ac:dyDescent="0.25">
      <c r="A287" s="192">
        <v>2021</v>
      </c>
      <c r="B287" s="192" t="s">
        <v>820</v>
      </c>
      <c r="C287" s="193" t="s">
        <v>308</v>
      </c>
      <c r="D287" s="194" t="s">
        <v>819</v>
      </c>
      <c r="E287" s="194" t="s">
        <v>819</v>
      </c>
      <c r="F287" s="194" t="s">
        <v>308</v>
      </c>
      <c r="G287" s="193" t="s">
        <v>653</v>
      </c>
      <c r="H287" s="195">
        <v>0</v>
      </c>
      <c r="I287" s="195">
        <v>2</v>
      </c>
      <c r="J287" s="196"/>
      <c r="K287" s="195">
        <v>33267.75</v>
      </c>
      <c r="L287" s="195">
        <v>0</v>
      </c>
      <c r="M287" s="195">
        <v>33267.75</v>
      </c>
      <c r="N287" s="196"/>
      <c r="O287" s="195">
        <v>12083.25</v>
      </c>
      <c r="P287" s="195">
        <v>0</v>
      </c>
      <c r="Q287" s="195">
        <v>12083.25</v>
      </c>
      <c r="R287" s="196"/>
      <c r="S287" s="195">
        <v>45351</v>
      </c>
      <c r="T287" s="195">
        <v>0</v>
      </c>
      <c r="U287" s="195">
        <v>45351</v>
      </c>
      <c r="V287" s="185"/>
    </row>
    <row r="288" spans="1:22" x14ac:dyDescent="0.25">
      <c r="A288" s="192">
        <v>2021</v>
      </c>
      <c r="B288" s="192" t="s">
        <v>827</v>
      </c>
      <c r="C288" s="193" t="s">
        <v>309</v>
      </c>
      <c r="D288" s="194" t="s">
        <v>819</v>
      </c>
      <c r="E288" s="194" t="s">
        <v>819</v>
      </c>
      <c r="F288" s="194" t="s">
        <v>309</v>
      </c>
      <c r="G288" s="193" t="s">
        <v>654</v>
      </c>
      <c r="H288" s="195">
        <v>0</v>
      </c>
      <c r="I288" s="195">
        <v>0</v>
      </c>
      <c r="J288" s="196"/>
      <c r="K288" s="195">
        <v>0</v>
      </c>
      <c r="L288" s="195">
        <v>0</v>
      </c>
      <c r="M288" s="195">
        <v>0</v>
      </c>
      <c r="N288" s="196"/>
      <c r="O288" s="195">
        <v>0</v>
      </c>
      <c r="P288" s="195">
        <v>0</v>
      </c>
      <c r="Q288" s="195">
        <v>0</v>
      </c>
      <c r="R288" s="196"/>
      <c r="S288" s="195">
        <v>0</v>
      </c>
      <c r="T288" s="195">
        <v>0</v>
      </c>
      <c r="U288" s="195">
        <v>0</v>
      </c>
    </row>
    <row r="289" spans="1:21" x14ac:dyDescent="0.25">
      <c r="A289" s="192">
        <v>2021</v>
      </c>
      <c r="B289" s="192" t="s">
        <v>818</v>
      </c>
      <c r="C289" s="193" t="s">
        <v>310</v>
      </c>
      <c r="D289" s="194" t="s">
        <v>819</v>
      </c>
      <c r="E289" s="194" t="s">
        <v>819</v>
      </c>
      <c r="F289" s="194" t="s">
        <v>310</v>
      </c>
      <c r="G289" s="193" t="s">
        <v>655</v>
      </c>
      <c r="H289" s="195">
        <v>0</v>
      </c>
      <c r="I289" s="195">
        <v>2</v>
      </c>
      <c r="J289" s="196"/>
      <c r="K289" s="195">
        <v>26574.75</v>
      </c>
      <c r="L289" s="195">
        <v>0</v>
      </c>
      <c r="M289" s="195">
        <v>26574.75</v>
      </c>
      <c r="N289" s="196"/>
      <c r="O289" s="195">
        <v>9139.25</v>
      </c>
      <c r="P289" s="195">
        <v>0</v>
      </c>
      <c r="Q289" s="195">
        <v>9139.25</v>
      </c>
      <c r="R289" s="196"/>
      <c r="S289" s="195">
        <v>35714</v>
      </c>
      <c r="T289" s="195">
        <v>0</v>
      </c>
      <c r="U289" s="195">
        <v>35714</v>
      </c>
    </row>
    <row r="290" spans="1:21" x14ac:dyDescent="0.25">
      <c r="A290" s="192">
        <v>2021</v>
      </c>
      <c r="B290" s="192" t="s">
        <v>823</v>
      </c>
      <c r="C290" s="193" t="s">
        <v>311</v>
      </c>
      <c r="D290" s="194" t="s">
        <v>819</v>
      </c>
      <c r="E290" s="194" t="s">
        <v>819</v>
      </c>
      <c r="F290" s="194" t="s">
        <v>311</v>
      </c>
      <c r="G290" s="193" t="s">
        <v>656</v>
      </c>
      <c r="H290" s="195">
        <v>0</v>
      </c>
      <c r="I290" s="195">
        <v>10</v>
      </c>
      <c r="J290" s="196"/>
      <c r="K290" s="195">
        <v>63128.25</v>
      </c>
      <c r="L290" s="195">
        <v>0</v>
      </c>
      <c r="M290" s="195">
        <v>63128.25</v>
      </c>
      <c r="N290" s="196"/>
      <c r="O290" s="195">
        <v>21771.75</v>
      </c>
      <c r="P290" s="195">
        <v>0</v>
      </c>
      <c r="Q290" s="195">
        <v>21771.75</v>
      </c>
      <c r="R290" s="196"/>
      <c r="S290" s="195">
        <v>84900</v>
      </c>
      <c r="T290" s="195">
        <v>0</v>
      </c>
      <c r="U290" s="195">
        <v>84900</v>
      </c>
    </row>
    <row r="291" spans="1:21" x14ac:dyDescent="0.25">
      <c r="A291" s="192">
        <v>2021</v>
      </c>
      <c r="B291" s="192" t="s">
        <v>821</v>
      </c>
      <c r="C291" s="193" t="s">
        <v>312</v>
      </c>
      <c r="D291" s="194" t="s">
        <v>819</v>
      </c>
      <c r="E291" s="194" t="s">
        <v>819</v>
      </c>
      <c r="F291" s="194" t="s">
        <v>312</v>
      </c>
      <c r="G291" s="193" t="s">
        <v>657</v>
      </c>
      <c r="H291" s="195">
        <v>0</v>
      </c>
      <c r="I291" s="195">
        <v>0</v>
      </c>
      <c r="J291" s="196"/>
      <c r="K291" s="195">
        <v>0</v>
      </c>
      <c r="L291" s="195">
        <v>0</v>
      </c>
      <c r="M291" s="195">
        <v>0</v>
      </c>
      <c r="N291" s="196"/>
      <c r="O291" s="195">
        <v>0</v>
      </c>
      <c r="P291" s="195">
        <v>0</v>
      </c>
      <c r="Q291" s="195">
        <v>0</v>
      </c>
      <c r="R291" s="196"/>
      <c r="S291" s="195">
        <v>0</v>
      </c>
      <c r="T291" s="195">
        <v>0</v>
      </c>
      <c r="U291" s="195">
        <v>0</v>
      </c>
    </row>
    <row r="292" spans="1:21" x14ac:dyDescent="0.25">
      <c r="A292" s="192">
        <v>2021</v>
      </c>
      <c r="B292" s="192" t="s">
        <v>820</v>
      </c>
      <c r="C292" s="193" t="s">
        <v>114</v>
      </c>
      <c r="D292" s="194" t="s">
        <v>819</v>
      </c>
      <c r="E292" s="194" t="s">
        <v>819</v>
      </c>
      <c r="F292" s="194" t="s">
        <v>695</v>
      </c>
      <c r="G292" s="193" t="s">
        <v>467</v>
      </c>
      <c r="H292" s="195">
        <v>1</v>
      </c>
      <c r="I292" s="195">
        <v>7</v>
      </c>
      <c r="J292" s="196"/>
      <c r="K292" s="195">
        <v>397054.5</v>
      </c>
      <c r="L292" s="195">
        <v>49631.81</v>
      </c>
      <c r="M292" s="195">
        <v>347422.69</v>
      </c>
      <c r="N292" s="196"/>
      <c r="O292" s="195">
        <v>156515.5</v>
      </c>
      <c r="P292" s="195">
        <v>19564.439999999999</v>
      </c>
      <c r="Q292" s="195">
        <v>136951.06</v>
      </c>
      <c r="R292" s="196"/>
      <c r="S292" s="195">
        <v>553570</v>
      </c>
      <c r="T292" s="195">
        <v>69196.25</v>
      </c>
      <c r="U292" s="195">
        <v>484373.75</v>
      </c>
    </row>
    <row r="293" spans="1:21" x14ac:dyDescent="0.25">
      <c r="A293" s="192">
        <v>2021</v>
      </c>
      <c r="B293" s="192" t="s">
        <v>818</v>
      </c>
      <c r="C293" s="193" t="s">
        <v>313</v>
      </c>
      <c r="D293" s="194" t="s">
        <v>819</v>
      </c>
      <c r="E293" s="194" t="s">
        <v>819</v>
      </c>
      <c r="F293" s="194" t="s">
        <v>313</v>
      </c>
      <c r="G293" s="193" t="s">
        <v>658</v>
      </c>
      <c r="H293" s="195">
        <v>0</v>
      </c>
      <c r="I293" s="195">
        <v>7</v>
      </c>
      <c r="J293" s="196"/>
      <c r="K293" s="195">
        <v>159900</v>
      </c>
      <c r="L293" s="195">
        <v>0</v>
      </c>
      <c r="M293" s="195">
        <v>159900</v>
      </c>
      <c r="N293" s="196"/>
      <c r="O293" s="195">
        <v>59708</v>
      </c>
      <c r="P293" s="195">
        <v>0</v>
      </c>
      <c r="Q293" s="195">
        <v>59708</v>
      </c>
      <c r="R293" s="196"/>
      <c r="S293" s="195">
        <v>219608</v>
      </c>
      <c r="T293" s="195">
        <v>0</v>
      </c>
      <c r="U293" s="195">
        <v>219608</v>
      </c>
    </row>
    <row r="294" spans="1:21" x14ac:dyDescent="0.25">
      <c r="A294" s="192">
        <v>2021</v>
      </c>
      <c r="B294" s="192" t="s">
        <v>818</v>
      </c>
      <c r="C294" s="193" t="s">
        <v>314</v>
      </c>
      <c r="D294" s="194" t="s">
        <v>819</v>
      </c>
      <c r="E294" s="194" t="s">
        <v>819</v>
      </c>
      <c r="F294" s="194" t="s">
        <v>314</v>
      </c>
      <c r="G294" s="193" t="s">
        <v>659</v>
      </c>
      <c r="H294" s="195">
        <v>0</v>
      </c>
      <c r="I294" s="195">
        <v>0</v>
      </c>
      <c r="J294" s="196"/>
      <c r="K294" s="195">
        <v>0</v>
      </c>
      <c r="L294" s="195">
        <v>0</v>
      </c>
      <c r="M294" s="195">
        <v>0</v>
      </c>
      <c r="N294" s="196"/>
      <c r="O294" s="195">
        <v>0</v>
      </c>
      <c r="P294" s="195">
        <v>0</v>
      </c>
      <c r="Q294" s="195">
        <v>0</v>
      </c>
      <c r="R294" s="196"/>
      <c r="S294" s="195">
        <v>0</v>
      </c>
      <c r="T294" s="195">
        <v>0</v>
      </c>
      <c r="U294" s="195">
        <v>0</v>
      </c>
    </row>
    <row r="295" spans="1:21" x14ac:dyDescent="0.25">
      <c r="A295" s="192">
        <v>2021</v>
      </c>
      <c r="B295" s="192" t="s">
        <v>824</v>
      </c>
      <c r="C295" s="193" t="s">
        <v>316</v>
      </c>
      <c r="D295" s="194" t="s">
        <v>154</v>
      </c>
      <c r="E295" s="194" t="s">
        <v>819</v>
      </c>
      <c r="F295" s="194" t="s">
        <v>316</v>
      </c>
      <c r="G295" s="193" t="s">
        <v>804</v>
      </c>
      <c r="H295" s="195">
        <v>0</v>
      </c>
      <c r="I295" s="195">
        <v>10</v>
      </c>
      <c r="J295" s="196"/>
      <c r="K295" s="195">
        <v>358052.25</v>
      </c>
      <c r="L295" s="195">
        <v>0</v>
      </c>
      <c r="M295" s="195">
        <v>358052.25</v>
      </c>
      <c r="N295" s="196"/>
      <c r="O295" s="195">
        <v>161921.75</v>
      </c>
      <c r="P295" s="195">
        <v>0</v>
      </c>
      <c r="Q295" s="195">
        <v>161921.75</v>
      </c>
      <c r="R295" s="196"/>
      <c r="S295" s="195">
        <v>519974</v>
      </c>
      <c r="T295" s="195">
        <v>0</v>
      </c>
      <c r="U295" s="195">
        <v>519974</v>
      </c>
    </row>
    <row r="296" spans="1:21" x14ac:dyDescent="0.25">
      <c r="A296" s="192">
        <v>2021</v>
      </c>
      <c r="B296" s="192" t="s">
        <v>818</v>
      </c>
      <c r="C296" s="193" t="s">
        <v>317</v>
      </c>
      <c r="D296" s="194" t="s">
        <v>819</v>
      </c>
      <c r="E296" s="194" t="s">
        <v>819</v>
      </c>
      <c r="F296" s="194" t="s">
        <v>317</v>
      </c>
      <c r="G296" s="193" t="s">
        <v>660</v>
      </c>
      <c r="H296" s="195">
        <v>0</v>
      </c>
      <c r="I296" s="195">
        <v>4</v>
      </c>
      <c r="J296" s="196"/>
      <c r="K296" s="195">
        <v>261117</v>
      </c>
      <c r="L296" s="195">
        <v>0</v>
      </c>
      <c r="M296" s="195">
        <v>261117</v>
      </c>
      <c r="N296" s="196"/>
      <c r="O296" s="195">
        <v>128815</v>
      </c>
      <c r="P296" s="195">
        <v>0</v>
      </c>
      <c r="Q296" s="195">
        <v>128815</v>
      </c>
      <c r="R296" s="196"/>
      <c r="S296" s="195">
        <v>389932</v>
      </c>
      <c r="T296" s="195">
        <v>0</v>
      </c>
      <c r="U296" s="195">
        <v>389932</v>
      </c>
    </row>
    <row r="297" spans="1:21" x14ac:dyDescent="0.25">
      <c r="A297" s="192">
        <v>2021</v>
      </c>
      <c r="B297" s="192" t="s">
        <v>821</v>
      </c>
      <c r="C297" s="193" t="s">
        <v>318</v>
      </c>
      <c r="D297" s="194" t="s">
        <v>819</v>
      </c>
      <c r="E297" s="194" t="s">
        <v>819</v>
      </c>
      <c r="F297" s="194" t="s">
        <v>318</v>
      </c>
      <c r="G297" s="193" t="s">
        <v>661</v>
      </c>
      <c r="H297" s="195">
        <v>5</v>
      </c>
      <c r="I297" s="195">
        <v>0</v>
      </c>
      <c r="J297" s="196"/>
      <c r="K297" s="195">
        <v>51615</v>
      </c>
      <c r="L297" s="195">
        <v>51615</v>
      </c>
      <c r="M297" s="195">
        <v>0</v>
      </c>
      <c r="N297" s="196"/>
      <c r="O297" s="195">
        <v>17984</v>
      </c>
      <c r="P297" s="195">
        <v>17984</v>
      </c>
      <c r="Q297" s="195">
        <v>0</v>
      </c>
      <c r="R297" s="196"/>
      <c r="S297" s="195">
        <v>69599</v>
      </c>
      <c r="T297" s="195">
        <v>69599</v>
      </c>
      <c r="U297" s="195">
        <v>0</v>
      </c>
    </row>
    <row r="298" spans="1:21" x14ac:dyDescent="0.25">
      <c r="A298" s="192">
        <v>2021</v>
      </c>
      <c r="B298" s="192" t="s">
        <v>825</v>
      </c>
      <c r="C298" s="193" t="s">
        <v>319</v>
      </c>
      <c r="D298" s="194" t="s">
        <v>819</v>
      </c>
      <c r="E298" s="194" t="s">
        <v>819</v>
      </c>
      <c r="F298" s="194" t="s">
        <v>319</v>
      </c>
      <c r="G298" s="193" t="s">
        <v>662</v>
      </c>
      <c r="H298" s="195">
        <v>5</v>
      </c>
      <c r="I298" s="195">
        <v>2</v>
      </c>
      <c r="J298" s="196"/>
      <c r="K298" s="195">
        <v>488858.25</v>
      </c>
      <c r="L298" s="195">
        <v>349184.46</v>
      </c>
      <c r="M298" s="195">
        <v>139673.78999999998</v>
      </c>
      <c r="N298" s="196"/>
      <c r="O298" s="195">
        <v>185796.75</v>
      </c>
      <c r="P298" s="195">
        <v>132711.96</v>
      </c>
      <c r="Q298" s="195">
        <v>53084.790000000008</v>
      </c>
      <c r="R298" s="196"/>
      <c r="S298" s="195">
        <v>674655</v>
      </c>
      <c r="T298" s="195">
        <v>481896.42000000004</v>
      </c>
      <c r="U298" s="195">
        <v>192758.58</v>
      </c>
    </row>
    <row r="299" spans="1:21" x14ac:dyDescent="0.25">
      <c r="A299" s="192">
        <v>2021</v>
      </c>
      <c r="B299" s="192" t="s">
        <v>824</v>
      </c>
      <c r="C299" s="193" t="s">
        <v>320</v>
      </c>
      <c r="D299" s="194" t="s">
        <v>819</v>
      </c>
      <c r="E299" s="194" t="s">
        <v>819</v>
      </c>
      <c r="F299" s="194" t="s">
        <v>320</v>
      </c>
      <c r="G299" s="193" t="s">
        <v>663</v>
      </c>
      <c r="H299" s="195">
        <v>0</v>
      </c>
      <c r="I299" s="195">
        <v>0</v>
      </c>
      <c r="J299" s="196"/>
      <c r="K299" s="195">
        <v>0</v>
      </c>
      <c r="L299" s="195">
        <v>0</v>
      </c>
      <c r="M299" s="195">
        <v>0</v>
      </c>
      <c r="N299" s="196"/>
      <c r="O299" s="195">
        <v>0</v>
      </c>
      <c r="P299" s="195">
        <v>0</v>
      </c>
      <c r="Q299" s="195">
        <v>0</v>
      </c>
      <c r="R299" s="196"/>
      <c r="S299" s="195">
        <v>0</v>
      </c>
      <c r="T299" s="195">
        <v>0</v>
      </c>
      <c r="U299" s="195">
        <v>0</v>
      </c>
    </row>
    <row r="300" spans="1:21" x14ac:dyDescent="0.25">
      <c r="A300" s="192">
        <v>2021</v>
      </c>
      <c r="B300" s="192" t="s">
        <v>824</v>
      </c>
      <c r="C300" s="193" t="s">
        <v>322</v>
      </c>
      <c r="D300" s="194" t="s">
        <v>819</v>
      </c>
      <c r="E300" s="194" t="s">
        <v>819</v>
      </c>
      <c r="F300" s="194" t="s">
        <v>322</v>
      </c>
      <c r="G300" s="193" t="s">
        <v>665</v>
      </c>
      <c r="H300" s="195">
        <v>1</v>
      </c>
      <c r="I300" s="195">
        <v>3</v>
      </c>
      <c r="J300" s="196"/>
      <c r="K300" s="195">
        <v>90660.75</v>
      </c>
      <c r="L300" s="195">
        <v>22665.19</v>
      </c>
      <c r="M300" s="195">
        <v>67995.56</v>
      </c>
      <c r="N300" s="196"/>
      <c r="O300" s="195">
        <v>37414.25</v>
      </c>
      <c r="P300" s="195">
        <v>9353.56</v>
      </c>
      <c r="Q300" s="195">
        <v>28060.690000000002</v>
      </c>
      <c r="R300" s="196"/>
      <c r="S300" s="195">
        <v>128075</v>
      </c>
      <c r="T300" s="195">
        <v>32018.75</v>
      </c>
      <c r="U300" s="195">
        <v>96056.25</v>
      </c>
    </row>
    <row r="301" spans="1:21" x14ac:dyDescent="0.25">
      <c r="A301" s="192">
        <v>2021</v>
      </c>
      <c r="B301" s="192" t="s">
        <v>820</v>
      </c>
      <c r="C301" s="193" t="s">
        <v>323</v>
      </c>
      <c r="D301" s="194" t="s">
        <v>819</v>
      </c>
      <c r="E301" s="194" t="s">
        <v>819</v>
      </c>
      <c r="F301" s="194" t="s">
        <v>323</v>
      </c>
      <c r="G301" s="193" t="s">
        <v>666</v>
      </c>
      <c r="H301" s="195">
        <v>2</v>
      </c>
      <c r="I301" s="195">
        <v>9</v>
      </c>
      <c r="J301" s="196"/>
      <c r="K301" s="195">
        <v>281879.25</v>
      </c>
      <c r="L301" s="195">
        <v>51250.77</v>
      </c>
      <c r="M301" s="195">
        <v>230628.48000000001</v>
      </c>
      <c r="N301" s="196"/>
      <c r="O301" s="195">
        <v>106726.75</v>
      </c>
      <c r="P301" s="195">
        <v>19404.86</v>
      </c>
      <c r="Q301" s="195">
        <v>87321.89</v>
      </c>
      <c r="R301" s="196"/>
      <c r="S301" s="195">
        <v>388606</v>
      </c>
      <c r="T301" s="195">
        <v>70655.63</v>
      </c>
      <c r="U301" s="195">
        <v>317950.37</v>
      </c>
    </row>
    <row r="302" spans="1:21" x14ac:dyDescent="0.25">
      <c r="A302" s="192">
        <v>2021</v>
      </c>
      <c r="B302" s="192" t="s">
        <v>825</v>
      </c>
      <c r="C302" s="193" t="s">
        <v>324</v>
      </c>
      <c r="D302" s="194" t="s">
        <v>819</v>
      </c>
      <c r="E302" s="194" t="s">
        <v>819</v>
      </c>
      <c r="F302" s="194" t="s">
        <v>324</v>
      </c>
      <c r="G302" s="193" t="s">
        <v>667</v>
      </c>
      <c r="H302" s="195">
        <v>0</v>
      </c>
      <c r="I302" s="195">
        <v>9</v>
      </c>
      <c r="J302" s="196"/>
      <c r="K302" s="195">
        <v>595122</v>
      </c>
      <c r="L302" s="195">
        <v>0</v>
      </c>
      <c r="M302" s="195">
        <v>595122</v>
      </c>
      <c r="N302" s="196"/>
      <c r="O302" s="195">
        <v>218342</v>
      </c>
      <c r="P302" s="195">
        <v>0</v>
      </c>
      <c r="Q302" s="195">
        <v>218342</v>
      </c>
      <c r="R302" s="196"/>
      <c r="S302" s="195">
        <v>813464</v>
      </c>
      <c r="T302" s="195">
        <v>0</v>
      </c>
      <c r="U302" s="195">
        <v>813464</v>
      </c>
    </row>
    <row r="303" spans="1:21" x14ac:dyDescent="0.25">
      <c r="A303" s="192">
        <v>2021</v>
      </c>
      <c r="B303" s="192" t="s">
        <v>820</v>
      </c>
      <c r="C303" s="193" t="s">
        <v>325</v>
      </c>
      <c r="D303" s="194" t="s">
        <v>819</v>
      </c>
      <c r="E303" s="194" t="s">
        <v>819</v>
      </c>
      <c r="F303" s="194" t="s">
        <v>325</v>
      </c>
      <c r="G303" s="193" t="s">
        <v>668</v>
      </c>
      <c r="H303" s="195">
        <v>0</v>
      </c>
      <c r="I303" s="195">
        <v>0</v>
      </c>
      <c r="J303" s="196"/>
      <c r="K303" s="195">
        <v>0</v>
      </c>
      <c r="L303" s="195">
        <v>0</v>
      </c>
      <c r="M303" s="195">
        <v>0</v>
      </c>
      <c r="N303" s="196"/>
      <c r="O303" s="195">
        <v>0</v>
      </c>
      <c r="P303" s="195">
        <v>0</v>
      </c>
      <c r="Q303" s="195">
        <v>0</v>
      </c>
      <c r="R303" s="196"/>
      <c r="S303" s="195">
        <v>0</v>
      </c>
      <c r="T303" s="195">
        <v>0</v>
      </c>
      <c r="U303" s="195">
        <v>0</v>
      </c>
    </row>
    <row r="304" spans="1:21" x14ac:dyDescent="0.25">
      <c r="A304" s="192">
        <v>2021</v>
      </c>
      <c r="B304" s="192" t="s">
        <v>818</v>
      </c>
      <c r="C304" s="193" t="s">
        <v>326</v>
      </c>
      <c r="D304" s="194" t="s">
        <v>819</v>
      </c>
      <c r="E304" s="194" t="s">
        <v>819</v>
      </c>
      <c r="F304" s="194" t="s">
        <v>326</v>
      </c>
      <c r="G304" s="193" t="s">
        <v>669</v>
      </c>
      <c r="H304" s="195">
        <v>0</v>
      </c>
      <c r="I304" s="195">
        <v>0</v>
      </c>
      <c r="J304" s="196"/>
      <c r="K304" s="195">
        <v>0</v>
      </c>
      <c r="L304" s="195">
        <v>0</v>
      </c>
      <c r="M304" s="195">
        <v>0</v>
      </c>
      <c r="N304" s="196"/>
      <c r="O304" s="195">
        <v>0</v>
      </c>
      <c r="P304" s="195">
        <v>0</v>
      </c>
      <c r="Q304" s="195">
        <v>0</v>
      </c>
      <c r="R304" s="196"/>
      <c r="S304" s="195">
        <v>0</v>
      </c>
      <c r="T304" s="195">
        <v>0</v>
      </c>
      <c r="U304" s="195">
        <v>0</v>
      </c>
    </row>
    <row r="305" spans="1:21" x14ac:dyDescent="0.25">
      <c r="A305" s="192">
        <v>2021</v>
      </c>
      <c r="B305" s="192" t="s">
        <v>820</v>
      </c>
      <c r="C305" s="193" t="s">
        <v>327</v>
      </c>
      <c r="D305" s="194" t="s">
        <v>819</v>
      </c>
      <c r="E305" s="194" t="s">
        <v>819</v>
      </c>
      <c r="F305" s="194" t="s">
        <v>327</v>
      </c>
      <c r="G305" s="193" t="s">
        <v>670</v>
      </c>
      <c r="H305" s="195">
        <v>0</v>
      </c>
      <c r="I305" s="195">
        <v>6</v>
      </c>
      <c r="J305" s="196"/>
      <c r="K305" s="195">
        <v>668108.25</v>
      </c>
      <c r="L305" s="195">
        <v>0</v>
      </c>
      <c r="M305" s="195">
        <v>668108.25</v>
      </c>
      <c r="N305" s="196"/>
      <c r="O305" s="195">
        <v>256626.75</v>
      </c>
      <c r="P305" s="195">
        <v>0</v>
      </c>
      <c r="Q305" s="195">
        <v>256626.75</v>
      </c>
      <c r="R305" s="196"/>
      <c r="S305" s="195">
        <v>924735</v>
      </c>
      <c r="T305" s="195">
        <v>0</v>
      </c>
      <c r="U305" s="195">
        <v>924735</v>
      </c>
    </row>
    <row r="306" spans="1:21" x14ac:dyDescent="0.25">
      <c r="A306" s="192">
        <v>2021</v>
      </c>
      <c r="B306" s="192" t="s">
        <v>824</v>
      </c>
      <c r="C306" s="193" t="s">
        <v>328</v>
      </c>
      <c r="D306" s="194" t="s">
        <v>819</v>
      </c>
      <c r="E306" s="194" t="s">
        <v>819</v>
      </c>
      <c r="F306" s="194" t="s">
        <v>328</v>
      </c>
      <c r="G306" s="193" t="s">
        <v>671</v>
      </c>
      <c r="H306" s="195">
        <v>0</v>
      </c>
      <c r="I306" s="195">
        <v>3</v>
      </c>
      <c r="J306" s="196"/>
      <c r="K306" s="195">
        <v>58947.75</v>
      </c>
      <c r="L306" s="195">
        <v>0</v>
      </c>
      <c r="M306" s="195">
        <v>58947.75</v>
      </c>
      <c r="N306" s="196"/>
      <c r="O306" s="195">
        <v>22390.25</v>
      </c>
      <c r="P306" s="195">
        <v>0</v>
      </c>
      <c r="Q306" s="195">
        <v>22390.25</v>
      </c>
      <c r="R306" s="196"/>
      <c r="S306" s="195">
        <v>81338</v>
      </c>
      <c r="T306" s="195">
        <v>0</v>
      </c>
      <c r="U306" s="195">
        <v>81338</v>
      </c>
    </row>
    <row r="307" spans="1:21" x14ac:dyDescent="0.25">
      <c r="A307" s="192">
        <v>2021</v>
      </c>
      <c r="B307" s="192" t="s">
        <v>823</v>
      </c>
      <c r="C307" s="193" t="s">
        <v>329</v>
      </c>
      <c r="D307" s="194" t="s">
        <v>232</v>
      </c>
      <c r="E307" s="194" t="s">
        <v>819</v>
      </c>
      <c r="F307" s="194" t="s">
        <v>329</v>
      </c>
      <c r="G307" s="193" t="s">
        <v>672</v>
      </c>
      <c r="H307" s="195">
        <v>0</v>
      </c>
      <c r="I307" s="195">
        <v>4</v>
      </c>
      <c r="J307" s="196"/>
      <c r="K307" s="195">
        <v>286340.25</v>
      </c>
      <c r="L307" s="195">
        <v>0</v>
      </c>
      <c r="M307" s="195">
        <v>286340.25</v>
      </c>
      <c r="N307" s="196"/>
      <c r="O307" s="195">
        <v>198543.75</v>
      </c>
      <c r="P307" s="195">
        <v>0</v>
      </c>
      <c r="Q307" s="195">
        <v>198543.75</v>
      </c>
      <c r="R307" s="196"/>
      <c r="S307" s="195">
        <v>484884</v>
      </c>
      <c r="T307" s="195">
        <v>0</v>
      </c>
      <c r="U307" s="195">
        <v>484884</v>
      </c>
    </row>
    <row r="308" spans="1:21" x14ac:dyDescent="0.25">
      <c r="A308" s="192">
        <v>2021</v>
      </c>
      <c r="B308" s="192" t="s">
        <v>823</v>
      </c>
      <c r="C308" s="193" t="s">
        <v>330</v>
      </c>
      <c r="D308" s="194" t="s">
        <v>819</v>
      </c>
      <c r="E308" s="194" t="s">
        <v>819</v>
      </c>
      <c r="F308" s="194" t="s">
        <v>330</v>
      </c>
      <c r="G308" s="193" t="s">
        <v>673</v>
      </c>
      <c r="H308" s="195">
        <v>0</v>
      </c>
      <c r="I308" s="195">
        <v>0</v>
      </c>
      <c r="J308" s="196"/>
      <c r="K308" s="195">
        <v>0</v>
      </c>
      <c r="L308" s="195">
        <v>0</v>
      </c>
      <c r="M308" s="195">
        <v>0</v>
      </c>
      <c r="N308" s="196"/>
      <c r="O308" s="195">
        <v>0</v>
      </c>
      <c r="P308" s="195">
        <v>0</v>
      </c>
      <c r="Q308" s="195">
        <v>0</v>
      </c>
      <c r="R308" s="196"/>
      <c r="S308" s="195">
        <v>0</v>
      </c>
      <c r="T308" s="195">
        <v>0</v>
      </c>
      <c r="U308" s="195">
        <v>0</v>
      </c>
    </row>
    <row r="309" spans="1:21" x14ac:dyDescent="0.25">
      <c r="A309" s="192">
        <v>2021</v>
      </c>
      <c r="B309" s="192" t="s">
        <v>825</v>
      </c>
      <c r="C309" s="193" t="s">
        <v>331</v>
      </c>
      <c r="D309" s="194" t="s">
        <v>819</v>
      </c>
      <c r="E309" s="194" t="s">
        <v>819</v>
      </c>
      <c r="F309" s="194" t="s">
        <v>331</v>
      </c>
      <c r="G309" s="193" t="s">
        <v>674</v>
      </c>
      <c r="H309" s="195">
        <v>1</v>
      </c>
      <c r="I309" s="195">
        <v>1</v>
      </c>
      <c r="J309" s="196"/>
      <c r="K309" s="195">
        <v>77176.5</v>
      </c>
      <c r="L309" s="195">
        <v>38588.25</v>
      </c>
      <c r="M309" s="195">
        <v>38588.25</v>
      </c>
      <c r="N309" s="196"/>
      <c r="O309" s="195">
        <v>30794.5</v>
      </c>
      <c r="P309" s="195">
        <v>15397.25</v>
      </c>
      <c r="Q309" s="195">
        <v>15397.25</v>
      </c>
      <c r="R309" s="196"/>
      <c r="S309" s="195">
        <v>107971</v>
      </c>
      <c r="T309" s="195">
        <v>53985.5</v>
      </c>
      <c r="U309" s="195">
        <v>53985.5</v>
      </c>
    </row>
    <row r="310" spans="1:21" x14ac:dyDescent="0.25">
      <c r="A310" s="192">
        <v>2021</v>
      </c>
      <c r="B310" s="192" t="s">
        <v>824</v>
      </c>
      <c r="C310" s="193" t="s">
        <v>332</v>
      </c>
      <c r="D310" s="194" t="s">
        <v>819</v>
      </c>
      <c r="E310" s="194" t="s">
        <v>819</v>
      </c>
      <c r="F310" s="194" t="s">
        <v>332</v>
      </c>
      <c r="G310" s="193" t="s">
        <v>675</v>
      </c>
      <c r="H310" s="195">
        <v>0</v>
      </c>
      <c r="I310" s="195">
        <v>0</v>
      </c>
      <c r="J310" s="196"/>
      <c r="K310" s="195">
        <v>0</v>
      </c>
      <c r="L310" s="195">
        <v>0</v>
      </c>
      <c r="M310" s="195">
        <v>0</v>
      </c>
      <c r="N310" s="196"/>
      <c r="O310" s="195">
        <v>0</v>
      </c>
      <c r="P310" s="195">
        <v>0</v>
      </c>
      <c r="Q310" s="195">
        <v>0</v>
      </c>
      <c r="R310" s="196"/>
      <c r="S310" s="195">
        <v>0</v>
      </c>
      <c r="T310" s="195">
        <v>0</v>
      </c>
      <c r="U310" s="195">
        <v>0</v>
      </c>
    </row>
    <row r="311" spans="1:21" x14ac:dyDescent="0.25">
      <c r="A311" s="192">
        <v>2021</v>
      </c>
      <c r="B311" s="192" t="s">
        <v>827</v>
      </c>
      <c r="C311" s="193" t="s">
        <v>333</v>
      </c>
      <c r="D311" s="194" t="s">
        <v>819</v>
      </c>
      <c r="E311" s="194" t="s">
        <v>819</v>
      </c>
      <c r="F311" s="194" t="s">
        <v>333</v>
      </c>
      <c r="G311" s="193" t="s">
        <v>676</v>
      </c>
      <c r="H311" s="195">
        <v>3</v>
      </c>
      <c r="I311" s="195">
        <v>1</v>
      </c>
      <c r="J311" s="196"/>
      <c r="K311" s="195">
        <v>42853.5</v>
      </c>
      <c r="L311" s="195">
        <v>32140.13</v>
      </c>
      <c r="M311" s="195">
        <v>10713.369999999999</v>
      </c>
      <c r="N311" s="196"/>
      <c r="O311" s="195">
        <v>14834.5</v>
      </c>
      <c r="P311" s="195">
        <v>11125.88</v>
      </c>
      <c r="Q311" s="195">
        <v>3708.6200000000008</v>
      </c>
      <c r="R311" s="196"/>
      <c r="S311" s="195">
        <v>57688</v>
      </c>
      <c r="T311" s="195">
        <v>43266.01</v>
      </c>
      <c r="U311" s="195">
        <v>14421.99</v>
      </c>
    </row>
    <row r="312" spans="1:21" x14ac:dyDescent="0.25">
      <c r="A312" s="192">
        <v>2021</v>
      </c>
      <c r="B312" s="192" t="s">
        <v>818</v>
      </c>
      <c r="C312" s="193" t="s">
        <v>302</v>
      </c>
      <c r="D312" s="194" t="s">
        <v>819</v>
      </c>
      <c r="E312" s="194" t="s">
        <v>819</v>
      </c>
      <c r="F312" s="194" t="s">
        <v>302</v>
      </c>
      <c r="G312" s="193" t="s">
        <v>647</v>
      </c>
      <c r="H312" s="195">
        <v>0</v>
      </c>
      <c r="I312" s="195">
        <v>5</v>
      </c>
      <c r="J312" s="196"/>
      <c r="K312" s="195">
        <v>194933.25</v>
      </c>
      <c r="L312" s="195">
        <v>0</v>
      </c>
      <c r="M312" s="195">
        <v>194933.25</v>
      </c>
      <c r="N312" s="196"/>
      <c r="O312" s="195">
        <v>75040.75</v>
      </c>
      <c r="P312" s="195">
        <v>0</v>
      </c>
      <c r="Q312" s="195">
        <v>75040.75</v>
      </c>
      <c r="R312" s="196"/>
      <c r="S312" s="195">
        <v>269974</v>
      </c>
      <c r="T312" s="195">
        <v>0</v>
      </c>
      <c r="U312" s="195">
        <v>269974</v>
      </c>
    </row>
    <row r="313" spans="1:21" x14ac:dyDescent="0.25">
      <c r="A313" s="192">
        <v>2021</v>
      </c>
      <c r="B313" s="192" t="s">
        <v>827</v>
      </c>
      <c r="C313" s="193" t="s">
        <v>334</v>
      </c>
      <c r="D313" s="194" t="s">
        <v>819</v>
      </c>
      <c r="E313" s="194" t="s">
        <v>819</v>
      </c>
      <c r="F313" s="194" t="s">
        <v>334</v>
      </c>
      <c r="G313" s="193" t="s">
        <v>677</v>
      </c>
      <c r="H313" s="195">
        <v>0</v>
      </c>
      <c r="I313" s="195">
        <v>5</v>
      </c>
      <c r="J313" s="196"/>
      <c r="K313" s="195">
        <v>335340.75</v>
      </c>
      <c r="L313" s="195">
        <v>0</v>
      </c>
      <c r="M313" s="195">
        <v>335340.75</v>
      </c>
      <c r="N313" s="196"/>
      <c r="O313" s="195">
        <v>130437.25</v>
      </c>
      <c r="P313" s="195">
        <v>0</v>
      </c>
      <c r="Q313" s="195">
        <v>130437.25</v>
      </c>
      <c r="R313" s="196"/>
      <c r="S313" s="195">
        <v>465778</v>
      </c>
      <c r="T313" s="195">
        <v>0</v>
      </c>
      <c r="U313" s="195">
        <v>465778</v>
      </c>
    </row>
    <row r="314" spans="1:21" x14ac:dyDescent="0.25">
      <c r="A314" s="192">
        <v>2021</v>
      </c>
      <c r="B314" s="192" t="s">
        <v>818</v>
      </c>
      <c r="C314" s="193" t="s">
        <v>335</v>
      </c>
      <c r="D314" s="194" t="s">
        <v>819</v>
      </c>
      <c r="E314" s="194" t="s">
        <v>819</v>
      </c>
      <c r="F314" s="194" t="s">
        <v>335</v>
      </c>
      <c r="G314" s="193" t="s">
        <v>678</v>
      </c>
      <c r="H314" s="195">
        <v>0</v>
      </c>
      <c r="I314" s="195">
        <v>0</v>
      </c>
      <c r="J314" s="196"/>
      <c r="K314" s="195">
        <v>0</v>
      </c>
      <c r="L314" s="195">
        <v>0</v>
      </c>
      <c r="M314" s="195">
        <v>0</v>
      </c>
      <c r="N314" s="196"/>
      <c r="O314" s="195">
        <v>0</v>
      </c>
      <c r="P314" s="195">
        <v>0</v>
      </c>
      <c r="Q314" s="195">
        <v>0</v>
      </c>
      <c r="R314" s="196"/>
      <c r="S314" s="195">
        <v>0</v>
      </c>
      <c r="T314" s="195">
        <v>0</v>
      </c>
      <c r="U314" s="195">
        <v>0</v>
      </c>
    </row>
    <row r="315" spans="1:21" x14ac:dyDescent="0.25">
      <c r="A315" s="192">
        <v>2021</v>
      </c>
      <c r="B315" s="192" t="s">
        <v>820</v>
      </c>
      <c r="C315" s="193" t="s">
        <v>277</v>
      </c>
      <c r="D315" s="194" t="s">
        <v>819</v>
      </c>
      <c r="E315" s="194" t="s">
        <v>819</v>
      </c>
      <c r="F315" s="194" t="s">
        <v>277</v>
      </c>
      <c r="G315" s="193" t="s">
        <v>622</v>
      </c>
      <c r="H315" s="195">
        <v>0</v>
      </c>
      <c r="I315" s="195">
        <v>5</v>
      </c>
      <c r="J315" s="196"/>
      <c r="K315" s="195">
        <v>161757.75</v>
      </c>
      <c r="L315" s="195">
        <v>0</v>
      </c>
      <c r="M315" s="195">
        <v>161757.75</v>
      </c>
      <c r="N315" s="196"/>
      <c r="O315" s="195">
        <v>60713.25</v>
      </c>
      <c r="P315" s="195">
        <v>0</v>
      </c>
      <c r="Q315" s="195">
        <v>60713.25</v>
      </c>
      <c r="R315" s="196"/>
      <c r="S315" s="195">
        <v>222471</v>
      </c>
      <c r="T315" s="195">
        <v>0</v>
      </c>
      <c r="U315" s="195">
        <v>222471</v>
      </c>
    </row>
    <row r="316" spans="1:21" x14ac:dyDescent="0.25">
      <c r="A316" s="192">
        <v>2021</v>
      </c>
      <c r="B316" s="192" t="s">
        <v>820</v>
      </c>
      <c r="C316" s="193" t="s">
        <v>57</v>
      </c>
      <c r="D316" s="194" t="s">
        <v>819</v>
      </c>
      <c r="E316" s="194" t="s">
        <v>819</v>
      </c>
      <c r="F316" s="194" t="s">
        <v>57</v>
      </c>
      <c r="G316" s="193" t="s">
        <v>412</v>
      </c>
      <c r="H316" s="195">
        <v>1</v>
      </c>
      <c r="I316" s="195">
        <v>8</v>
      </c>
      <c r="J316" s="196"/>
      <c r="K316" s="195">
        <v>217420.5</v>
      </c>
      <c r="L316" s="195">
        <v>24157.83</v>
      </c>
      <c r="M316" s="195">
        <v>193262.66999999998</v>
      </c>
      <c r="N316" s="196"/>
      <c r="O316" s="195">
        <v>75580.5</v>
      </c>
      <c r="P316" s="195">
        <v>8397.83</v>
      </c>
      <c r="Q316" s="195">
        <v>67182.67</v>
      </c>
      <c r="R316" s="196"/>
      <c r="S316" s="195">
        <v>293001</v>
      </c>
      <c r="T316" s="195">
        <v>32555.660000000003</v>
      </c>
      <c r="U316" s="195">
        <v>260445.33999999997</v>
      </c>
    </row>
    <row r="317" spans="1:21" x14ac:dyDescent="0.25">
      <c r="A317" s="192">
        <v>2021</v>
      </c>
      <c r="B317" s="192" t="s">
        <v>821</v>
      </c>
      <c r="C317" s="193" t="s">
        <v>337</v>
      </c>
      <c r="D317" s="194" t="s">
        <v>819</v>
      </c>
      <c r="E317" s="194" t="s">
        <v>819</v>
      </c>
      <c r="F317" s="194" t="s">
        <v>337</v>
      </c>
      <c r="G317" s="193" t="s">
        <v>680</v>
      </c>
      <c r="H317" s="195">
        <v>0</v>
      </c>
      <c r="I317" s="195">
        <v>2</v>
      </c>
      <c r="J317" s="196"/>
      <c r="K317" s="195">
        <v>20993.25</v>
      </c>
      <c r="L317" s="195">
        <v>0</v>
      </c>
      <c r="M317" s="195">
        <v>20993.25</v>
      </c>
      <c r="N317" s="196"/>
      <c r="O317" s="195">
        <v>7819.75</v>
      </c>
      <c r="P317" s="195">
        <v>0</v>
      </c>
      <c r="Q317" s="195">
        <v>7819.75</v>
      </c>
      <c r="R317" s="196"/>
      <c r="S317" s="195">
        <v>28813</v>
      </c>
      <c r="T317" s="195">
        <v>0</v>
      </c>
      <c r="U317" s="195">
        <v>28813</v>
      </c>
    </row>
    <row r="318" spans="1:21" x14ac:dyDescent="0.25">
      <c r="A318" s="192">
        <v>2021</v>
      </c>
      <c r="B318" s="192" t="s">
        <v>828</v>
      </c>
      <c r="C318" s="193" t="s">
        <v>338</v>
      </c>
      <c r="D318" s="194" t="s">
        <v>819</v>
      </c>
      <c r="E318" s="194" t="s">
        <v>819</v>
      </c>
      <c r="F318" s="194" t="s">
        <v>338</v>
      </c>
      <c r="G318" s="193" t="s">
        <v>681</v>
      </c>
      <c r="H318" s="195">
        <v>4</v>
      </c>
      <c r="I318" s="195">
        <v>4</v>
      </c>
      <c r="J318" s="196"/>
      <c r="K318" s="195">
        <v>338694.75</v>
      </c>
      <c r="L318" s="195">
        <v>169347.38</v>
      </c>
      <c r="M318" s="195">
        <v>169347.37</v>
      </c>
      <c r="N318" s="196"/>
      <c r="O318" s="195">
        <v>130368.25</v>
      </c>
      <c r="P318" s="195">
        <v>65184.13</v>
      </c>
      <c r="Q318" s="195">
        <v>65184.12</v>
      </c>
      <c r="R318" s="196"/>
      <c r="S318" s="195">
        <v>469063</v>
      </c>
      <c r="T318" s="195">
        <v>234531.51</v>
      </c>
      <c r="U318" s="195">
        <v>234531.49</v>
      </c>
    </row>
    <row r="319" spans="1:21" x14ac:dyDescent="0.25">
      <c r="A319" s="192">
        <v>2021</v>
      </c>
      <c r="B319" s="192" t="s">
        <v>822</v>
      </c>
      <c r="C319" s="193" t="s">
        <v>339</v>
      </c>
      <c r="D319" s="194" t="s">
        <v>819</v>
      </c>
      <c r="E319" s="194" t="s">
        <v>819</v>
      </c>
      <c r="F319" s="194" t="s">
        <v>339</v>
      </c>
      <c r="G319" s="193" t="s">
        <v>682</v>
      </c>
      <c r="H319" s="195">
        <v>0</v>
      </c>
      <c r="I319" s="195">
        <v>9</v>
      </c>
      <c r="J319" s="196"/>
      <c r="K319" s="195">
        <v>325797.75</v>
      </c>
      <c r="L319" s="195">
        <v>0</v>
      </c>
      <c r="M319" s="195">
        <v>325797.75</v>
      </c>
      <c r="N319" s="196"/>
      <c r="O319" s="195">
        <v>118262.25</v>
      </c>
      <c r="P319" s="195">
        <v>0</v>
      </c>
      <c r="Q319" s="195">
        <v>118262.25</v>
      </c>
      <c r="R319" s="196"/>
      <c r="S319" s="195">
        <v>444060</v>
      </c>
      <c r="T319" s="195">
        <v>0</v>
      </c>
      <c r="U319" s="195">
        <v>444060</v>
      </c>
    </row>
    <row r="320" spans="1:21" x14ac:dyDescent="0.25">
      <c r="A320" s="192">
        <v>2021</v>
      </c>
      <c r="B320" s="192" t="s">
        <v>820</v>
      </c>
      <c r="C320" s="193" t="s">
        <v>340</v>
      </c>
      <c r="D320" s="194" t="s">
        <v>819</v>
      </c>
      <c r="E320" s="194" t="s">
        <v>819</v>
      </c>
      <c r="F320" s="194" t="s">
        <v>340</v>
      </c>
      <c r="G320" s="193" t="s">
        <v>683</v>
      </c>
      <c r="H320" s="195">
        <v>0</v>
      </c>
      <c r="I320" s="195">
        <v>8</v>
      </c>
      <c r="J320" s="196"/>
      <c r="K320" s="195">
        <v>276052.5</v>
      </c>
      <c r="L320" s="195">
        <v>0</v>
      </c>
      <c r="M320" s="195">
        <v>276052.5</v>
      </c>
      <c r="N320" s="196"/>
      <c r="O320" s="195">
        <v>105353.5</v>
      </c>
      <c r="P320" s="195">
        <v>0</v>
      </c>
      <c r="Q320" s="195">
        <v>105353.5</v>
      </c>
      <c r="R320" s="196"/>
      <c r="S320" s="195">
        <v>381406</v>
      </c>
      <c r="T320" s="195">
        <v>0</v>
      </c>
      <c r="U320" s="195">
        <v>381406</v>
      </c>
    </row>
    <row r="321" spans="1:21" x14ac:dyDescent="0.25">
      <c r="A321" s="192">
        <v>2021</v>
      </c>
      <c r="B321" s="192" t="s">
        <v>822</v>
      </c>
      <c r="C321" s="193" t="s">
        <v>341</v>
      </c>
      <c r="D321" s="194" t="s">
        <v>819</v>
      </c>
      <c r="E321" s="194" t="s">
        <v>819</v>
      </c>
      <c r="F321" s="194" t="s">
        <v>341</v>
      </c>
      <c r="G321" s="193" t="s">
        <v>684</v>
      </c>
      <c r="H321" s="195">
        <v>2</v>
      </c>
      <c r="I321" s="195">
        <v>4</v>
      </c>
      <c r="J321" s="196"/>
      <c r="K321" s="195">
        <v>155715</v>
      </c>
      <c r="L321" s="195">
        <v>51905</v>
      </c>
      <c r="M321" s="195">
        <v>103810</v>
      </c>
      <c r="N321" s="196"/>
      <c r="O321" s="195">
        <v>57450</v>
      </c>
      <c r="P321" s="195">
        <v>19150</v>
      </c>
      <c r="Q321" s="195">
        <v>38300</v>
      </c>
      <c r="R321" s="196"/>
      <c r="S321" s="195">
        <v>213165</v>
      </c>
      <c r="T321" s="195">
        <v>71055</v>
      </c>
      <c r="U321" s="195">
        <v>142110</v>
      </c>
    </row>
    <row r="322" spans="1:21" x14ac:dyDescent="0.25">
      <c r="A322" s="192">
        <v>2021</v>
      </c>
      <c r="B322" s="192" t="s">
        <v>822</v>
      </c>
      <c r="C322" s="193" t="s">
        <v>342</v>
      </c>
      <c r="D322" s="194" t="s">
        <v>819</v>
      </c>
      <c r="E322" s="194" t="s">
        <v>819</v>
      </c>
      <c r="F322" s="194" t="s">
        <v>342</v>
      </c>
      <c r="G322" s="193" t="s">
        <v>685</v>
      </c>
      <c r="H322" s="195">
        <v>0</v>
      </c>
      <c r="I322" s="195">
        <v>7</v>
      </c>
      <c r="J322" s="196"/>
      <c r="K322" s="195">
        <v>190803.75</v>
      </c>
      <c r="L322" s="195">
        <v>0</v>
      </c>
      <c r="M322" s="195">
        <v>190803.75</v>
      </c>
      <c r="N322" s="196"/>
      <c r="O322" s="195">
        <v>69315.25</v>
      </c>
      <c r="P322" s="195">
        <v>0</v>
      </c>
      <c r="Q322" s="195">
        <v>69315.25</v>
      </c>
      <c r="R322" s="196"/>
      <c r="S322" s="195">
        <v>260119</v>
      </c>
      <c r="T322" s="195">
        <v>0</v>
      </c>
      <c r="U322" s="195">
        <v>260119</v>
      </c>
    </row>
    <row r="323" spans="1:21" x14ac:dyDescent="0.25">
      <c r="A323" s="192">
        <v>2021</v>
      </c>
      <c r="B323" s="192" t="s">
        <v>827</v>
      </c>
      <c r="C323" s="193" t="s">
        <v>336</v>
      </c>
      <c r="D323" s="194" t="s">
        <v>819</v>
      </c>
      <c r="E323" s="194" t="s">
        <v>819</v>
      </c>
      <c r="F323" s="194" t="s">
        <v>336</v>
      </c>
      <c r="G323" s="193" t="s">
        <v>679</v>
      </c>
      <c r="H323" s="195">
        <v>0</v>
      </c>
      <c r="I323" s="195">
        <v>6</v>
      </c>
      <c r="J323" s="196"/>
      <c r="K323" s="195">
        <v>1170378</v>
      </c>
      <c r="L323" s="195">
        <v>0</v>
      </c>
      <c r="M323" s="195">
        <v>1170378</v>
      </c>
      <c r="N323" s="196"/>
      <c r="O323" s="195">
        <v>451652</v>
      </c>
      <c r="P323" s="195">
        <v>0</v>
      </c>
      <c r="Q323" s="195">
        <v>451652</v>
      </c>
      <c r="R323" s="196"/>
      <c r="S323" s="195">
        <v>1622030</v>
      </c>
      <c r="T323" s="195">
        <v>0</v>
      </c>
      <c r="U323" s="195">
        <v>1622030</v>
      </c>
    </row>
    <row r="324" spans="1:21" x14ac:dyDescent="0.25">
      <c r="A324" s="192">
        <v>2021</v>
      </c>
      <c r="B324" s="192" t="s">
        <v>822</v>
      </c>
      <c r="C324" s="193" t="s">
        <v>343</v>
      </c>
      <c r="D324" s="194" t="s">
        <v>819</v>
      </c>
      <c r="E324" s="194" t="s">
        <v>819</v>
      </c>
      <c r="F324" s="194" t="s">
        <v>343</v>
      </c>
      <c r="G324" s="193" t="s">
        <v>686</v>
      </c>
      <c r="H324" s="195">
        <v>1</v>
      </c>
      <c r="I324" s="195">
        <v>6</v>
      </c>
      <c r="J324" s="196"/>
      <c r="K324" s="195">
        <v>167259</v>
      </c>
      <c r="L324" s="195">
        <v>23894.14</v>
      </c>
      <c r="M324" s="195">
        <v>143364.85999999999</v>
      </c>
      <c r="N324" s="196"/>
      <c r="O324" s="195">
        <v>61346</v>
      </c>
      <c r="P324" s="195">
        <v>8763.7099999999991</v>
      </c>
      <c r="Q324" s="195">
        <v>52582.29</v>
      </c>
      <c r="R324" s="196"/>
      <c r="S324" s="195">
        <v>228605</v>
      </c>
      <c r="T324" s="195">
        <v>32657.85</v>
      </c>
      <c r="U324" s="195">
        <v>195947.15</v>
      </c>
    </row>
    <row r="325" spans="1:21" x14ac:dyDescent="0.25">
      <c r="A325" s="192">
        <v>2021</v>
      </c>
      <c r="B325" s="192" t="s">
        <v>822</v>
      </c>
      <c r="C325" s="193" t="s">
        <v>344</v>
      </c>
      <c r="D325" s="194" t="s">
        <v>819</v>
      </c>
      <c r="E325" s="194" t="s">
        <v>819</v>
      </c>
      <c r="F325" s="194" t="s">
        <v>344</v>
      </c>
      <c r="G325" s="193" t="s">
        <v>687</v>
      </c>
      <c r="H325" s="195">
        <v>0</v>
      </c>
      <c r="I325" s="195">
        <v>5</v>
      </c>
      <c r="J325" s="196"/>
      <c r="K325" s="195">
        <v>44048.25</v>
      </c>
      <c r="L325" s="195">
        <v>0</v>
      </c>
      <c r="M325" s="195">
        <v>44048.25</v>
      </c>
      <c r="N325" s="196"/>
      <c r="O325" s="195">
        <v>15396.75</v>
      </c>
      <c r="P325" s="195">
        <v>0</v>
      </c>
      <c r="Q325" s="195">
        <v>15396.75</v>
      </c>
      <c r="R325" s="196"/>
      <c r="S325" s="195">
        <v>59445</v>
      </c>
      <c r="T325" s="195">
        <v>0</v>
      </c>
      <c r="U325" s="195">
        <v>59445</v>
      </c>
    </row>
    <row r="326" spans="1:21" x14ac:dyDescent="0.25">
      <c r="A326" s="192">
        <v>2021</v>
      </c>
      <c r="B326" s="192" t="s">
        <v>825</v>
      </c>
      <c r="C326" s="193" t="s">
        <v>345</v>
      </c>
      <c r="D326" s="194" t="s">
        <v>819</v>
      </c>
      <c r="E326" s="194" t="s">
        <v>819</v>
      </c>
      <c r="F326" s="194" t="s">
        <v>345</v>
      </c>
      <c r="G326" s="193" t="s">
        <v>688</v>
      </c>
      <c r="H326" s="195">
        <v>0</v>
      </c>
      <c r="I326" s="195">
        <v>7</v>
      </c>
      <c r="J326" s="196"/>
      <c r="K326" s="195">
        <v>387511.5</v>
      </c>
      <c r="L326" s="195">
        <v>0</v>
      </c>
      <c r="M326" s="195">
        <v>387511.5</v>
      </c>
      <c r="N326" s="196"/>
      <c r="O326" s="195">
        <v>148448.5</v>
      </c>
      <c r="P326" s="195">
        <v>0</v>
      </c>
      <c r="Q326" s="195">
        <v>148448.5</v>
      </c>
      <c r="R326" s="196"/>
      <c r="S326" s="195">
        <v>535960</v>
      </c>
      <c r="T326" s="195">
        <v>0</v>
      </c>
      <c r="U326" s="195">
        <v>535960</v>
      </c>
    </row>
    <row r="327" spans="1:21" x14ac:dyDescent="0.25">
      <c r="A327" s="192">
        <v>2021</v>
      </c>
      <c r="B327" s="192" t="s">
        <v>828</v>
      </c>
      <c r="C327" s="193" t="s">
        <v>346</v>
      </c>
      <c r="D327" s="194" t="s">
        <v>819</v>
      </c>
      <c r="E327" s="194" t="s">
        <v>819</v>
      </c>
      <c r="F327" s="194" t="s">
        <v>346</v>
      </c>
      <c r="G327" s="193" t="s">
        <v>689</v>
      </c>
      <c r="H327" s="195">
        <v>0</v>
      </c>
      <c r="I327" s="195">
        <v>5</v>
      </c>
      <c r="J327" s="196"/>
      <c r="K327" s="195">
        <v>186149.25</v>
      </c>
      <c r="L327" s="195">
        <v>0</v>
      </c>
      <c r="M327" s="195">
        <v>186149.25</v>
      </c>
      <c r="N327" s="196"/>
      <c r="O327" s="195">
        <v>64808.75</v>
      </c>
      <c r="P327" s="195">
        <v>0</v>
      </c>
      <c r="Q327" s="195">
        <v>64808.75</v>
      </c>
      <c r="R327" s="196"/>
      <c r="S327" s="195">
        <v>250958</v>
      </c>
      <c r="T327" s="195">
        <v>0</v>
      </c>
      <c r="U327" s="195">
        <v>250958</v>
      </c>
    </row>
    <row r="328" spans="1:21" x14ac:dyDescent="0.25">
      <c r="A328" s="192">
        <v>2021</v>
      </c>
      <c r="B328" s="192" t="s">
        <v>824</v>
      </c>
      <c r="C328" s="193" t="s">
        <v>347</v>
      </c>
      <c r="D328" s="194" t="s">
        <v>819</v>
      </c>
      <c r="E328" s="194" t="s">
        <v>819</v>
      </c>
      <c r="F328" s="194" t="s">
        <v>347</v>
      </c>
      <c r="G328" s="193" t="s">
        <v>690</v>
      </c>
      <c r="H328" s="195">
        <v>0</v>
      </c>
      <c r="I328" s="195">
        <v>7</v>
      </c>
      <c r="J328" s="196"/>
      <c r="K328" s="195">
        <v>74859</v>
      </c>
      <c r="L328" s="195">
        <v>0</v>
      </c>
      <c r="M328" s="195">
        <v>74859</v>
      </c>
      <c r="N328" s="196"/>
      <c r="O328" s="195">
        <v>30967</v>
      </c>
      <c r="P328" s="195">
        <v>0</v>
      </c>
      <c r="Q328" s="195">
        <v>30967</v>
      </c>
      <c r="R328" s="196"/>
      <c r="S328" s="195">
        <v>105826</v>
      </c>
      <c r="T328" s="195">
        <v>0</v>
      </c>
      <c r="U328" s="195">
        <v>105826</v>
      </c>
    </row>
    <row r="329" spans="1:21" x14ac:dyDescent="0.25">
      <c r="A329" s="192">
        <v>2021</v>
      </c>
      <c r="B329" s="192" t="s">
        <v>818</v>
      </c>
      <c r="C329" s="193" t="s">
        <v>348</v>
      </c>
      <c r="D329" s="194" t="s">
        <v>819</v>
      </c>
      <c r="E329" s="194" t="s">
        <v>819</v>
      </c>
      <c r="F329" s="194" t="s">
        <v>348</v>
      </c>
      <c r="G329" s="193" t="s">
        <v>691</v>
      </c>
      <c r="H329" s="195">
        <v>0</v>
      </c>
      <c r="I329" s="195">
        <v>4</v>
      </c>
      <c r="J329" s="196"/>
      <c r="K329" s="195">
        <v>324063.75</v>
      </c>
      <c r="L329" s="195">
        <v>0</v>
      </c>
      <c r="M329" s="195">
        <v>324063.75</v>
      </c>
      <c r="N329" s="196"/>
      <c r="O329" s="195">
        <v>129424.25</v>
      </c>
      <c r="P329" s="195">
        <v>0</v>
      </c>
      <c r="Q329" s="195">
        <v>129424.25</v>
      </c>
      <c r="R329" s="196"/>
      <c r="S329" s="195">
        <v>453488</v>
      </c>
      <c r="T329" s="195">
        <v>0</v>
      </c>
      <c r="U329" s="195">
        <v>453488</v>
      </c>
    </row>
    <row r="330" spans="1:21" x14ac:dyDescent="0.25">
      <c r="A330" s="192">
        <v>2021</v>
      </c>
      <c r="B330" s="192" t="s">
        <v>821</v>
      </c>
      <c r="C330" s="193" t="s">
        <v>349</v>
      </c>
      <c r="D330" s="194" t="s">
        <v>819</v>
      </c>
      <c r="E330" s="194" t="s">
        <v>819</v>
      </c>
      <c r="F330" s="194" t="s">
        <v>349</v>
      </c>
      <c r="G330" s="193" t="s">
        <v>692</v>
      </c>
      <c r="H330" s="195">
        <v>5</v>
      </c>
      <c r="I330" s="195">
        <v>9</v>
      </c>
      <c r="J330" s="196"/>
      <c r="K330" s="195">
        <v>199427.25</v>
      </c>
      <c r="L330" s="195">
        <v>71224.02</v>
      </c>
      <c r="M330" s="195">
        <v>128203.23</v>
      </c>
      <c r="N330" s="196"/>
      <c r="O330" s="195">
        <v>87306.75</v>
      </c>
      <c r="P330" s="195">
        <v>31180.98</v>
      </c>
      <c r="Q330" s="195">
        <v>56125.770000000004</v>
      </c>
      <c r="R330" s="196"/>
      <c r="S330" s="195">
        <v>286734</v>
      </c>
      <c r="T330" s="195">
        <v>102405</v>
      </c>
      <c r="U330" s="195">
        <v>184329</v>
      </c>
    </row>
    <row r="331" spans="1:21" x14ac:dyDescent="0.25">
      <c r="A331" s="192">
        <v>2021</v>
      </c>
      <c r="B331" s="192" t="s">
        <v>822</v>
      </c>
      <c r="C331" s="193" t="s">
        <v>350</v>
      </c>
      <c r="D331" s="194" t="s">
        <v>819</v>
      </c>
      <c r="E331" s="194" t="s">
        <v>819</v>
      </c>
      <c r="F331" s="194" t="s">
        <v>350</v>
      </c>
      <c r="G331" s="193" t="s">
        <v>693</v>
      </c>
      <c r="H331" s="195">
        <v>0</v>
      </c>
      <c r="I331" s="195">
        <v>2</v>
      </c>
      <c r="J331" s="196"/>
      <c r="K331" s="195">
        <v>54286.5</v>
      </c>
      <c r="L331" s="195">
        <v>0</v>
      </c>
      <c r="M331" s="195">
        <v>54286.5</v>
      </c>
      <c r="N331" s="196"/>
      <c r="O331" s="195">
        <v>20846.5</v>
      </c>
      <c r="P331" s="195">
        <v>0</v>
      </c>
      <c r="Q331" s="195">
        <v>20846.5</v>
      </c>
      <c r="R331" s="196"/>
      <c r="S331" s="195">
        <v>75133</v>
      </c>
      <c r="T331" s="195">
        <v>0</v>
      </c>
      <c r="U331" s="195">
        <v>75133</v>
      </c>
    </row>
    <row r="332" spans="1:21" x14ac:dyDescent="0.25">
      <c r="A332" s="192">
        <v>2021</v>
      </c>
      <c r="B332" s="192" t="s">
        <v>818</v>
      </c>
      <c r="C332" s="193" t="s">
        <v>351</v>
      </c>
      <c r="D332" s="194" t="s">
        <v>819</v>
      </c>
      <c r="E332" s="194" t="s">
        <v>819</v>
      </c>
      <c r="F332" s="194" t="s">
        <v>351</v>
      </c>
      <c r="G332" s="193" t="s">
        <v>694</v>
      </c>
      <c r="H332" s="195">
        <v>0</v>
      </c>
      <c r="I332" s="195">
        <v>6</v>
      </c>
      <c r="J332" s="196"/>
      <c r="K332" s="195">
        <v>316119</v>
      </c>
      <c r="L332" s="195">
        <v>0</v>
      </c>
      <c r="M332" s="195">
        <v>316119</v>
      </c>
      <c r="N332" s="196"/>
      <c r="O332" s="195">
        <v>123270</v>
      </c>
      <c r="P332" s="195">
        <v>0</v>
      </c>
      <c r="Q332" s="195">
        <v>123270</v>
      </c>
      <c r="R332" s="196"/>
      <c r="S332" s="195">
        <v>439389</v>
      </c>
      <c r="T332" s="195">
        <v>0</v>
      </c>
      <c r="U332" s="195">
        <v>439389</v>
      </c>
    </row>
    <row r="333" spans="1:21" ht="15.75" thickBot="1" x14ac:dyDescent="0.3">
      <c r="A333" s="188"/>
      <c r="B333" s="188"/>
      <c r="C333" s="197" t="s">
        <v>788</v>
      </c>
      <c r="D333" s="188"/>
      <c r="E333" s="188"/>
      <c r="F333" s="190"/>
      <c r="G333" s="189"/>
      <c r="H333" s="189"/>
      <c r="I333" s="189"/>
      <c r="J333" s="189"/>
      <c r="K333" s="186">
        <f>SUM(K6:K332)</f>
        <v>75137126.25</v>
      </c>
      <c r="L333" s="186">
        <f t="shared" ref="L333:M333" si="0">SUM(L6:L332)</f>
        <v>7800045.8299999973</v>
      </c>
      <c r="M333" s="186">
        <f t="shared" si="0"/>
        <v>67337080.419999957</v>
      </c>
      <c r="N333" s="189"/>
      <c r="O333" s="186">
        <f>SUM(O6:O332)</f>
        <v>29315857.75</v>
      </c>
      <c r="P333" s="186">
        <f t="shared" ref="P333:Q333" si="1">SUM(P6:P332)</f>
        <v>2960676.0899999994</v>
      </c>
      <c r="Q333" s="186">
        <f t="shared" si="1"/>
        <v>26355181.660000008</v>
      </c>
      <c r="R333" s="189"/>
      <c r="S333" s="186">
        <f>SUM(S6:S332)</f>
        <v>104452984</v>
      </c>
      <c r="T333" s="186">
        <f t="shared" ref="T333:U333" si="2">SUM(T6:T332)</f>
        <v>10760721.919999998</v>
      </c>
      <c r="U333" s="186">
        <f t="shared" si="2"/>
        <v>93692262.079999968</v>
      </c>
    </row>
    <row r="334" spans="1:21" ht="15.75" thickTop="1" x14ac:dyDescent="0.25"/>
  </sheetData>
  <mergeCells count="5">
    <mergeCell ref="K4:M4"/>
    <mergeCell ref="O4:Q4"/>
    <mergeCell ref="S4:U4"/>
    <mergeCell ref="G1:U1"/>
    <mergeCell ref="G2:U2"/>
  </mergeCells>
  <printOptions horizontalCentered="1"/>
  <pageMargins left="0.7" right="0.7" top="0.75" bottom="0.75" header="0.3" footer="0.3"/>
  <pageSetup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O327"/>
  <sheetViews>
    <sheetView workbookViewId="0">
      <selection activeCell="F327" sqref="F327:G327"/>
    </sheetView>
  </sheetViews>
  <sheetFormatPr defaultRowHeight="12.75" x14ac:dyDescent="0.2"/>
  <cols>
    <col min="1" max="1" width="11.5703125" style="1" customWidth="1"/>
    <col min="2" max="2" width="6" style="2" customWidth="1"/>
    <col min="3" max="3" width="15.5703125" style="2" customWidth="1"/>
    <col min="4" max="4" width="24.5703125" style="1" bestFit="1" customWidth="1"/>
    <col min="5" max="5" width="32.28515625" style="1" customWidth="1"/>
    <col min="6" max="7" width="29.28515625" style="1" customWidth="1"/>
    <col min="8" max="8" width="38.140625" style="1" customWidth="1"/>
    <col min="9" max="9" width="34.28515625" style="1" customWidth="1"/>
    <col min="10" max="10" width="21.140625" style="1" customWidth="1"/>
    <col min="11" max="11" width="28.42578125" style="1" customWidth="1"/>
    <col min="12" max="12" width="25" style="1" customWidth="1"/>
    <col min="13" max="13" width="27" style="1" customWidth="1"/>
    <col min="14" max="14" width="33.140625" style="1" customWidth="1"/>
    <col min="15" max="15" width="28.5703125" style="1" customWidth="1"/>
    <col min="16" max="18" width="33.85546875" style="1" customWidth="1"/>
    <col min="19" max="21" width="31.85546875" style="1" customWidth="1"/>
    <col min="22" max="22" width="18.5703125" style="1" customWidth="1"/>
    <col min="23" max="23" width="16.5703125" style="1" customWidth="1"/>
    <col min="24" max="24" width="18" style="1" customWidth="1"/>
    <col min="25" max="25" width="18.140625" style="1" customWidth="1"/>
    <col min="26" max="26" width="16.7109375" style="1" customWidth="1"/>
    <col min="27" max="34" width="9.140625" style="1"/>
    <col min="35" max="35" width="21.5703125" style="1" customWidth="1"/>
    <col min="36" max="36" width="18.85546875" style="1" bestFit="1" customWidth="1"/>
    <col min="37" max="37" width="16.85546875" style="1" bestFit="1" customWidth="1"/>
    <col min="38" max="38" width="15.85546875" style="1" bestFit="1" customWidth="1"/>
    <col min="39" max="39" width="14.85546875" style="1" bestFit="1" customWidth="1"/>
    <col min="40" max="40" width="15.5703125" style="1" bestFit="1" customWidth="1"/>
    <col min="41" max="41" width="37.42578125" style="1" bestFit="1" customWidth="1"/>
    <col min="42" max="16384" width="9.140625" style="1"/>
  </cols>
  <sheetData>
    <row r="1" spans="1:41" x14ac:dyDescent="0.2">
      <c r="A1" s="1" t="s">
        <v>352</v>
      </c>
      <c r="B1" s="2" t="s">
        <v>797</v>
      </c>
      <c r="C1" s="2" t="s">
        <v>353</v>
      </c>
      <c r="D1" s="1" t="s">
        <v>354</v>
      </c>
      <c r="E1" s="1" t="s">
        <v>355</v>
      </c>
      <c r="F1" s="1" t="s">
        <v>356</v>
      </c>
      <c r="G1" s="1" t="s">
        <v>841</v>
      </c>
      <c r="H1" s="1" t="s">
        <v>357</v>
      </c>
      <c r="I1" s="1" t="s">
        <v>358</v>
      </c>
      <c r="J1" s="1" t="s">
        <v>367</v>
      </c>
      <c r="K1" s="1" t="s">
        <v>368</v>
      </c>
      <c r="L1" s="1" t="s">
        <v>369</v>
      </c>
      <c r="M1" s="1" t="s">
        <v>360</v>
      </c>
      <c r="N1" s="1" t="s">
        <v>707</v>
      </c>
      <c r="O1" s="1" t="s">
        <v>361</v>
      </c>
      <c r="P1" s="1" t="s">
        <v>362</v>
      </c>
      <c r="Q1" s="1" t="s">
        <v>363</v>
      </c>
      <c r="R1" s="1" t="s">
        <v>364</v>
      </c>
      <c r="S1" s="1" t="s">
        <v>365</v>
      </c>
      <c r="T1" s="1" t="s">
        <v>366</v>
      </c>
      <c r="U1" s="1" t="s">
        <v>370</v>
      </c>
      <c r="V1" s="1" t="s">
        <v>371</v>
      </c>
      <c r="W1" s="1" t="s">
        <v>372</v>
      </c>
      <c r="X1" s="1" t="s">
        <v>373</v>
      </c>
      <c r="Y1" s="1" t="s">
        <v>374</v>
      </c>
      <c r="Z1" s="1" t="s">
        <v>375</v>
      </c>
      <c r="AA1" s="5" t="s">
        <v>376</v>
      </c>
      <c r="AB1" s="5" t="s">
        <v>377</v>
      </c>
      <c r="AC1" s="5" t="s">
        <v>378</v>
      </c>
      <c r="AD1" s="5" t="s">
        <v>379</v>
      </c>
      <c r="AE1" s="5" t="s">
        <v>728</v>
      </c>
      <c r="AF1" s="5" t="s">
        <v>729</v>
      </c>
      <c r="AG1" s="5" t="s">
        <v>730</v>
      </c>
      <c r="AH1" s="5" t="s">
        <v>731</v>
      </c>
      <c r="AI1" s="5" t="s">
        <v>732</v>
      </c>
      <c r="AJ1" s="5" t="s">
        <v>733</v>
      </c>
      <c r="AK1" s="5" t="s">
        <v>734</v>
      </c>
      <c r="AL1" s="5" t="s">
        <v>735</v>
      </c>
      <c r="AM1" s="5" t="s">
        <v>736</v>
      </c>
      <c r="AN1" s="5" t="s">
        <v>737</v>
      </c>
      <c r="AO1" s="151" t="s">
        <v>790</v>
      </c>
    </row>
    <row r="2" spans="1:41" x14ac:dyDescent="0.2">
      <c r="A2" s="1">
        <v>2024</v>
      </c>
      <c r="B2" s="2" t="s">
        <v>19</v>
      </c>
      <c r="C2" s="2" t="s">
        <v>19</v>
      </c>
      <c r="D2" s="1" t="s">
        <v>0</v>
      </c>
      <c r="E2" s="3">
        <v>3893298</v>
      </c>
      <c r="F2" s="1">
        <v>763</v>
      </c>
      <c r="G2" s="1">
        <v>0</v>
      </c>
      <c r="H2" s="3">
        <v>15767</v>
      </c>
      <c r="I2" s="1">
        <v>0</v>
      </c>
      <c r="J2" s="3">
        <v>3892535</v>
      </c>
      <c r="K2" s="3">
        <v>3876768</v>
      </c>
      <c r="L2" s="3">
        <v>3876768</v>
      </c>
      <c r="M2" s="3">
        <v>174842</v>
      </c>
      <c r="N2" s="3">
        <v>468434</v>
      </c>
      <c r="O2" s="3">
        <v>45707</v>
      </c>
      <c r="P2" s="3">
        <v>50814</v>
      </c>
      <c r="Q2" s="3">
        <v>252959</v>
      </c>
      <c r="R2" s="3">
        <v>2899779</v>
      </c>
      <c r="S2" s="3">
        <v>2884012</v>
      </c>
      <c r="T2" s="3">
        <v>2884012</v>
      </c>
      <c r="U2" s="3">
        <v>389254</v>
      </c>
      <c r="V2" s="3">
        <v>389254</v>
      </c>
      <c r="W2" s="3">
        <v>389254</v>
      </c>
      <c r="X2" s="3">
        <v>389254</v>
      </c>
      <c r="Y2" s="3">
        <v>386625</v>
      </c>
      <c r="Z2" s="3">
        <v>386625</v>
      </c>
      <c r="AA2" s="4">
        <v>386626</v>
      </c>
      <c r="AB2" s="4">
        <v>386626</v>
      </c>
      <c r="AC2" s="4">
        <v>386626</v>
      </c>
      <c r="AD2" s="4">
        <v>386624</v>
      </c>
      <c r="AE2" s="4">
        <v>389254</v>
      </c>
      <c r="AF2" s="4">
        <v>778508</v>
      </c>
      <c r="AG2" s="4">
        <v>1167762</v>
      </c>
      <c r="AH2" s="4">
        <v>1557016</v>
      </c>
      <c r="AI2" s="4">
        <v>1943641</v>
      </c>
      <c r="AJ2" s="4">
        <v>2330266</v>
      </c>
      <c r="AK2" s="4">
        <v>2716892</v>
      </c>
      <c r="AL2" s="4">
        <v>3103518</v>
      </c>
      <c r="AM2" s="4">
        <v>3490144</v>
      </c>
      <c r="AN2" s="4">
        <v>3876768</v>
      </c>
      <c r="AO2" s="150">
        <v>343348</v>
      </c>
    </row>
    <row r="3" spans="1:41" x14ac:dyDescent="0.2">
      <c r="A3" s="1">
        <v>2024</v>
      </c>
      <c r="B3" s="2" t="s">
        <v>20</v>
      </c>
      <c r="C3" s="2" t="s">
        <v>20</v>
      </c>
      <c r="D3" s="1" t="s">
        <v>380</v>
      </c>
      <c r="E3" s="3">
        <v>1934210</v>
      </c>
      <c r="F3" s="1">
        <v>299</v>
      </c>
      <c r="G3" s="1">
        <v>0</v>
      </c>
      <c r="H3" s="3">
        <v>7036</v>
      </c>
      <c r="I3" s="3">
        <v>0</v>
      </c>
      <c r="J3" s="3">
        <v>1933911</v>
      </c>
      <c r="K3" s="3">
        <v>1926875</v>
      </c>
      <c r="L3" s="3">
        <v>1926875</v>
      </c>
      <c r="M3" s="3">
        <v>68416</v>
      </c>
      <c r="N3" s="3">
        <v>216643</v>
      </c>
      <c r="O3" s="3">
        <v>24155</v>
      </c>
      <c r="P3" s="3">
        <v>21907</v>
      </c>
      <c r="Q3" s="3">
        <v>112881</v>
      </c>
      <c r="R3" s="3">
        <v>1489909</v>
      </c>
      <c r="S3" s="3">
        <v>1482873</v>
      </c>
      <c r="T3" s="3">
        <v>1482873</v>
      </c>
      <c r="U3" s="3">
        <v>193391</v>
      </c>
      <c r="V3" s="3">
        <v>193391</v>
      </c>
      <c r="W3" s="3">
        <v>193391</v>
      </c>
      <c r="X3" s="3">
        <v>193391</v>
      </c>
      <c r="Y3" s="3">
        <v>192219</v>
      </c>
      <c r="Z3" s="3">
        <v>192219</v>
      </c>
      <c r="AA3" s="4">
        <v>192218</v>
      </c>
      <c r="AB3" s="4">
        <v>192218</v>
      </c>
      <c r="AC3" s="4">
        <v>192218</v>
      </c>
      <c r="AD3" s="4">
        <v>192219</v>
      </c>
      <c r="AE3" s="4">
        <v>193391</v>
      </c>
      <c r="AF3" s="4">
        <v>386782</v>
      </c>
      <c r="AG3" s="4">
        <v>580173</v>
      </c>
      <c r="AH3" s="4">
        <v>773564</v>
      </c>
      <c r="AI3" s="4">
        <v>965783</v>
      </c>
      <c r="AJ3" s="4">
        <v>1158002</v>
      </c>
      <c r="AK3" s="4">
        <v>1350220</v>
      </c>
      <c r="AL3" s="4">
        <v>1542438</v>
      </c>
      <c r="AM3" s="4">
        <v>1734656</v>
      </c>
      <c r="AN3" s="4">
        <v>1926875</v>
      </c>
      <c r="AO3" s="150">
        <v>144388</v>
      </c>
    </row>
    <row r="4" spans="1:41" x14ac:dyDescent="0.2">
      <c r="A4" s="1">
        <v>2024</v>
      </c>
      <c r="B4" s="2" t="s">
        <v>21</v>
      </c>
      <c r="C4" s="2" t="s">
        <v>21</v>
      </c>
      <c r="D4" s="1" t="s">
        <v>381</v>
      </c>
      <c r="E4" s="3">
        <v>15581793</v>
      </c>
      <c r="F4" s="1">
        <v>564</v>
      </c>
      <c r="G4" s="1">
        <v>0</v>
      </c>
      <c r="H4" s="3">
        <v>48947</v>
      </c>
      <c r="I4" s="1">
        <v>0</v>
      </c>
      <c r="J4" s="3">
        <v>15581229</v>
      </c>
      <c r="K4" s="3">
        <v>15532282</v>
      </c>
      <c r="L4" s="3">
        <v>15532282</v>
      </c>
      <c r="M4" s="3">
        <v>129231</v>
      </c>
      <c r="N4" s="3">
        <v>1419094</v>
      </c>
      <c r="O4" s="3">
        <v>161394</v>
      </c>
      <c r="P4" s="3">
        <v>154362</v>
      </c>
      <c r="Q4" s="3">
        <v>785301</v>
      </c>
      <c r="R4" s="3">
        <v>12931847</v>
      </c>
      <c r="S4" s="3">
        <v>12882900</v>
      </c>
      <c r="T4" s="3">
        <v>12882900</v>
      </c>
      <c r="U4" s="3">
        <v>1558123</v>
      </c>
      <c r="V4" s="3">
        <v>1558123</v>
      </c>
      <c r="W4" s="3">
        <v>1558123</v>
      </c>
      <c r="X4" s="3">
        <v>1558123</v>
      </c>
      <c r="Y4" s="3">
        <v>1549965</v>
      </c>
      <c r="Z4" s="3">
        <v>1549965</v>
      </c>
      <c r="AA4" s="4">
        <v>1549965</v>
      </c>
      <c r="AB4" s="4">
        <v>1549965</v>
      </c>
      <c r="AC4" s="4">
        <v>1549965</v>
      </c>
      <c r="AD4" s="4">
        <v>1549965</v>
      </c>
      <c r="AE4" s="4">
        <v>1558123</v>
      </c>
      <c r="AF4" s="4">
        <v>3116246</v>
      </c>
      <c r="AG4" s="4">
        <v>4674369</v>
      </c>
      <c r="AH4" s="4">
        <v>6232492</v>
      </c>
      <c r="AI4" s="4">
        <v>7782457</v>
      </c>
      <c r="AJ4" s="4">
        <v>9332422</v>
      </c>
      <c r="AK4" s="4">
        <v>10882387</v>
      </c>
      <c r="AL4" s="4">
        <v>12432352</v>
      </c>
      <c r="AM4" s="4">
        <v>13982317</v>
      </c>
      <c r="AN4" s="4">
        <v>15532282</v>
      </c>
      <c r="AO4" s="150">
        <v>1044539</v>
      </c>
    </row>
    <row r="5" spans="1:41" x14ac:dyDescent="0.2">
      <c r="A5" s="1">
        <v>2024</v>
      </c>
      <c r="B5" s="2" t="s">
        <v>22</v>
      </c>
      <c r="C5" s="2" t="s">
        <v>22</v>
      </c>
      <c r="D5" s="1" t="s">
        <v>382</v>
      </c>
      <c r="E5" s="3">
        <v>3986620</v>
      </c>
      <c r="F5" s="1">
        <v>398</v>
      </c>
      <c r="G5" s="1">
        <v>0</v>
      </c>
      <c r="H5" s="3">
        <v>12753</v>
      </c>
      <c r="I5" s="1">
        <v>0</v>
      </c>
      <c r="J5" s="3">
        <v>3986222</v>
      </c>
      <c r="K5" s="3">
        <v>3973469</v>
      </c>
      <c r="L5" s="3">
        <v>3973469</v>
      </c>
      <c r="M5" s="3">
        <v>91222</v>
      </c>
      <c r="N5" s="3">
        <v>386647</v>
      </c>
      <c r="O5" s="3">
        <v>43245</v>
      </c>
      <c r="P5" s="3">
        <v>44227</v>
      </c>
      <c r="Q5" s="3">
        <v>204608</v>
      </c>
      <c r="R5" s="3">
        <v>3216273</v>
      </c>
      <c r="S5" s="3">
        <v>3203520</v>
      </c>
      <c r="T5" s="3">
        <v>3203520</v>
      </c>
      <c r="U5" s="3">
        <v>398622</v>
      </c>
      <c r="V5" s="3">
        <v>398622</v>
      </c>
      <c r="W5" s="3">
        <v>398622</v>
      </c>
      <c r="X5" s="3">
        <v>398622</v>
      </c>
      <c r="Y5" s="3">
        <v>396497</v>
      </c>
      <c r="Z5" s="3">
        <v>396497</v>
      </c>
      <c r="AA5" s="4">
        <v>396497</v>
      </c>
      <c r="AB5" s="4">
        <v>396497</v>
      </c>
      <c r="AC5" s="4">
        <v>396497</v>
      </c>
      <c r="AD5" s="4">
        <v>396496</v>
      </c>
      <c r="AE5" s="4">
        <v>398622</v>
      </c>
      <c r="AF5" s="4">
        <v>797244</v>
      </c>
      <c r="AG5" s="4">
        <v>1195866</v>
      </c>
      <c r="AH5" s="4">
        <v>1594488</v>
      </c>
      <c r="AI5" s="4">
        <v>1990985</v>
      </c>
      <c r="AJ5" s="4">
        <v>2387482</v>
      </c>
      <c r="AK5" s="4">
        <v>2783979</v>
      </c>
      <c r="AL5" s="4">
        <v>3180476</v>
      </c>
      <c r="AM5" s="4">
        <v>3576973</v>
      </c>
      <c r="AN5" s="4">
        <v>3973469</v>
      </c>
      <c r="AO5" s="150">
        <v>280042</v>
      </c>
    </row>
    <row r="6" spans="1:41" x14ac:dyDescent="0.2">
      <c r="A6" s="1">
        <v>2024</v>
      </c>
      <c r="B6" s="2" t="s">
        <v>23</v>
      </c>
      <c r="C6" s="2" t="s">
        <v>23</v>
      </c>
      <c r="D6" s="1" t="s">
        <v>383</v>
      </c>
      <c r="E6" s="3">
        <v>1023830</v>
      </c>
      <c r="F6" s="1">
        <v>199</v>
      </c>
      <c r="G6" s="1">
        <v>0</v>
      </c>
      <c r="H6" s="3">
        <v>4815</v>
      </c>
      <c r="I6" s="3">
        <v>0</v>
      </c>
      <c r="J6" s="3">
        <v>1023631</v>
      </c>
      <c r="K6" s="3">
        <v>1018816</v>
      </c>
      <c r="L6" s="3">
        <v>1018816</v>
      </c>
      <c r="M6" s="3">
        <v>45611</v>
      </c>
      <c r="N6" s="3">
        <v>120382</v>
      </c>
      <c r="O6" s="3">
        <v>11142</v>
      </c>
      <c r="P6" s="3">
        <v>10652</v>
      </c>
      <c r="Q6" s="3">
        <v>77244</v>
      </c>
      <c r="R6" s="3">
        <v>758600</v>
      </c>
      <c r="S6" s="3">
        <v>753785</v>
      </c>
      <c r="T6" s="3">
        <v>753785</v>
      </c>
      <c r="U6" s="3">
        <v>102363</v>
      </c>
      <c r="V6" s="3">
        <v>102363</v>
      </c>
      <c r="W6" s="3">
        <v>102363</v>
      </c>
      <c r="X6" s="3">
        <v>102363</v>
      </c>
      <c r="Y6" s="3">
        <v>101561</v>
      </c>
      <c r="Z6" s="3">
        <v>101561</v>
      </c>
      <c r="AA6" s="4">
        <v>101561</v>
      </c>
      <c r="AB6" s="4">
        <v>101561</v>
      </c>
      <c r="AC6" s="4">
        <v>101561</v>
      </c>
      <c r="AD6" s="4">
        <v>101559</v>
      </c>
      <c r="AE6" s="4">
        <v>102363</v>
      </c>
      <c r="AF6" s="4">
        <v>204726</v>
      </c>
      <c r="AG6" s="4">
        <v>307089</v>
      </c>
      <c r="AH6" s="4">
        <v>409452</v>
      </c>
      <c r="AI6" s="4">
        <v>511013</v>
      </c>
      <c r="AJ6" s="4">
        <v>612574</v>
      </c>
      <c r="AK6" s="4">
        <v>714135</v>
      </c>
      <c r="AL6" s="4">
        <v>815696</v>
      </c>
      <c r="AM6" s="4">
        <v>917257</v>
      </c>
      <c r="AN6" s="4">
        <v>1018816</v>
      </c>
      <c r="AO6" s="150">
        <v>99983</v>
      </c>
    </row>
    <row r="7" spans="1:41" x14ac:dyDescent="0.2">
      <c r="A7" s="1">
        <v>2024</v>
      </c>
      <c r="B7" s="2" t="s">
        <v>24</v>
      </c>
      <c r="C7" s="2" t="s">
        <v>24</v>
      </c>
      <c r="D7" s="1" t="s">
        <v>384</v>
      </c>
      <c r="E7" s="3">
        <v>8269346</v>
      </c>
      <c r="F7" s="3">
        <v>846</v>
      </c>
      <c r="G7" s="3">
        <v>0</v>
      </c>
      <c r="H7" s="3">
        <v>25253</v>
      </c>
      <c r="I7" s="3">
        <v>0</v>
      </c>
      <c r="J7" s="3">
        <v>8268500</v>
      </c>
      <c r="K7" s="3">
        <v>8243247</v>
      </c>
      <c r="L7" s="3">
        <v>8243247</v>
      </c>
      <c r="M7" s="3">
        <v>193847</v>
      </c>
      <c r="N7" s="3">
        <v>710439</v>
      </c>
      <c r="O7" s="3">
        <v>80389</v>
      </c>
      <c r="P7" s="3">
        <v>82103</v>
      </c>
      <c r="Q7" s="3">
        <v>408858</v>
      </c>
      <c r="R7" s="3">
        <v>6792864</v>
      </c>
      <c r="S7" s="3">
        <v>6767611</v>
      </c>
      <c r="T7" s="3">
        <v>6767611</v>
      </c>
      <c r="U7" s="3">
        <v>826850</v>
      </c>
      <c r="V7" s="3">
        <v>826850</v>
      </c>
      <c r="W7" s="3">
        <v>826850</v>
      </c>
      <c r="X7" s="3">
        <v>826850</v>
      </c>
      <c r="Y7" s="3">
        <v>822641</v>
      </c>
      <c r="Z7" s="3">
        <v>822641</v>
      </c>
      <c r="AA7" s="4">
        <v>822641</v>
      </c>
      <c r="AB7" s="4">
        <v>822641</v>
      </c>
      <c r="AC7" s="4">
        <v>822641</v>
      </c>
      <c r="AD7" s="4">
        <v>822642</v>
      </c>
      <c r="AE7" s="4">
        <v>826850</v>
      </c>
      <c r="AF7" s="4">
        <v>1653700</v>
      </c>
      <c r="AG7" s="4">
        <v>2480550</v>
      </c>
      <c r="AH7" s="4">
        <v>3307400</v>
      </c>
      <c r="AI7" s="4">
        <v>4130041</v>
      </c>
      <c r="AJ7" s="4">
        <v>4952682</v>
      </c>
      <c r="AK7" s="4">
        <v>5775323</v>
      </c>
      <c r="AL7" s="4">
        <v>6597964</v>
      </c>
      <c r="AM7" s="4">
        <v>7420605</v>
      </c>
      <c r="AN7" s="4">
        <v>8243247</v>
      </c>
      <c r="AO7" s="150">
        <v>524239</v>
      </c>
    </row>
    <row r="8" spans="1:41" x14ac:dyDescent="0.2">
      <c r="A8" s="1">
        <v>2024</v>
      </c>
      <c r="B8" s="2" t="s">
        <v>25</v>
      </c>
      <c r="C8" s="2" t="s">
        <v>25</v>
      </c>
      <c r="D8" s="1" t="s">
        <v>385</v>
      </c>
      <c r="E8" s="3">
        <v>3322386</v>
      </c>
      <c r="F8" s="3">
        <v>531</v>
      </c>
      <c r="G8" s="3">
        <v>0</v>
      </c>
      <c r="H8" s="3">
        <v>12094</v>
      </c>
      <c r="I8" s="1">
        <v>0</v>
      </c>
      <c r="J8" s="3">
        <v>3321855</v>
      </c>
      <c r="K8" s="3">
        <v>3309761</v>
      </c>
      <c r="L8" s="3">
        <v>3309761</v>
      </c>
      <c r="M8" s="3">
        <v>121629</v>
      </c>
      <c r="N8" s="3">
        <v>348548</v>
      </c>
      <c r="O8" s="3">
        <v>34623</v>
      </c>
      <c r="P8" s="3">
        <v>40146</v>
      </c>
      <c r="Q8" s="3">
        <v>194031</v>
      </c>
      <c r="R8" s="3">
        <v>2582878</v>
      </c>
      <c r="S8" s="3">
        <v>2570784</v>
      </c>
      <c r="T8" s="3">
        <v>2570784</v>
      </c>
      <c r="U8" s="3">
        <v>332186</v>
      </c>
      <c r="V8" s="3">
        <v>332186</v>
      </c>
      <c r="W8" s="3">
        <v>332186</v>
      </c>
      <c r="X8" s="3">
        <v>332186</v>
      </c>
      <c r="Y8" s="3">
        <v>330170</v>
      </c>
      <c r="Z8" s="3">
        <v>330170</v>
      </c>
      <c r="AA8" s="4">
        <v>330169</v>
      </c>
      <c r="AB8" s="4">
        <v>330169</v>
      </c>
      <c r="AC8" s="4">
        <v>330169</v>
      </c>
      <c r="AD8" s="4">
        <v>330170</v>
      </c>
      <c r="AE8" s="4">
        <v>332186</v>
      </c>
      <c r="AF8" s="4">
        <v>664372</v>
      </c>
      <c r="AG8" s="4">
        <v>996558</v>
      </c>
      <c r="AH8" s="4">
        <v>1328744</v>
      </c>
      <c r="AI8" s="4">
        <v>1658914</v>
      </c>
      <c r="AJ8" s="4">
        <v>1989084</v>
      </c>
      <c r="AK8" s="4">
        <v>2319253</v>
      </c>
      <c r="AL8" s="4">
        <v>2649422</v>
      </c>
      <c r="AM8" s="4">
        <v>2979591</v>
      </c>
      <c r="AN8" s="4">
        <v>3309761</v>
      </c>
      <c r="AO8" s="150">
        <v>241715</v>
      </c>
    </row>
    <row r="9" spans="1:41" x14ac:dyDescent="0.2">
      <c r="A9" s="1">
        <v>2024</v>
      </c>
      <c r="B9" s="2" t="s">
        <v>26</v>
      </c>
      <c r="C9" s="2" t="s">
        <v>26</v>
      </c>
      <c r="D9" s="1" t="s">
        <v>386</v>
      </c>
      <c r="E9" s="3">
        <v>1616661</v>
      </c>
      <c r="F9" s="1">
        <v>133</v>
      </c>
      <c r="G9" s="1">
        <v>0</v>
      </c>
      <c r="H9" s="3">
        <v>6287</v>
      </c>
      <c r="I9" s="1">
        <v>0</v>
      </c>
      <c r="J9" s="3">
        <v>1616528</v>
      </c>
      <c r="K9" s="3">
        <v>1610241</v>
      </c>
      <c r="L9" s="3">
        <v>1610241</v>
      </c>
      <c r="M9" s="3">
        <v>30407</v>
      </c>
      <c r="N9" s="3">
        <v>191177</v>
      </c>
      <c r="O9" s="3">
        <v>23694</v>
      </c>
      <c r="P9" s="3">
        <v>18532</v>
      </c>
      <c r="Q9" s="3">
        <v>100867</v>
      </c>
      <c r="R9" s="3">
        <v>1251851</v>
      </c>
      <c r="S9" s="3">
        <v>1245564</v>
      </c>
      <c r="T9" s="3">
        <v>1245564</v>
      </c>
      <c r="U9" s="3">
        <v>161653</v>
      </c>
      <c r="V9" s="3">
        <v>161653</v>
      </c>
      <c r="W9" s="3">
        <v>161653</v>
      </c>
      <c r="X9" s="3">
        <v>161653</v>
      </c>
      <c r="Y9" s="3">
        <v>160605</v>
      </c>
      <c r="Z9" s="3">
        <v>160605</v>
      </c>
      <c r="AA9" s="4">
        <v>160605</v>
      </c>
      <c r="AB9" s="4">
        <v>160605</v>
      </c>
      <c r="AC9" s="4">
        <v>160605</v>
      </c>
      <c r="AD9" s="4">
        <v>160604</v>
      </c>
      <c r="AE9" s="4">
        <v>161653</v>
      </c>
      <c r="AF9" s="4">
        <v>323306</v>
      </c>
      <c r="AG9" s="4">
        <v>484959</v>
      </c>
      <c r="AH9" s="4">
        <v>646612</v>
      </c>
      <c r="AI9" s="4">
        <v>807217</v>
      </c>
      <c r="AJ9" s="4">
        <v>967822</v>
      </c>
      <c r="AK9" s="4">
        <v>1128427</v>
      </c>
      <c r="AL9" s="4">
        <v>1289032</v>
      </c>
      <c r="AM9" s="4">
        <v>1449637</v>
      </c>
      <c r="AN9" s="4">
        <v>1610241</v>
      </c>
      <c r="AO9" s="150">
        <v>130563</v>
      </c>
    </row>
    <row r="10" spans="1:41" x14ac:dyDescent="0.2">
      <c r="A10" s="1">
        <v>2024</v>
      </c>
      <c r="B10" s="2" t="s">
        <v>27</v>
      </c>
      <c r="C10" s="2" t="s">
        <v>27</v>
      </c>
      <c r="D10" s="1" t="s">
        <v>387</v>
      </c>
      <c r="E10" s="3">
        <v>8879951</v>
      </c>
      <c r="F10" s="3">
        <v>1824</v>
      </c>
      <c r="G10" s="3">
        <v>5345</v>
      </c>
      <c r="H10" s="3">
        <v>33224</v>
      </c>
      <c r="I10" s="1">
        <v>0</v>
      </c>
      <c r="J10" s="3">
        <v>8872782</v>
      </c>
      <c r="K10" s="3">
        <v>8839558</v>
      </c>
      <c r="L10" s="3">
        <v>8839558</v>
      </c>
      <c r="M10" s="3">
        <v>418101</v>
      </c>
      <c r="N10" s="3">
        <v>969580</v>
      </c>
      <c r="O10" s="3">
        <v>95766</v>
      </c>
      <c r="P10" s="3">
        <v>115003</v>
      </c>
      <c r="Q10" s="3">
        <v>533042</v>
      </c>
      <c r="R10" s="3">
        <v>6741290</v>
      </c>
      <c r="S10" s="3">
        <v>6708066</v>
      </c>
      <c r="T10" s="3">
        <v>6708066</v>
      </c>
      <c r="U10" s="3">
        <v>887278</v>
      </c>
      <c r="V10" s="3">
        <v>887278</v>
      </c>
      <c r="W10" s="3">
        <v>887278</v>
      </c>
      <c r="X10" s="3">
        <v>887278</v>
      </c>
      <c r="Y10" s="3">
        <v>881741</v>
      </c>
      <c r="Z10" s="3">
        <v>881741</v>
      </c>
      <c r="AA10" s="4">
        <v>881741</v>
      </c>
      <c r="AB10" s="4">
        <v>881741</v>
      </c>
      <c r="AC10" s="4">
        <v>881741</v>
      </c>
      <c r="AD10" s="4">
        <v>881741</v>
      </c>
      <c r="AE10" s="4">
        <v>887278</v>
      </c>
      <c r="AF10" s="4">
        <v>1774556</v>
      </c>
      <c r="AG10" s="4">
        <v>2661834</v>
      </c>
      <c r="AH10" s="4">
        <v>3549112</v>
      </c>
      <c r="AI10" s="4">
        <v>4430853</v>
      </c>
      <c r="AJ10" s="4">
        <v>5312594</v>
      </c>
      <c r="AK10" s="4">
        <v>6194335</v>
      </c>
      <c r="AL10" s="4">
        <v>7076076</v>
      </c>
      <c r="AM10" s="4">
        <v>7957817</v>
      </c>
      <c r="AN10" s="4">
        <v>8839558</v>
      </c>
      <c r="AO10" s="150">
        <v>743819</v>
      </c>
    </row>
    <row r="11" spans="1:41" x14ac:dyDescent="0.2">
      <c r="A11" s="1">
        <v>2024</v>
      </c>
      <c r="B11" s="2" t="s">
        <v>28</v>
      </c>
      <c r="C11" s="2" t="s">
        <v>28</v>
      </c>
      <c r="D11" s="1" t="s">
        <v>388</v>
      </c>
      <c r="E11" s="3">
        <v>7352379</v>
      </c>
      <c r="F11" s="3">
        <v>1377</v>
      </c>
      <c r="G11" s="3">
        <v>0</v>
      </c>
      <c r="H11" s="3">
        <v>24978</v>
      </c>
      <c r="I11" s="1">
        <v>0</v>
      </c>
      <c r="J11" s="3">
        <v>7351002</v>
      </c>
      <c r="K11" s="3">
        <v>7326024</v>
      </c>
      <c r="L11" s="3">
        <v>7326024</v>
      </c>
      <c r="M11" s="3">
        <v>315476</v>
      </c>
      <c r="N11" s="3">
        <v>702243</v>
      </c>
      <c r="O11" s="3">
        <v>82218</v>
      </c>
      <c r="P11" s="3">
        <v>74911</v>
      </c>
      <c r="Q11" s="3">
        <v>400740</v>
      </c>
      <c r="R11" s="3">
        <v>5775414</v>
      </c>
      <c r="S11" s="3">
        <v>5750436</v>
      </c>
      <c r="T11" s="3">
        <v>5750436</v>
      </c>
      <c r="U11" s="3">
        <v>735100</v>
      </c>
      <c r="V11" s="3">
        <v>735100</v>
      </c>
      <c r="W11" s="3">
        <v>735100</v>
      </c>
      <c r="X11" s="3">
        <v>735100</v>
      </c>
      <c r="Y11" s="3">
        <v>730937</v>
      </c>
      <c r="Z11" s="3">
        <v>730937</v>
      </c>
      <c r="AA11" s="4">
        <v>730938</v>
      </c>
      <c r="AB11" s="4">
        <v>730938</v>
      </c>
      <c r="AC11" s="4">
        <v>730938</v>
      </c>
      <c r="AD11" s="4">
        <v>730936</v>
      </c>
      <c r="AE11" s="4">
        <v>735100</v>
      </c>
      <c r="AF11" s="4">
        <v>1470200</v>
      </c>
      <c r="AG11" s="4">
        <v>2205300</v>
      </c>
      <c r="AH11" s="4">
        <v>2940400</v>
      </c>
      <c r="AI11" s="4">
        <v>3671337</v>
      </c>
      <c r="AJ11" s="4">
        <v>4402274</v>
      </c>
      <c r="AK11" s="4">
        <v>5133212</v>
      </c>
      <c r="AL11" s="4">
        <v>5864150</v>
      </c>
      <c r="AM11" s="4">
        <v>6595088</v>
      </c>
      <c r="AN11" s="4">
        <v>7326024</v>
      </c>
      <c r="AO11" s="150">
        <v>550495</v>
      </c>
    </row>
    <row r="12" spans="1:41" x14ac:dyDescent="0.2">
      <c r="A12" s="1">
        <v>2024</v>
      </c>
      <c r="B12" s="2" t="s">
        <v>29</v>
      </c>
      <c r="C12" s="2" t="s">
        <v>29</v>
      </c>
      <c r="D12" s="1" t="s">
        <v>389</v>
      </c>
      <c r="E12" s="3">
        <v>3539260</v>
      </c>
      <c r="F12" s="3">
        <v>481</v>
      </c>
      <c r="G12" s="3">
        <v>0</v>
      </c>
      <c r="H12" s="3">
        <v>12326</v>
      </c>
      <c r="I12" s="1">
        <v>0</v>
      </c>
      <c r="J12" s="3">
        <v>3538779</v>
      </c>
      <c r="K12" s="3">
        <v>3526453</v>
      </c>
      <c r="L12" s="3">
        <v>3526453</v>
      </c>
      <c r="M12" s="3">
        <v>110227</v>
      </c>
      <c r="N12" s="3">
        <v>407783</v>
      </c>
      <c r="O12" s="3">
        <v>39285</v>
      </c>
      <c r="P12" s="3">
        <v>45681</v>
      </c>
      <c r="Q12" s="3">
        <v>203445</v>
      </c>
      <c r="R12" s="3">
        <v>2732358</v>
      </c>
      <c r="S12" s="3">
        <v>2720032</v>
      </c>
      <c r="T12" s="3">
        <v>2720032</v>
      </c>
      <c r="U12" s="3">
        <v>353878</v>
      </c>
      <c r="V12" s="3">
        <v>353878</v>
      </c>
      <c r="W12" s="3">
        <v>353878</v>
      </c>
      <c r="X12" s="3">
        <v>353878</v>
      </c>
      <c r="Y12" s="3">
        <v>351824</v>
      </c>
      <c r="Z12" s="3">
        <v>351824</v>
      </c>
      <c r="AA12" s="4">
        <v>351823</v>
      </c>
      <c r="AB12" s="4">
        <v>351823</v>
      </c>
      <c r="AC12" s="4">
        <v>351823</v>
      </c>
      <c r="AD12" s="4">
        <v>351824</v>
      </c>
      <c r="AE12" s="4">
        <v>353878</v>
      </c>
      <c r="AF12" s="4">
        <v>707756</v>
      </c>
      <c r="AG12" s="4">
        <v>1061634</v>
      </c>
      <c r="AH12" s="4">
        <v>1415512</v>
      </c>
      <c r="AI12" s="4">
        <v>1767336</v>
      </c>
      <c r="AJ12" s="4">
        <v>2119160</v>
      </c>
      <c r="AK12" s="4">
        <v>2470983</v>
      </c>
      <c r="AL12" s="4">
        <v>2822806</v>
      </c>
      <c r="AM12" s="4">
        <v>3174629</v>
      </c>
      <c r="AN12" s="4">
        <v>3526453</v>
      </c>
      <c r="AO12" s="150">
        <v>266842</v>
      </c>
    </row>
    <row r="13" spans="1:41" x14ac:dyDescent="0.2">
      <c r="A13" s="1">
        <v>2024</v>
      </c>
      <c r="B13" s="2" t="s">
        <v>30</v>
      </c>
      <c r="C13" s="2" t="s">
        <v>30</v>
      </c>
      <c r="D13" s="1" t="s">
        <v>798</v>
      </c>
      <c r="E13" s="3">
        <v>5112632</v>
      </c>
      <c r="F13" s="3">
        <v>630</v>
      </c>
      <c r="G13" s="3">
        <v>0</v>
      </c>
      <c r="H13" s="3">
        <v>20048</v>
      </c>
      <c r="I13" s="1">
        <v>0</v>
      </c>
      <c r="J13" s="3">
        <v>5112002</v>
      </c>
      <c r="K13" s="3">
        <v>5091954</v>
      </c>
      <c r="L13" s="3">
        <v>5091954</v>
      </c>
      <c r="M13" s="3">
        <v>144435</v>
      </c>
      <c r="N13" s="3">
        <v>622367</v>
      </c>
      <c r="O13" s="3">
        <v>75803</v>
      </c>
      <c r="P13" s="3">
        <v>71046</v>
      </c>
      <c r="Q13" s="3">
        <v>321653</v>
      </c>
      <c r="R13" s="3">
        <v>3876698</v>
      </c>
      <c r="S13" s="3">
        <v>3856650</v>
      </c>
      <c r="T13" s="3">
        <v>3856650</v>
      </c>
      <c r="U13" s="3">
        <v>511200</v>
      </c>
      <c r="V13" s="3">
        <v>511200</v>
      </c>
      <c r="W13" s="3">
        <v>511200</v>
      </c>
      <c r="X13" s="3">
        <v>511200</v>
      </c>
      <c r="Y13" s="3">
        <v>507859</v>
      </c>
      <c r="Z13" s="3">
        <v>507859</v>
      </c>
      <c r="AA13" s="4">
        <v>507859</v>
      </c>
      <c r="AB13" s="4">
        <v>507859</v>
      </c>
      <c r="AC13" s="4">
        <v>507859</v>
      </c>
      <c r="AD13" s="4">
        <v>507859</v>
      </c>
      <c r="AE13" s="4">
        <v>511200</v>
      </c>
      <c r="AF13" s="4">
        <v>1022400</v>
      </c>
      <c r="AG13" s="4">
        <v>1533600</v>
      </c>
      <c r="AH13" s="4">
        <v>2044800</v>
      </c>
      <c r="AI13" s="4">
        <v>2552659</v>
      </c>
      <c r="AJ13" s="4">
        <v>3060518</v>
      </c>
      <c r="AK13" s="4">
        <v>3568377</v>
      </c>
      <c r="AL13" s="4">
        <v>4076236</v>
      </c>
      <c r="AM13" s="4">
        <v>4584095</v>
      </c>
      <c r="AN13" s="4">
        <v>5091954</v>
      </c>
      <c r="AO13" s="150">
        <v>425960</v>
      </c>
    </row>
    <row r="14" spans="1:41" x14ac:dyDescent="0.2">
      <c r="A14" s="1">
        <v>2024</v>
      </c>
      <c r="B14" s="2" t="s">
        <v>31</v>
      </c>
      <c r="C14" s="2" t="s">
        <v>31</v>
      </c>
      <c r="D14" s="1" t="s">
        <v>390</v>
      </c>
      <c r="E14" s="3">
        <v>23901823</v>
      </c>
      <c r="F14" s="3">
        <v>3599</v>
      </c>
      <c r="G14" s="3">
        <v>3662</v>
      </c>
      <c r="H14" s="3">
        <v>101978</v>
      </c>
      <c r="I14" s="1">
        <v>0</v>
      </c>
      <c r="J14" s="3">
        <v>23894562</v>
      </c>
      <c r="K14" s="3">
        <v>23792584</v>
      </c>
      <c r="L14" s="3">
        <v>23792584</v>
      </c>
      <c r="M14" s="3">
        <v>824799</v>
      </c>
      <c r="N14" s="3">
        <v>2906207</v>
      </c>
      <c r="O14" s="3">
        <v>327110</v>
      </c>
      <c r="P14" s="3">
        <v>353525</v>
      </c>
      <c r="Q14" s="3">
        <v>1636126</v>
      </c>
      <c r="R14" s="3">
        <v>17846795</v>
      </c>
      <c r="S14" s="3">
        <v>17744817</v>
      </c>
      <c r="T14" s="3">
        <v>17744817</v>
      </c>
      <c r="U14" s="3">
        <v>2389456</v>
      </c>
      <c r="V14" s="3">
        <v>2389456</v>
      </c>
      <c r="W14" s="3">
        <v>2389456</v>
      </c>
      <c r="X14" s="3">
        <v>2389456</v>
      </c>
      <c r="Y14" s="3">
        <v>2372460</v>
      </c>
      <c r="Z14" s="3">
        <v>2372460</v>
      </c>
      <c r="AA14" s="4">
        <v>2372460</v>
      </c>
      <c r="AB14" s="4">
        <v>2372460</v>
      </c>
      <c r="AC14" s="4">
        <v>2372460</v>
      </c>
      <c r="AD14" s="4">
        <v>2372460</v>
      </c>
      <c r="AE14" s="4">
        <v>2389456</v>
      </c>
      <c r="AF14" s="4">
        <v>4778912</v>
      </c>
      <c r="AG14" s="4">
        <v>7168368</v>
      </c>
      <c r="AH14" s="4">
        <v>9557824</v>
      </c>
      <c r="AI14" s="4">
        <v>11930284</v>
      </c>
      <c r="AJ14" s="4">
        <v>14302744</v>
      </c>
      <c r="AK14" s="4">
        <v>16675204</v>
      </c>
      <c r="AL14" s="4">
        <v>19047664</v>
      </c>
      <c r="AM14" s="4">
        <v>21420124</v>
      </c>
      <c r="AN14" s="4">
        <v>23792584</v>
      </c>
      <c r="AO14" s="150">
        <v>2126405</v>
      </c>
    </row>
    <row r="15" spans="1:41" x14ac:dyDescent="0.2">
      <c r="A15" s="1">
        <v>2024</v>
      </c>
      <c r="B15" s="2" t="s">
        <v>32</v>
      </c>
      <c r="C15" s="2" t="s">
        <v>32</v>
      </c>
      <c r="D15" s="1" t="s">
        <v>391</v>
      </c>
      <c r="E15" s="3">
        <v>8893643</v>
      </c>
      <c r="F15" s="3">
        <v>1194</v>
      </c>
      <c r="G15" s="3">
        <v>0</v>
      </c>
      <c r="H15" s="3">
        <v>28853</v>
      </c>
      <c r="I15" s="1">
        <v>0</v>
      </c>
      <c r="J15" s="3">
        <v>8892449</v>
      </c>
      <c r="K15" s="3">
        <v>8863596</v>
      </c>
      <c r="L15" s="3">
        <v>8863596</v>
      </c>
      <c r="M15" s="3">
        <v>273666</v>
      </c>
      <c r="N15" s="3">
        <v>857678</v>
      </c>
      <c r="O15" s="3">
        <v>91570</v>
      </c>
      <c r="P15" s="3">
        <v>101468</v>
      </c>
      <c r="Q15" s="3">
        <v>462911</v>
      </c>
      <c r="R15" s="3">
        <v>7105156</v>
      </c>
      <c r="S15" s="3">
        <v>7076303</v>
      </c>
      <c r="T15" s="3">
        <v>7076303</v>
      </c>
      <c r="U15" s="3">
        <v>889245</v>
      </c>
      <c r="V15" s="3">
        <v>889245</v>
      </c>
      <c r="W15" s="3">
        <v>889245</v>
      </c>
      <c r="X15" s="3">
        <v>889245</v>
      </c>
      <c r="Y15" s="3">
        <v>884436</v>
      </c>
      <c r="Z15" s="3">
        <v>884436</v>
      </c>
      <c r="AA15" s="4">
        <v>884436</v>
      </c>
      <c r="AB15" s="4">
        <v>884436</v>
      </c>
      <c r="AC15" s="4">
        <v>884436</v>
      </c>
      <c r="AD15" s="4">
        <v>884436</v>
      </c>
      <c r="AE15" s="4">
        <v>889245</v>
      </c>
      <c r="AF15" s="4">
        <v>1778490</v>
      </c>
      <c r="AG15" s="4">
        <v>2667735</v>
      </c>
      <c r="AH15" s="4">
        <v>3556980</v>
      </c>
      <c r="AI15" s="4">
        <v>4441416</v>
      </c>
      <c r="AJ15" s="4">
        <v>5325852</v>
      </c>
      <c r="AK15" s="4">
        <v>6210288</v>
      </c>
      <c r="AL15" s="4">
        <v>7094724</v>
      </c>
      <c r="AM15" s="4">
        <v>7979160</v>
      </c>
      <c r="AN15" s="4">
        <v>8863596</v>
      </c>
      <c r="AO15" s="150">
        <v>602151</v>
      </c>
    </row>
    <row r="16" spans="1:41" x14ac:dyDescent="0.2">
      <c r="A16" s="1">
        <v>2024</v>
      </c>
      <c r="B16" s="2" t="s">
        <v>33</v>
      </c>
      <c r="C16" s="2" t="s">
        <v>33</v>
      </c>
      <c r="D16" s="1" t="s">
        <v>392</v>
      </c>
      <c r="E16" s="3">
        <v>1591773</v>
      </c>
      <c r="F16" s="1">
        <v>182</v>
      </c>
      <c r="G16" s="1">
        <v>0</v>
      </c>
      <c r="H16" s="3">
        <v>5352</v>
      </c>
      <c r="I16" s="1">
        <v>0</v>
      </c>
      <c r="J16" s="3">
        <v>1591591</v>
      </c>
      <c r="K16" s="3">
        <v>1586239</v>
      </c>
      <c r="L16" s="3">
        <v>1586239</v>
      </c>
      <c r="M16" s="3">
        <v>41811</v>
      </c>
      <c r="N16" s="3">
        <v>162888</v>
      </c>
      <c r="O16" s="3">
        <v>20509</v>
      </c>
      <c r="P16" s="3">
        <v>17999</v>
      </c>
      <c r="Q16" s="3">
        <v>85867</v>
      </c>
      <c r="R16" s="3">
        <v>1262517</v>
      </c>
      <c r="S16" s="3">
        <v>1257165</v>
      </c>
      <c r="T16" s="3">
        <v>1257165</v>
      </c>
      <c r="U16" s="3">
        <v>159159</v>
      </c>
      <c r="V16" s="3">
        <v>159159</v>
      </c>
      <c r="W16" s="3">
        <v>159159</v>
      </c>
      <c r="X16" s="3">
        <v>159159</v>
      </c>
      <c r="Y16" s="3">
        <v>158267</v>
      </c>
      <c r="Z16" s="3">
        <v>158267</v>
      </c>
      <c r="AA16" s="4">
        <v>158267</v>
      </c>
      <c r="AB16" s="4">
        <v>158267</v>
      </c>
      <c r="AC16" s="4">
        <v>158267</v>
      </c>
      <c r="AD16" s="4">
        <v>158268</v>
      </c>
      <c r="AE16" s="4">
        <v>159159</v>
      </c>
      <c r="AF16" s="4">
        <v>318318</v>
      </c>
      <c r="AG16" s="4">
        <v>477477</v>
      </c>
      <c r="AH16" s="4">
        <v>636636</v>
      </c>
      <c r="AI16" s="4">
        <v>794903</v>
      </c>
      <c r="AJ16" s="4">
        <v>953170</v>
      </c>
      <c r="AK16" s="4">
        <v>1111437</v>
      </c>
      <c r="AL16" s="4">
        <v>1269704</v>
      </c>
      <c r="AM16" s="4">
        <v>1427971</v>
      </c>
      <c r="AN16" s="4">
        <v>1586239</v>
      </c>
      <c r="AO16" s="150">
        <v>113808</v>
      </c>
    </row>
    <row r="17" spans="1:41" x14ac:dyDescent="0.2">
      <c r="A17" s="1">
        <v>2024</v>
      </c>
      <c r="B17" s="2" t="s">
        <v>34</v>
      </c>
      <c r="C17" s="2" t="s">
        <v>34</v>
      </c>
      <c r="D17" s="1" t="s">
        <v>393</v>
      </c>
      <c r="E17" s="3">
        <v>85869167</v>
      </c>
      <c r="F17" s="3">
        <v>4395</v>
      </c>
      <c r="G17" s="3">
        <v>56526</v>
      </c>
      <c r="H17" s="3">
        <v>291063</v>
      </c>
      <c r="I17" s="1">
        <v>0</v>
      </c>
      <c r="J17" s="3">
        <v>85808246</v>
      </c>
      <c r="K17" s="3">
        <v>85517183</v>
      </c>
      <c r="L17" s="3">
        <v>85517183</v>
      </c>
      <c r="M17" s="3">
        <v>1007243</v>
      </c>
      <c r="N17" s="3">
        <v>7645162</v>
      </c>
      <c r="O17" s="3">
        <v>890293</v>
      </c>
      <c r="P17" s="3">
        <v>845056</v>
      </c>
      <c r="Q17" s="3">
        <v>4669791</v>
      </c>
      <c r="R17" s="3">
        <v>70750701</v>
      </c>
      <c r="S17" s="3">
        <v>70459638</v>
      </c>
      <c r="T17" s="3">
        <v>70459638</v>
      </c>
      <c r="U17" s="3">
        <v>8580825</v>
      </c>
      <c r="V17" s="3">
        <v>8580825</v>
      </c>
      <c r="W17" s="3">
        <v>8580825</v>
      </c>
      <c r="X17" s="3">
        <v>8580825</v>
      </c>
      <c r="Y17" s="3">
        <v>8532314</v>
      </c>
      <c r="Z17" s="3">
        <v>8532314</v>
      </c>
      <c r="AA17" s="4">
        <v>8532314</v>
      </c>
      <c r="AB17" s="4">
        <v>8532314</v>
      </c>
      <c r="AC17" s="4">
        <v>8532314</v>
      </c>
      <c r="AD17" s="4">
        <v>8532313</v>
      </c>
      <c r="AE17" s="4">
        <v>8580825</v>
      </c>
      <c r="AF17" s="4">
        <v>17161650</v>
      </c>
      <c r="AG17" s="4">
        <v>25742475</v>
      </c>
      <c r="AH17" s="4">
        <v>34323300</v>
      </c>
      <c r="AI17" s="4">
        <v>42855614</v>
      </c>
      <c r="AJ17" s="4">
        <v>51387928</v>
      </c>
      <c r="AK17" s="4">
        <v>59920242</v>
      </c>
      <c r="AL17" s="4">
        <v>68452556</v>
      </c>
      <c r="AM17" s="4">
        <v>76984870</v>
      </c>
      <c r="AN17" s="4">
        <v>85517183</v>
      </c>
      <c r="AO17" s="150">
        <v>6464711</v>
      </c>
    </row>
    <row r="18" spans="1:41" x14ac:dyDescent="0.2">
      <c r="A18" s="1">
        <v>2024</v>
      </c>
      <c r="B18" s="2" t="s">
        <v>35</v>
      </c>
      <c r="C18" s="2" t="s">
        <v>35</v>
      </c>
      <c r="D18" s="1" t="s">
        <v>394</v>
      </c>
      <c r="E18" s="3">
        <v>5774672</v>
      </c>
      <c r="F18" s="1">
        <v>564</v>
      </c>
      <c r="G18" s="1">
        <v>0</v>
      </c>
      <c r="H18" s="3">
        <v>18679</v>
      </c>
      <c r="I18" s="1">
        <v>0</v>
      </c>
      <c r="J18" s="3">
        <v>5774108</v>
      </c>
      <c r="K18" s="3">
        <v>5755429</v>
      </c>
      <c r="L18" s="3">
        <v>5755429</v>
      </c>
      <c r="M18" s="3">
        <v>129231</v>
      </c>
      <c r="N18" s="3">
        <v>553960</v>
      </c>
      <c r="O18" s="3">
        <v>72123</v>
      </c>
      <c r="P18" s="3">
        <v>61893</v>
      </c>
      <c r="Q18" s="3">
        <v>299689</v>
      </c>
      <c r="R18" s="3">
        <v>4657212</v>
      </c>
      <c r="S18" s="3">
        <v>4638533</v>
      </c>
      <c r="T18" s="3">
        <v>4638533</v>
      </c>
      <c r="U18" s="3">
        <v>577411</v>
      </c>
      <c r="V18" s="3">
        <v>577411</v>
      </c>
      <c r="W18" s="3">
        <v>577411</v>
      </c>
      <c r="X18" s="3">
        <v>577411</v>
      </c>
      <c r="Y18" s="3">
        <v>574298</v>
      </c>
      <c r="Z18" s="3">
        <v>574298</v>
      </c>
      <c r="AA18" s="4">
        <v>574297</v>
      </c>
      <c r="AB18" s="4">
        <v>574297</v>
      </c>
      <c r="AC18" s="4">
        <v>574297</v>
      </c>
      <c r="AD18" s="4">
        <v>574298</v>
      </c>
      <c r="AE18" s="4">
        <v>577411</v>
      </c>
      <c r="AF18" s="4">
        <v>1154822</v>
      </c>
      <c r="AG18" s="4">
        <v>1732233</v>
      </c>
      <c r="AH18" s="4">
        <v>2309644</v>
      </c>
      <c r="AI18" s="4">
        <v>2883942</v>
      </c>
      <c r="AJ18" s="4">
        <v>3458240</v>
      </c>
      <c r="AK18" s="4">
        <v>4032537</v>
      </c>
      <c r="AL18" s="4">
        <v>4606834</v>
      </c>
      <c r="AM18" s="4">
        <v>5181131</v>
      </c>
      <c r="AN18" s="4">
        <v>5755429</v>
      </c>
      <c r="AO18" s="150">
        <v>415169</v>
      </c>
    </row>
    <row r="19" spans="1:41" x14ac:dyDescent="0.2">
      <c r="A19" s="1">
        <v>2024</v>
      </c>
      <c r="B19" s="2" t="s">
        <v>36</v>
      </c>
      <c r="C19" s="2" t="s">
        <v>36</v>
      </c>
      <c r="D19" s="1" t="s">
        <v>395</v>
      </c>
      <c r="E19" s="3">
        <v>1688215</v>
      </c>
      <c r="F19" s="1">
        <v>315</v>
      </c>
      <c r="G19" s="1">
        <v>0</v>
      </c>
      <c r="H19" s="3">
        <v>9234</v>
      </c>
      <c r="I19" s="1">
        <v>0</v>
      </c>
      <c r="J19" s="3">
        <v>1687900</v>
      </c>
      <c r="K19" s="3">
        <v>1678666</v>
      </c>
      <c r="L19" s="3">
        <v>1678666</v>
      </c>
      <c r="M19" s="3">
        <v>72218</v>
      </c>
      <c r="N19" s="3">
        <v>302437</v>
      </c>
      <c r="O19" s="3">
        <v>36723</v>
      </c>
      <c r="P19" s="3">
        <v>34049</v>
      </c>
      <c r="Q19" s="3">
        <v>148149</v>
      </c>
      <c r="R19" s="3">
        <v>1094324</v>
      </c>
      <c r="S19" s="3">
        <v>1085090</v>
      </c>
      <c r="T19" s="3">
        <v>1085090</v>
      </c>
      <c r="U19" s="3">
        <v>168790</v>
      </c>
      <c r="V19" s="3">
        <v>168790</v>
      </c>
      <c r="W19" s="3">
        <v>168790</v>
      </c>
      <c r="X19" s="3">
        <v>168790</v>
      </c>
      <c r="Y19" s="3">
        <v>167251</v>
      </c>
      <c r="Z19" s="3">
        <v>167251</v>
      </c>
      <c r="AA19" s="4">
        <v>167251</v>
      </c>
      <c r="AB19" s="4">
        <v>167251</v>
      </c>
      <c r="AC19" s="4">
        <v>167251</v>
      </c>
      <c r="AD19" s="4">
        <v>167251</v>
      </c>
      <c r="AE19" s="4">
        <v>168790</v>
      </c>
      <c r="AF19" s="4">
        <v>337580</v>
      </c>
      <c r="AG19" s="4">
        <v>506370</v>
      </c>
      <c r="AH19" s="4">
        <v>675160</v>
      </c>
      <c r="AI19" s="4">
        <v>842411</v>
      </c>
      <c r="AJ19" s="4">
        <v>1009662</v>
      </c>
      <c r="AK19" s="4">
        <v>1176913</v>
      </c>
      <c r="AL19" s="4">
        <v>1344164</v>
      </c>
      <c r="AM19" s="4">
        <v>1511415</v>
      </c>
      <c r="AN19" s="4">
        <v>1678666</v>
      </c>
      <c r="AO19" s="150">
        <v>202547</v>
      </c>
    </row>
    <row r="20" spans="1:41" x14ac:dyDescent="0.2">
      <c r="A20" s="1">
        <v>2024</v>
      </c>
      <c r="B20" s="2" t="s">
        <v>37</v>
      </c>
      <c r="C20" s="2" t="s">
        <v>37</v>
      </c>
      <c r="D20" s="1" t="s">
        <v>396</v>
      </c>
      <c r="E20" s="3">
        <v>1188679</v>
      </c>
      <c r="F20" s="3">
        <v>282</v>
      </c>
      <c r="G20" s="3">
        <v>0</v>
      </c>
      <c r="H20" s="3">
        <v>6344</v>
      </c>
      <c r="I20" s="3">
        <v>0</v>
      </c>
      <c r="J20" s="3">
        <v>1188397</v>
      </c>
      <c r="K20" s="3">
        <v>1182053</v>
      </c>
      <c r="L20" s="3">
        <v>1182053</v>
      </c>
      <c r="M20" s="3">
        <v>64616</v>
      </c>
      <c r="N20" s="3">
        <v>188719</v>
      </c>
      <c r="O20" s="3">
        <v>19414</v>
      </c>
      <c r="P20" s="3">
        <v>18826</v>
      </c>
      <c r="Q20" s="3">
        <v>101788</v>
      </c>
      <c r="R20" s="3">
        <v>795034</v>
      </c>
      <c r="S20" s="3">
        <v>788690</v>
      </c>
      <c r="T20" s="3">
        <v>788690</v>
      </c>
      <c r="U20" s="3">
        <v>118840</v>
      </c>
      <c r="V20" s="3">
        <v>118840</v>
      </c>
      <c r="W20" s="3">
        <v>118840</v>
      </c>
      <c r="X20" s="3">
        <v>118840</v>
      </c>
      <c r="Y20" s="3">
        <v>117782</v>
      </c>
      <c r="Z20" s="3">
        <v>117782</v>
      </c>
      <c r="AA20" s="4">
        <v>117782</v>
      </c>
      <c r="AB20" s="4">
        <v>117782</v>
      </c>
      <c r="AC20" s="4">
        <v>117782</v>
      </c>
      <c r="AD20" s="4">
        <v>117783</v>
      </c>
      <c r="AE20" s="4">
        <v>118840</v>
      </c>
      <c r="AF20" s="4">
        <v>237680</v>
      </c>
      <c r="AG20" s="4">
        <v>356520</v>
      </c>
      <c r="AH20" s="4">
        <v>475360</v>
      </c>
      <c r="AI20" s="4">
        <v>593142</v>
      </c>
      <c r="AJ20" s="4">
        <v>710924</v>
      </c>
      <c r="AK20" s="4">
        <v>828706</v>
      </c>
      <c r="AL20" s="4">
        <v>946488</v>
      </c>
      <c r="AM20" s="4">
        <v>1064270</v>
      </c>
      <c r="AN20" s="4">
        <v>1182053</v>
      </c>
      <c r="AO20" s="150">
        <v>137270</v>
      </c>
    </row>
    <row r="21" spans="1:41" x14ac:dyDescent="0.2">
      <c r="A21" s="1">
        <v>2024</v>
      </c>
      <c r="B21" s="2" t="s">
        <v>38</v>
      </c>
      <c r="C21" s="2" t="s">
        <v>38</v>
      </c>
      <c r="D21" s="1" t="s">
        <v>397</v>
      </c>
      <c r="E21" s="3">
        <v>10745737</v>
      </c>
      <c r="F21" s="3">
        <v>1393</v>
      </c>
      <c r="G21" s="3">
        <v>0</v>
      </c>
      <c r="H21" s="3">
        <v>32202</v>
      </c>
      <c r="I21" s="1">
        <v>0</v>
      </c>
      <c r="J21" s="3">
        <v>10744344</v>
      </c>
      <c r="K21" s="3">
        <v>10712142</v>
      </c>
      <c r="L21" s="3">
        <v>10712142</v>
      </c>
      <c r="M21" s="3">
        <v>319277</v>
      </c>
      <c r="N21" s="3">
        <v>939932</v>
      </c>
      <c r="O21" s="3">
        <v>122582</v>
      </c>
      <c r="P21" s="3">
        <v>109769</v>
      </c>
      <c r="Q21" s="3">
        <v>516642</v>
      </c>
      <c r="R21" s="3">
        <v>8736142</v>
      </c>
      <c r="S21" s="3">
        <v>8703940</v>
      </c>
      <c r="T21" s="3">
        <v>8703940</v>
      </c>
      <c r="U21" s="3">
        <v>1074434</v>
      </c>
      <c r="V21" s="3">
        <v>1074434</v>
      </c>
      <c r="W21" s="3">
        <v>1074434</v>
      </c>
      <c r="X21" s="3">
        <v>1074434</v>
      </c>
      <c r="Y21" s="3">
        <v>1069068</v>
      </c>
      <c r="Z21" s="3">
        <v>1069068</v>
      </c>
      <c r="AA21" s="4">
        <v>1069068</v>
      </c>
      <c r="AB21" s="4">
        <v>1069068</v>
      </c>
      <c r="AC21" s="4">
        <v>1069068</v>
      </c>
      <c r="AD21" s="4">
        <v>1069066</v>
      </c>
      <c r="AE21" s="4">
        <v>1074434</v>
      </c>
      <c r="AF21" s="4">
        <v>2148868</v>
      </c>
      <c r="AG21" s="4">
        <v>3223302</v>
      </c>
      <c r="AH21" s="4">
        <v>4297736</v>
      </c>
      <c r="AI21" s="4">
        <v>5366804</v>
      </c>
      <c r="AJ21" s="4">
        <v>6435872</v>
      </c>
      <c r="AK21" s="4">
        <v>7504940</v>
      </c>
      <c r="AL21" s="4">
        <v>8574008</v>
      </c>
      <c r="AM21" s="4">
        <v>9643076</v>
      </c>
      <c r="AN21" s="4">
        <v>10712142</v>
      </c>
      <c r="AO21" s="150">
        <v>710421</v>
      </c>
    </row>
    <row r="22" spans="1:41" x14ac:dyDescent="0.2">
      <c r="A22" s="1">
        <v>2024</v>
      </c>
      <c r="B22" s="2" t="s">
        <v>39</v>
      </c>
      <c r="C22" s="2" t="s">
        <v>39</v>
      </c>
      <c r="D22" s="1" t="s">
        <v>398</v>
      </c>
      <c r="E22" s="3">
        <v>3327632</v>
      </c>
      <c r="F22" s="3">
        <v>630</v>
      </c>
      <c r="G22" s="3">
        <v>0</v>
      </c>
      <c r="H22" s="3">
        <v>11729</v>
      </c>
      <c r="I22" s="3">
        <v>0</v>
      </c>
      <c r="J22" s="3">
        <v>3327002</v>
      </c>
      <c r="K22" s="3">
        <v>3315273</v>
      </c>
      <c r="L22" s="3">
        <v>3315273</v>
      </c>
      <c r="M22" s="3">
        <v>144435</v>
      </c>
      <c r="N22" s="3">
        <v>347856</v>
      </c>
      <c r="O22" s="3">
        <v>36345</v>
      </c>
      <c r="P22" s="3">
        <v>39643</v>
      </c>
      <c r="Q22" s="3">
        <v>188171</v>
      </c>
      <c r="R22" s="3">
        <v>2570552</v>
      </c>
      <c r="S22" s="3">
        <v>2558823</v>
      </c>
      <c r="T22" s="3">
        <v>2558823</v>
      </c>
      <c r="U22" s="3">
        <v>332700</v>
      </c>
      <c r="V22" s="3">
        <v>332700</v>
      </c>
      <c r="W22" s="3">
        <v>332700</v>
      </c>
      <c r="X22" s="3">
        <v>332700</v>
      </c>
      <c r="Y22" s="3">
        <v>330746</v>
      </c>
      <c r="Z22" s="3">
        <v>330746</v>
      </c>
      <c r="AA22" s="4">
        <v>330745</v>
      </c>
      <c r="AB22" s="4">
        <v>330745</v>
      </c>
      <c r="AC22" s="4">
        <v>330745</v>
      </c>
      <c r="AD22" s="4">
        <v>330746</v>
      </c>
      <c r="AE22" s="4">
        <v>332700</v>
      </c>
      <c r="AF22" s="4">
        <v>665400</v>
      </c>
      <c r="AG22" s="4">
        <v>998100</v>
      </c>
      <c r="AH22" s="4">
        <v>1330800</v>
      </c>
      <c r="AI22" s="4">
        <v>1661546</v>
      </c>
      <c r="AJ22" s="4">
        <v>1992292</v>
      </c>
      <c r="AK22" s="4">
        <v>2323037</v>
      </c>
      <c r="AL22" s="4">
        <v>2653782</v>
      </c>
      <c r="AM22" s="4">
        <v>2984527</v>
      </c>
      <c r="AN22" s="4">
        <v>3315273</v>
      </c>
      <c r="AO22" s="150">
        <v>236846</v>
      </c>
    </row>
    <row r="23" spans="1:41" x14ac:dyDescent="0.2">
      <c r="A23" s="1">
        <v>2024</v>
      </c>
      <c r="B23" s="2" t="s">
        <v>41</v>
      </c>
      <c r="C23" s="2" t="s">
        <v>41</v>
      </c>
      <c r="D23" s="1" t="s">
        <v>18</v>
      </c>
      <c r="E23" s="3">
        <v>4175316</v>
      </c>
      <c r="F23" s="1">
        <v>697</v>
      </c>
      <c r="G23" s="1">
        <v>0</v>
      </c>
      <c r="H23" s="3">
        <v>18206</v>
      </c>
      <c r="I23" s="1">
        <v>0</v>
      </c>
      <c r="J23" s="3">
        <v>4174619</v>
      </c>
      <c r="K23" s="3">
        <v>4156413</v>
      </c>
      <c r="L23" s="3">
        <v>4156413</v>
      </c>
      <c r="M23" s="3">
        <v>159638</v>
      </c>
      <c r="N23" s="3">
        <v>490508</v>
      </c>
      <c r="O23" s="3">
        <v>55466</v>
      </c>
      <c r="P23" s="3">
        <v>49973</v>
      </c>
      <c r="Q23" s="3">
        <v>292097</v>
      </c>
      <c r="R23" s="3">
        <v>3126937</v>
      </c>
      <c r="S23" s="3">
        <v>3108731</v>
      </c>
      <c r="T23" s="3">
        <v>3108731</v>
      </c>
      <c r="U23" s="3">
        <v>417462</v>
      </c>
      <c r="V23" s="3">
        <v>417462</v>
      </c>
      <c r="W23" s="3">
        <v>417462</v>
      </c>
      <c r="X23" s="3">
        <v>417462</v>
      </c>
      <c r="Y23" s="3">
        <v>414428</v>
      </c>
      <c r="Z23" s="3">
        <v>414428</v>
      </c>
      <c r="AA23" s="4">
        <v>414427</v>
      </c>
      <c r="AB23" s="4">
        <v>414427</v>
      </c>
      <c r="AC23" s="4">
        <v>414427</v>
      </c>
      <c r="AD23" s="4">
        <v>414428</v>
      </c>
      <c r="AE23" s="4">
        <v>417462</v>
      </c>
      <c r="AF23" s="4">
        <v>834924</v>
      </c>
      <c r="AG23" s="4">
        <v>1252386</v>
      </c>
      <c r="AH23" s="4">
        <v>1669848</v>
      </c>
      <c r="AI23" s="4">
        <v>2084276</v>
      </c>
      <c r="AJ23" s="4">
        <v>2498704</v>
      </c>
      <c r="AK23" s="4">
        <v>2913131</v>
      </c>
      <c r="AL23" s="4">
        <v>3327558</v>
      </c>
      <c r="AM23" s="4">
        <v>3741985</v>
      </c>
      <c r="AN23" s="4">
        <v>4156413</v>
      </c>
      <c r="AO23" s="150">
        <v>381399</v>
      </c>
    </row>
    <row r="24" spans="1:41" x14ac:dyDescent="0.2">
      <c r="A24" s="1">
        <v>2024</v>
      </c>
      <c r="B24" s="2" t="s">
        <v>42</v>
      </c>
      <c r="C24" s="2" t="s">
        <v>42</v>
      </c>
      <c r="D24" s="1" t="s">
        <v>399</v>
      </c>
      <c r="E24" s="3">
        <v>13542723</v>
      </c>
      <c r="F24" s="3">
        <v>1974</v>
      </c>
      <c r="G24" s="3">
        <v>2399</v>
      </c>
      <c r="H24" s="3">
        <v>40409</v>
      </c>
      <c r="I24" s="1">
        <v>0</v>
      </c>
      <c r="J24" s="3">
        <v>13538350</v>
      </c>
      <c r="K24" s="3">
        <v>13497941</v>
      </c>
      <c r="L24" s="3">
        <v>13497941</v>
      </c>
      <c r="M24" s="3">
        <v>452309</v>
      </c>
      <c r="N24" s="3">
        <v>1073499</v>
      </c>
      <c r="O24" s="3">
        <v>134772</v>
      </c>
      <c r="P24" s="3">
        <v>115368</v>
      </c>
      <c r="Q24" s="3">
        <v>648318</v>
      </c>
      <c r="R24" s="3">
        <v>11114084</v>
      </c>
      <c r="S24" s="3">
        <v>11073675</v>
      </c>
      <c r="T24" s="3">
        <v>11073675</v>
      </c>
      <c r="U24" s="3">
        <v>1353835</v>
      </c>
      <c r="V24" s="3">
        <v>1353835</v>
      </c>
      <c r="W24" s="3">
        <v>1353835</v>
      </c>
      <c r="X24" s="3">
        <v>1353835</v>
      </c>
      <c r="Y24" s="3">
        <v>1347100</v>
      </c>
      <c r="Z24" s="3">
        <v>1347100</v>
      </c>
      <c r="AA24" s="4">
        <v>1347100</v>
      </c>
      <c r="AB24" s="4">
        <v>1347100</v>
      </c>
      <c r="AC24" s="4">
        <v>1347100</v>
      </c>
      <c r="AD24" s="4">
        <v>1347101</v>
      </c>
      <c r="AE24" s="4">
        <v>1353835</v>
      </c>
      <c r="AF24" s="4">
        <v>2707670</v>
      </c>
      <c r="AG24" s="4">
        <v>4061505</v>
      </c>
      <c r="AH24" s="4">
        <v>5415340</v>
      </c>
      <c r="AI24" s="4">
        <v>6762440</v>
      </c>
      <c r="AJ24" s="4">
        <v>8109540</v>
      </c>
      <c r="AK24" s="4">
        <v>9456640</v>
      </c>
      <c r="AL24" s="4">
        <v>10803740</v>
      </c>
      <c r="AM24" s="4">
        <v>12150840</v>
      </c>
      <c r="AN24" s="4">
        <v>13497941</v>
      </c>
      <c r="AO24" s="150">
        <v>858425</v>
      </c>
    </row>
    <row r="25" spans="1:41" x14ac:dyDescent="0.2">
      <c r="A25" s="1">
        <v>2024</v>
      </c>
      <c r="B25" s="2" t="s">
        <v>44</v>
      </c>
      <c r="C25" s="2" t="s">
        <v>44</v>
      </c>
      <c r="D25" s="1" t="s">
        <v>400</v>
      </c>
      <c r="E25" s="3">
        <v>2732188</v>
      </c>
      <c r="F25" s="3">
        <v>398</v>
      </c>
      <c r="G25" s="3">
        <v>0</v>
      </c>
      <c r="H25" s="3">
        <v>8285</v>
      </c>
      <c r="I25" s="3">
        <v>0</v>
      </c>
      <c r="J25" s="3">
        <v>2731790</v>
      </c>
      <c r="K25" s="3">
        <v>2723505</v>
      </c>
      <c r="L25" s="3">
        <v>2723505</v>
      </c>
      <c r="M25" s="3">
        <v>91222</v>
      </c>
      <c r="N25" s="3">
        <v>250167</v>
      </c>
      <c r="O25" s="3">
        <v>27298</v>
      </c>
      <c r="P25" s="3">
        <v>25415</v>
      </c>
      <c r="Q25" s="3">
        <v>132929</v>
      </c>
      <c r="R25" s="3">
        <v>2204759</v>
      </c>
      <c r="S25" s="3">
        <v>2196474</v>
      </c>
      <c r="T25" s="3">
        <v>2196474</v>
      </c>
      <c r="U25" s="3">
        <v>273179</v>
      </c>
      <c r="V25" s="3">
        <v>273179</v>
      </c>
      <c r="W25" s="3">
        <v>273179</v>
      </c>
      <c r="X25" s="3">
        <v>273179</v>
      </c>
      <c r="Y25" s="3">
        <v>271798</v>
      </c>
      <c r="Z25" s="3">
        <v>271798</v>
      </c>
      <c r="AA25" s="4">
        <v>271798</v>
      </c>
      <c r="AB25" s="4">
        <v>271798</v>
      </c>
      <c r="AC25" s="4">
        <v>271798</v>
      </c>
      <c r="AD25" s="4">
        <v>271799</v>
      </c>
      <c r="AE25" s="4">
        <v>273179</v>
      </c>
      <c r="AF25" s="4">
        <v>546358</v>
      </c>
      <c r="AG25" s="4">
        <v>819537</v>
      </c>
      <c r="AH25" s="4">
        <v>1092716</v>
      </c>
      <c r="AI25" s="4">
        <v>1364514</v>
      </c>
      <c r="AJ25" s="4">
        <v>1636312</v>
      </c>
      <c r="AK25" s="4">
        <v>1908110</v>
      </c>
      <c r="AL25" s="4">
        <v>2179908</v>
      </c>
      <c r="AM25" s="4">
        <v>2451706</v>
      </c>
      <c r="AN25" s="4">
        <v>2723505</v>
      </c>
      <c r="AO25" s="150">
        <v>170032</v>
      </c>
    </row>
    <row r="26" spans="1:41" x14ac:dyDescent="0.2">
      <c r="A26" s="1">
        <v>2024</v>
      </c>
      <c r="B26" s="2" t="s">
        <v>45</v>
      </c>
      <c r="C26" s="2" t="s">
        <v>45</v>
      </c>
      <c r="D26" s="1" t="s">
        <v>1</v>
      </c>
      <c r="E26" s="3">
        <v>2565178</v>
      </c>
      <c r="F26" s="1">
        <v>448</v>
      </c>
      <c r="G26" s="3">
        <v>2147</v>
      </c>
      <c r="H26" s="3">
        <v>10603</v>
      </c>
      <c r="I26" s="1">
        <v>0</v>
      </c>
      <c r="J26" s="3">
        <v>2562583</v>
      </c>
      <c r="K26" s="3">
        <v>2551980</v>
      </c>
      <c r="L26" s="3">
        <v>2551980</v>
      </c>
      <c r="M26" s="3">
        <v>102625</v>
      </c>
      <c r="N26" s="3">
        <v>313851</v>
      </c>
      <c r="O26" s="3">
        <v>33684</v>
      </c>
      <c r="P26" s="3">
        <v>34901</v>
      </c>
      <c r="Q26" s="3">
        <v>174213</v>
      </c>
      <c r="R26" s="3">
        <v>1903309</v>
      </c>
      <c r="S26" s="3">
        <v>1892706</v>
      </c>
      <c r="T26" s="3">
        <v>1892706</v>
      </c>
      <c r="U26" s="3">
        <v>256258</v>
      </c>
      <c r="V26" s="3">
        <v>256258</v>
      </c>
      <c r="W26" s="3">
        <v>256258</v>
      </c>
      <c r="X26" s="3">
        <v>256258</v>
      </c>
      <c r="Y26" s="3">
        <v>254491</v>
      </c>
      <c r="Z26" s="3">
        <v>254491</v>
      </c>
      <c r="AA26" s="4">
        <v>254492</v>
      </c>
      <c r="AB26" s="4">
        <v>254492</v>
      </c>
      <c r="AC26" s="4">
        <v>254492</v>
      </c>
      <c r="AD26" s="4">
        <v>254490</v>
      </c>
      <c r="AE26" s="4">
        <v>256258</v>
      </c>
      <c r="AF26" s="4">
        <v>512516</v>
      </c>
      <c r="AG26" s="4">
        <v>768774</v>
      </c>
      <c r="AH26" s="4">
        <v>1025032</v>
      </c>
      <c r="AI26" s="4">
        <v>1279523</v>
      </c>
      <c r="AJ26" s="4">
        <v>1534014</v>
      </c>
      <c r="AK26" s="4">
        <v>1788506</v>
      </c>
      <c r="AL26" s="4">
        <v>2042998</v>
      </c>
      <c r="AM26" s="4">
        <v>2297490</v>
      </c>
      <c r="AN26" s="4">
        <v>2551980</v>
      </c>
      <c r="AO26" s="150">
        <v>234473</v>
      </c>
    </row>
    <row r="27" spans="1:41" x14ac:dyDescent="0.2">
      <c r="A27" s="1">
        <v>2024</v>
      </c>
      <c r="B27" s="2" t="s">
        <v>46</v>
      </c>
      <c r="C27" s="2" t="s">
        <v>46</v>
      </c>
      <c r="D27" s="1" t="s">
        <v>401</v>
      </c>
      <c r="E27" s="3">
        <v>3351679</v>
      </c>
      <c r="F27" s="1">
        <v>448</v>
      </c>
      <c r="G27" s="1">
        <v>0</v>
      </c>
      <c r="H27" s="3">
        <v>11526</v>
      </c>
      <c r="I27" s="1">
        <v>0</v>
      </c>
      <c r="J27" s="3">
        <v>3351231</v>
      </c>
      <c r="K27" s="3">
        <v>3339705</v>
      </c>
      <c r="L27" s="3">
        <v>3339705</v>
      </c>
      <c r="M27" s="3">
        <v>102625</v>
      </c>
      <c r="N27" s="3">
        <v>349509</v>
      </c>
      <c r="O27" s="3">
        <v>40952</v>
      </c>
      <c r="P27" s="3">
        <v>37299</v>
      </c>
      <c r="Q27" s="3">
        <v>184928</v>
      </c>
      <c r="R27" s="3">
        <v>2635918</v>
      </c>
      <c r="S27" s="3">
        <v>2624392</v>
      </c>
      <c r="T27" s="3">
        <v>2624392</v>
      </c>
      <c r="U27" s="3">
        <v>335123</v>
      </c>
      <c r="V27" s="3">
        <v>335123</v>
      </c>
      <c r="W27" s="3">
        <v>335123</v>
      </c>
      <c r="X27" s="3">
        <v>335123</v>
      </c>
      <c r="Y27" s="3">
        <v>333202</v>
      </c>
      <c r="Z27" s="3">
        <v>333202</v>
      </c>
      <c r="AA27" s="4">
        <v>333202</v>
      </c>
      <c r="AB27" s="4">
        <v>333202</v>
      </c>
      <c r="AC27" s="4">
        <v>333202</v>
      </c>
      <c r="AD27" s="4">
        <v>333203</v>
      </c>
      <c r="AE27" s="4">
        <v>335123</v>
      </c>
      <c r="AF27" s="4">
        <v>670246</v>
      </c>
      <c r="AG27" s="4">
        <v>1005369</v>
      </c>
      <c r="AH27" s="4">
        <v>1340492</v>
      </c>
      <c r="AI27" s="4">
        <v>1673694</v>
      </c>
      <c r="AJ27" s="4">
        <v>2006896</v>
      </c>
      <c r="AK27" s="4">
        <v>2340098</v>
      </c>
      <c r="AL27" s="4">
        <v>2673300</v>
      </c>
      <c r="AM27" s="4">
        <v>3006502</v>
      </c>
      <c r="AN27" s="4">
        <v>3339705</v>
      </c>
      <c r="AO27" s="150">
        <v>235563</v>
      </c>
    </row>
    <row r="28" spans="1:41" x14ac:dyDescent="0.2">
      <c r="A28" s="1">
        <v>2024</v>
      </c>
      <c r="B28" s="2" t="s">
        <v>47</v>
      </c>
      <c r="C28" s="2" t="s">
        <v>47</v>
      </c>
      <c r="D28" s="1" t="s">
        <v>402</v>
      </c>
      <c r="E28" s="3">
        <v>3332351</v>
      </c>
      <c r="F28" s="1">
        <v>431</v>
      </c>
      <c r="G28" s="1">
        <v>0</v>
      </c>
      <c r="H28" s="3">
        <v>10858</v>
      </c>
      <c r="I28" s="1">
        <v>0</v>
      </c>
      <c r="J28" s="3">
        <v>3331920</v>
      </c>
      <c r="K28" s="3">
        <v>3321062</v>
      </c>
      <c r="L28" s="3">
        <v>3321062</v>
      </c>
      <c r="M28" s="3">
        <v>98824</v>
      </c>
      <c r="N28" s="3">
        <v>305232</v>
      </c>
      <c r="O28" s="3">
        <v>31524</v>
      </c>
      <c r="P28" s="3">
        <v>30806</v>
      </c>
      <c r="Q28" s="3">
        <v>174204</v>
      </c>
      <c r="R28" s="3">
        <v>2691330</v>
      </c>
      <c r="S28" s="3">
        <v>2680472</v>
      </c>
      <c r="T28" s="3">
        <v>2680472</v>
      </c>
      <c r="U28" s="3">
        <v>333192</v>
      </c>
      <c r="V28" s="3">
        <v>333192</v>
      </c>
      <c r="W28" s="3">
        <v>333192</v>
      </c>
      <c r="X28" s="3">
        <v>333192</v>
      </c>
      <c r="Y28" s="3">
        <v>331382</v>
      </c>
      <c r="Z28" s="3">
        <v>331382</v>
      </c>
      <c r="AA28" s="4">
        <v>331383</v>
      </c>
      <c r="AB28" s="4">
        <v>331383</v>
      </c>
      <c r="AC28" s="4">
        <v>331383</v>
      </c>
      <c r="AD28" s="4">
        <v>331381</v>
      </c>
      <c r="AE28" s="4">
        <v>333192</v>
      </c>
      <c r="AF28" s="4">
        <v>666384</v>
      </c>
      <c r="AG28" s="4">
        <v>999576</v>
      </c>
      <c r="AH28" s="4">
        <v>1332768</v>
      </c>
      <c r="AI28" s="4">
        <v>1664150</v>
      </c>
      <c r="AJ28" s="4">
        <v>1995532</v>
      </c>
      <c r="AK28" s="4">
        <v>2326915</v>
      </c>
      <c r="AL28" s="4">
        <v>2658298</v>
      </c>
      <c r="AM28" s="4">
        <v>2989681</v>
      </c>
      <c r="AN28" s="4">
        <v>3321062</v>
      </c>
      <c r="AO28" s="150">
        <v>211243</v>
      </c>
    </row>
    <row r="29" spans="1:41" x14ac:dyDescent="0.2">
      <c r="A29" s="1">
        <v>2024</v>
      </c>
      <c r="B29" s="2" t="s">
        <v>48</v>
      </c>
      <c r="C29" s="2" t="s">
        <v>48</v>
      </c>
      <c r="D29" s="1" t="s">
        <v>403</v>
      </c>
      <c r="E29" s="3">
        <v>4004167</v>
      </c>
      <c r="F29" s="3">
        <v>1012</v>
      </c>
      <c r="G29" s="3">
        <v>0</v>
      </c>
      <c r="H29" s="3">
        <v>14510</v>
      </c>
      <c r="I29" s="3">
        <v>0</v>
      </c>
      <c r="J29" s="3">
        <v>4003155</v>
      </c>
      <c r="K29" s="3">
        <v>3988645</v>
      </c>
      <c r="L29" s="3">
        <v>3988645</v>
      </c>
      <c r="M29" s="3">
        <v>231856</v>
      </c>
      <c r="N29" s="3">
        <v>427200</v>
      </c>
      <c r="O29" s="3">
        <v>44383</v>
      </c>
      <c r="P29" s="3">
        <v>47220</v>
      </c>
      <c r="Q29" s="3">
        <v>232800</v>
      </c>
      <c r="R29" s="3">
        <v>3019696</v>
      </c>
      <c r="S29" s="3">
        <v>3005186</v>
      </c>
      <c r="T29" s="3">
        <v>3005186</v>
      </c>
      <c r="U29" s="3">
        <v>400316</v>
      </c>
      <c r="V29" s="3">
        <v>400316</v>
      </c>
      <c r="W29" s="3">
        <v>400316</v>
      </c>
      <c r="X29" s="3">
        <v>400316</v>
      </c>
      <c r="Y29" s="3">
        <v>397897</v>
      </c>
      <c r="Z29" s="3">
        <v>397897</v>
      </c>
      <c r="AA29" s="4">
        <v>397897</v>
      </c>
      <c r="AB29" s="4">
        <v>397897</v>
      </c>
      <c r="AC29" s="4">
        <v>397897</v>
      </c>
      <c r="AD29" s="4">
        <v>397896</v>
      </c>
      <c r="AE29" s="4">
        <v>400316</v>
      </c>
      <c r="AF29" s="4">
        <v>800632</v>
      </c>
      <c r="AG29" s="4">
        <v>1200948</v>
      </c>
      <c r="AH29" s="4">
        <v>1601264</v>
      </c>
      <c r="AI29" s="4">
        <v>1999161</v>
      </c>
      <c r="AJ29" s="4">
        <v>2397058</v>
      </c>
      <c r="AK29" s="4">
        <v>2794955</v>
      </c>
      <c r="AL29" s="4">
        <v>3192852</v>
      </c>
      <c r="AM29" s="4">
        <v>3590749</v>
      </c>
      <c r="AN29" s="4">
        <v>3988645</v>
      </c>
      <c r="AO29" s="150">
        <v>313120</v>
      </c>
    </row>
    <row r="30" spans="1:41" x14ac:dyDescent="0.2">
      <c r="A30" s="1">
        <v>2024</v>
      </c>
      <c r="B30" s="2" t="s">
        <v>49</v>
      </c>
      <c r="C30" s="2" t="s">
        <v>49</v>
      </c>
      <c r="D30" s="1" t="s">
        <v>404</v>
      </c>
      <c r="E30" s="3">
        <v>4948071</v>
      </c>
      <c r="F30" s="3">
        <v>498</v>
      </c>
      <c r="G30" s="3">
        <v>4924</v>
      </c>
      <c r="H30" s="3">
        <v>17000</v>
      </c>
      <c r="I30" s="1">
        <v>0</v>
      </c>
      <c r="J30" s="3">
        <v>4942649</v>
      </c>
      <c r="K30" s="3">
        <v>4925649</v>
      </c>
      <c r="L30" s="3">
        <v>4925649</v>
      </c>
      <c r="M30" s="3">
        <v>114027</v>
      </c>
      <c r="N30" s="3">
        <v>479585</v>
      </c>
      <c r="O30" s="3">
        <v>59689</v>
      </c>
      <c r="P30" s="3">
        <v>51474</v>
      </c>
      <c r="Q30" s="3">
        <v>272749</v>
      </c>
      <c r="R30" s="3">
        <v>3965125</v>
      </c>
      <c r="S30" s="3">
        <v>3948125</v>
      </c>
      <c r="T30" s="3">
        <v>3948125</v>
      </c>
      <c r="U30" s="3">
        <v>494265</v>
      </c>
      <c r="V30" s="3">
        <v>494265</v>
      </c>
      <c r="W30" s="3">
        <v>494265</v>
      </c>
      <c r="X30" s="3">
        <v>494265</v>
      </c>
      <c r="Y30" s="3">
        <v>491432</v>
      </c>
      <c r="Z30" s="3">
        <v>491432</v>
      </c>
      <c r="AA30" s="4">
        <v>491431</v>
      </c>
      <c r="AB30" s="4">
        <v>491431</v>
      </c>
      <c r="AC30" s="4">
        <v>491431</v>
      </c>
      <c r="AD30" s="4">
        <v>491432</v>
      </c>
      <c r="AE30" s="4">
        <v>494265</v>
      </c>
      <c r="AF30" s="4">
        <v>988530</v>
      </c>
      <c r="AG30" s="4">
        <v>1482795</v>
      </c>
      <c r="AH30" s="4">
        <v>1977060</v>
      </c>
      <c r="AI30" s="4">
        <v>2468492</v>
      </c>
      <c r="AJ30" s="4">
        <v>2959924</v>
      </c>
      <c r="AK30" s="4">
        <v>3451355</v>
      </c>
      <c r="AL30" s="4">
        <v>3942786</v>
      </c>
      <c r="AM30" s="4">
        <v>4434217</v>
      </c>
      <c r="AN30" s="4">
        <v>4925649</v>
      </c>
      <c r="AO30" s="150">
        <v>366787</v>
      </c>
    </row>
    <row r="31" spans="1:41" x14ac:dyDescent="0.2">
      <c r="A31" s="1">
        <v>2024</v>
      </c>
      <c r="B31" s="2" t="s">
        <v>50</v>
      </c>
      <c r="C31" s="2" t="s">
        <v>50</v>
      </c>
      <c r="D31" s="1" t="s">
        <v>405</v>
      </c>
      <c r="E31" s="3">
        <v>1031892</v>
      </c>
      <c r="F31" s="3">
        <v>83</v>
      </c>
      <c r="G31" s="3">
        <v>0</v>
      </c>
      <c r="H31" s="3">
        <v>4024</v>
      </c>
      <c r="I31" s="3">
        <v>0</v>
      </c>
      <c r="J31" s="3">
        <v>1031809</v>
      </c>
      <c r="K31" s="3">
        <v>1027785</v>
      </c>
      <c r="L31" s="3">
        <v>1027785</v>
      </c>
      <c r="M31" s="3">
        <v>19005</v>
      </c>
      <c r="N31" s="3">
        <v>110921</v>
      </c>
      <c r="O31" s="3">
        <v>13499</v>
      </c>
      <c r="P31" s="3">
        <v>8503</v>
      </c>
      <c r="Q31" s="3">
        <v>66229</v>
      </c>
      <c r="R31" s="3">
        <v>813652</v>
      </c>
      <c r="S31" s="3">
        <v>809628</v>
      </c>
      <c r="T31" s="3">
        <v>809628</v>
      </c>
      <c r="U31" s="3">
        <v>103181</v>
      </c>
      <c r="V31" s="3">
        <v>103181</v>
      </c>
      <c r="W31" s="3">
        <v>103181</v>
      </c>
      <c r="X31" s="3">
        <v>103181</v>
      </c>
      <c r="Y31" s="3">
        <v>102510</v>
      </c>
      <c r="Z31" s="3">
        <v>102510</v>
      </c>
      <c r="AA31" s="4">
        <v>102510</v>
      </c>
      <c r="AB31" s="4">
        <v>102510</v>
      </c>
      <c r="AC31" s="4">
        <v>102510</v>
      </c>
      <c r="AD31" s="4">
        <v>102511</v>
      </c>
      <c r="AE31" s="4">
        <v>103181</v>
      </c>
      <c r="AF31" s="4">
        <v>206362</v>
      </c>
      <c r="AG31" s="4">
        <v>309543</v>
      </c>
      <c r="AH31" s="4">
        <v>412724</v>
      </c>
      <c r="AI31" s="4">
        <v>515234</v>
      </c>
      <c r="AJ31" s="4">
        <v>617744</v>
      </c>
      <c r="AK31" s="4">
        <v>720254</v>
      </c>
      <c r="AL31" s="4">
        <v>822764</v>
      </c>
      <c r="AM31" s="4">
        <v>925274</v>
      </c>
      <c r="AN31" s="4">
        <v>1027785</v>
      </c>
      <c r="AO31" s="150">
        <v>87274</v>
      </c>
    </row>
    <row r="32" spans="1:41" x14ac:dyDescent="0.2">
      <c r="A32" s="1">
        <v>2024</v>
      </c>
      <c r="B32" s="2" t="s">
        <v>51</v>
      </c>
      <c r="C32" s="2" t="s">
        <v>51</v>
      </c>
      <c r="D32" s="1" t="s">
        <v>406</v>
      </c>
      <c r="E32" s="3">
        <v>9660609</v>
      </c>
      <c r="F32" s="3">
        <v>1708</v>
      </c>
      <c r="G32" s="3">
        <v>7576</v>
      </c>
      <c r="H32" s="3">
        <v>35321</v>
      </c>
      <c r="I32" s="1">
        <v>0</v>
      </c>
      <c r="J32" s="3">
        <v>9651325</v>
      </c>
      <c r="K32" s="3">
        <v>9616004</v>
      </c>
      <c r="L32" s="3">
        <v>9616004</v>
      </c>
      <c r="M32" s="3">
        <v>391495</v>
      </c>
      <c r="N32" s="3">
        <v>994615</v>
      </c>
      <c r="O32" s="3">
        <v>104687</v>
      </c>
      <c r="P32" s="3">
        <v>109776</v>
      </c>
      <c r="Q32" s="3">
        <v>566689</v>
      </c>
      <c r="R32" s="3">
        <v>7484063</v>
      </c>
      <c r="S32" s="3">
        <v>7448742</v>
      </c>
      <c r="T32" s="3">
        <v>7448742</v>
      </c>
      <c r="U32" s="3">
        <v>965133</v>
      </c>
      <c r="V32" s="3">
        <v>965133</v>
      </c>
      <c r="W32" s="3">
        <v>965133</v>
      </c>
      <c r="X32" s="3">
        <v>965133</v>
      </c>
      <c r="Y32" s="3">
        <v>959245</v>
      </c>
      <c r="Z32" s="3">
        <v>959245</v>
      </c>
      <c r="AA32" s="4">
        <v>959246</v>
      </c>
      <c r="AB32" s="4">
        <v>959246</v>
      </c>
      <c r="AC32" s="4">
        <v>959246</v>
      </c>
      <c r="AD32" s="4">
        <v>959244</v>
      </c>
      <c r="AE32" s="4">
        <v>965133</v>
      </c>
      <c r="AF32" s="4">
        <v>1930266</v>
      </c>
      <c r="AG32" s="4">
        <v>2895399</v>
      </c>
      <c r="AH32" s="4">
        <v>3860532</v>
      </c>
      <c r="AI32" s="4">
        <v>4819777</v>
      </c>
      <c r="AJ32" s="4">
        <v>5779022</v>
      </c>
      <c r="AK32" s="4">
        <v>6738268</v>
      </c>
      <c r="AL32" s="4">
        <v>7697514</v>
      </c>
      <c r="AM32" s="4">
        <v>8656760</v>
      </c>
      <c r="AN32" s="4">
        <v>9616004</v>
      </c>
      <c r="AO32" s="150">
        <v>732225</v>
      </c>
    </row>
    <row r="33" spans="1:41" x14ac:dyDescent="0.2">
      <c r="A33" s="1">
        <v>2024</v>
      </c>
      <c r="B33" s="2" t="s">
        <v>52</v>
      </c>
      <c r="C33" s="2" t="s">
        <v>52</v>
      </c>
      <c r="D33" s="1" t="s">
        <v>407</v>
      </c>
      <c r="E33" s="3">
        <v>27793205</v>
      </c>
      <c r="F33" s="3">
        <v>4229</v>
      </c>
      <c r="G33" s="3">
        <v>5430</v>
      </c>
      <c r="H33" s="3">
        <v>92275</v>
      </c>
      <c r="I33" s="1">
        <v>0</v>
      </c>
      <c r="J33" s="3">
        <v>27783546</v>
      </c>
      <c r="K33" s="3">
        <v>27691271</v>
      </c>
      <c r="L33" s="3">
        <v>27691271</v>
      </c>
      <c r="M33" s="3">
        <v>969234</v>
      </c>
      <c r="N33" s="3">
        <v>2566830</v>
      </c>
      <c r="O33" s="3">
        <v>297514</v>
      </c>
      <c r="P33" s="3">
        <v>293456</v>
      </c>
      <c r="Q33" s="3">
        <v>1480459</v>
      </c>
      <c r="R33" s="3">
        <v>22176053</v>
      </c>
      <c r="S33" s="3">
        <v>22083778</v>
      </c>
      <c r="T33" s="3">
        <v>22083778</v>
      </c>
      <c r="U33" s="3">
        <v>2778355</v>
      </c>
      <c r="V33" s="3">
        <v>2778355</v>
      </c>
      <c r="W33" s="3">
        <v>2778355</v>
      </c>
      <c r="X33" s="3">
        <v>2778355</v>
      </c>
      <c r="Y33" s="3">
        <v>2762975</v>
      </c>
      <c r="Z33" s="3">
        <v>2762975</v>
      </c>
      <c r="AA33" s="4">
        <v>2762975</v>
      </c>
      <c r="AB33" s="4">
        <v>2762975</v>
      </c>
      <c r="AC33" s="4">
        <v>2762975</v>
      </c>
      <c r="AD33" s="4">
        <v>2762976</v>
      </c>
      <c r="AE33" s="4">
        <v>2778355</v>
      </c>
      <c r="AF33" s="4">
        <v>5556710</v>
      </c>
      <c r="AG33" s="4">
        <v>8335065</v>
      </c>
      <c r="AH33" s="4">
        <v>11113420</v>
      </c>
      <c r="AI33" s="4">
        <v>13876395</v>
      </c>
      <c r="AJ33" s="4">
        <v>16639370</v>
      </c>
      <c r="AK33" s="4">
        <v>19402345</v>
      </c>
      <c r="AL33" s="4">
        <v>22165320</v>
      </c>
      <c r="AM33" s="4">
        <v>24928295</v>
      </c>
      <c r="AN33" s="4">
        <v>27691271</v>
      </c>
      <c r="AO33" s="150">
        <v>1997542</v>
      </c>
    </row>
    <row r="34" spans="1:41" x14ac:dyDescent="0.2">
      <c r="A34" s="1">
        <v>2024</v>
      </c>
      <c r="B34" s="2" t="s">
        <v>53</v>
      </c>
      <c r="C34" s="2" t="s">
        <v>53</v>
      </c>
      <c r="D34" s="1" t="s">
        <v>408</v>
      </c>
      <c r="E34" s="3">
        <v>4516609</v>
      </c>
      <c r="F34" s="3">
        <v>879</v>
      </c>
      <c r="G34" s="3">
        <v>0</v>
      </c>
      <c r="H34" s="3">
        <v>19194</v>
      </c>
      <c r="I34" s="1">
        <v>0</v>
      </c>
      <c r="J34" s="3">
        <v>4515730</v>
      </c>
      <c r="K34" s="3">
        <v>4496536</v>
      </c>
      <c r="L34" s="3">
        <v>4496536</v>
      </c>
      <c r="M34" s="3">
        <v>201449</v>
      </c>
      <c r="N34" s="3">
        <v>561891</v>
      </c>
      <c r="O34" s="3">
        <v>72194</v>
      </c>
      <c r="P34" s="3">
        <v>59803</v>
      </c>
      <c r="Q34" s="3">
        <v>309390</v>
      </c>
      <c r="R34" s="3">
        <v>3311003</v>
      </c>
      <c r="S34" s="3">
        <v>3291809</v>
      </c>
      <c r="T34" s="3">
        <v>3291809</v>
      </c>
      <c r="U34" s="3">
        <v>451573</v>
      </c>
      <c r="V34" s="3">
        <v>451573</v>
      </c>
      <c r="W34" s="3">
        <v>451573</v>
      </c>
      <c r="X34" s="3">
        <v>451573</v>
      </c>
      <c r="Y34" s="3">
        <v>448374</v>
      </c>
      <c r="Z34" s="3">
        <v>448374</v>
      </c>
      <c r="AA34" s="4">
        <v>448374</v>
      </c>
      <c r="AB34" s="4">
        <v>448374</v>
      </c>
      <c r="AC34" s="4">
        <v>448374</v>
      </c>
      <c r="AD34" s="4">
        <v>448374</v>
      </c>
      <c r="AE34" s="4">
        <v>451573</v>
      </c>
      <c r="AF34" s="4">
        <v>903146</v>
      </c>
      <c r="AG34" s="4">
        <v>1354719</v>
      </c>
      <c r="AH34" s="4">
        <v>1806292</v>
      </c>
      <c r="AI34" s="4">
        <v>2254666</v>
      </c>
      <c r="AJ34" s="4">
        <v>2703040</v>
      </c>
      <c r="AK34" s="4">
        <v>3151414</v>
      </c>
      <c r="AL34" s="4">
        <v>3599788</v>
      </c>
      <c r="AM34" s="4">
        <v>4048162</v>
      </c>
      <c r="AN34" s="4">
        <v>4496536</v>
      </c>
      <c r="AO34" s="150">
        <v>394661</v>
      </c>
    </row>
    <row r="35" spans="1:41" x14ac:dyDescent="0.2">
      <c r="A35" s="1">
        <v>2024</v>
      </c>
      <c r="B35" s="2" t="s">
        <v>54</v>
      </c>
      <c r="C35" s="2" t="s">
        <v>54</v>
      </c>
      <c r="D35" s="1" t="s">
        <v>409</v>
      </c>
      <c r="E35" s="3">
        <v>18594193</v>
      </c>
      <c r="F35" s="3">
        <v>1808</v>
      </c>
      <c r="G35" s="3">
        <v>4504</v>
      </c>
      <c r="H35" s="3">
        <v>57767</v>
      </c>
      <c r="I35" s="1">
        <v>0</v>
      </c>
      <c r="J35" s="3">
        <v>18587881</v>
      </c>
      <c r="K35" s="3">
        <v>18530114</v>
      </c>
      <c r="L35" s="3">
        <v>18530114</v>
      </c>
      <c r="M35" s="3">
        <v>414300</v>
      </c>
      <c r="N35" s="3">
        <v>1574906</v>
      </c>
      <c r="O35" s="3">
        <v>191384</v>
      </c>
      <c r="P35" s="3">
        <v>164877</v>
      </c>
      <c r="Q35" s="3">
        <v>926816</v>
      </c>
      <c r="R35" s="3">
        <v>15315598</v>
      </c>
      <c r="S35" s="3">
        <v>15257831</v>
      </c>
      <c r="T35" s="3">
        <v>15257831</v>
      </c>
      <c r="U35" s="3">
        <v>1858788</v>
      </c>
      <c r="V35" s="3">
        <v>1858788</v>
      </c>
      <c r="W35" s="3">
        <v>1858788</v>
      </c>
      <c r="X35" s="3">
        <v>1858788</v>
      </c>
      <c r="Y35" s="3">
        <v>1849160</v>
      </c>
      <c r="Z35" s="3">
        <v>1849160</v>
      </c>
      <c r="AA35" s="4">
        <v>1849161</v>
      </c>
      <c r="AB35" s="4">
        <v>1849161</v>
      </c>
      <c r="AC35" s="4">
        <v>1849161</v>
      </c>
      <c r="AD35" s="4">
        <v>1849159</v>
      </c>
      <c r="AE35" s="4">
        <v>1858788</v>
      </c>
      <c r="AF35" s="4">
        <v>3717576</v>
      </c>
      <c r="AG35" s="4">
        <v>5576364</v>
      </c>
      <c r="AH35" s="4">
        <v>7435152</v>
      </c>
      <c r="AI35" s="4">
        <v>9284312</v>
      </c>
      <c r="AJ35" s="4">
        <v>11133472</v>
      </c>
      <c r="AK35" s="4">
        <v>12982633</v>
      </c>
      <c r="AL35" s="4">
        <v>14831794</v>
      </c>
      <c r="AM35" s="4">
        <v>16680955</v>
      </c>
      <c r="AN35" s="4">
        <v>18530114</v>
      </c>
      <c r="AO35" s="150">
        <v>1276703</v>
      </c>
    </row>
    <row r="36" spans="1:41" x14ac:dyDescent="0.2">
      <c r="A36" s="1">
        <v>2024</v>
      </c>
      <c r="B36" s="2" t="s">
        <v>55</v>
      </c>
      <c r="C36" s="2" t="s">
        <v>55</v>
      </c>
      <c r="D36" s="1" t="s">
        <v>410</v>
      </c>
      <c r="E36" s="3">
        <v>16251147</v>
      </c>
      <c r="F36" s="3">
        <v>1858</v>
      </c>
      <c r="G36" s="3">
        <v>0</v>
      </c>
      <c r="H36" s="3">
        <v>46801</v>
      </c>
      <c r="I36" s="1">
        <v>0</v>
      </c>
      <c r="J36" s="3">
        <v>16249289</v>
      </c>
      <c r="K36" s="3">
        <v>16202488</v>
      </c>
      <c r="L36" s="3">
        <v>16202488</v>
      </c>
      <c r="M36" s="3">
        <v>425702</v>
      </c>
      <c r="N36" s="3">
        <v>1352554</v>
      </c>
      <c r="O36" s="3">
        <v>156052</v>
      </c>
      <c r="P36" s="3">
        <v>166871</v>
      </c>
      <c r="Q36" s="3">
        <v>750880</v>
      </c>
      <c r="R36" s="3">
        <v>13397230</v>
      </c>
      <c r="S36" s="3">
        <v>13350429</v>
      </c>
      <c r="T36" s="3">
        <v>13350429</v>
      </c>
      <c r="U36" s="3">
        <v>1624929</v>
      </c>
      <c r="V36" s="3">
        <v>1624929</v>
      </c>
      <c r="W36" s="3">
        <v>1624929</v>
      </c>
      <c r="X36" s="3">
        <v>1624929</v>
      </c>
      <c r="Y36" s="3">
        <v>1617129</v>
      </c>
      <c r="Z36" s="3">
        <v>1617129</v>
      </c>
      <c r="AA36" s="4">
        <v>1617129</v>
      </c>
      <c r="AB36" s="4">
        <v>1617129</v>
      </c>
      <c r="AC36" s="4">
        <v>1617129</v>
      </c>
      <c r="AD36" s="4">
        <v>1617127</v>
      </c>
      <c r="AE36" s="4">
        <v>1624929</v>
      </c>
      <c r="AF36" s="4">
        <v>3249858</v>
      </c>
      <c r="AG36" s="4">
        <v>4874787</v>
      </c>
      <c r="AH36" s="4">
        <v>6499716</v>
      </c>
      <c r="AI36" s="4">
        <v>8116845</v>
      </c>
      <c r="AJ36" s="4">
        <v>9733974</v>
      </c>
      <c r="AK36" s="4">
        <v>11351103</v>
      </c>
      <c r="AL36" s="4">
        <v>12968232</v>
      </c>
      <c r="AM36" s="4">
        <v>14585361</v>
      </c>
      <c r="AN36" s="4">
        <v>16202488</v>
      </c>
      <c r="AO36" s="150">
        <v>1002405</v>
      </c>
    </row>
    <row r="37" spans="1:41" x14ac:dyDescent="0.2">
      <c r="A37" s="1">
        <v>2024</v>
      </c>
      <c r="B37" s="2" t="s">
        <v>56</v>
      </c>
      <c r="C37" s="2" t="s">
        <v>56</v>
      </c>
      <c r="D37" s="1" t="s">
        <v>411</v>
      </c>
      <c r="E37" s="3">
        <v>3951438</v>
      </c>
      <c r="F37" s="3">
        <v>995</v>
      </c>
      <c r="G37" s="3">
        <v>0</v>
      </c>
      <c r="H37" s="3">
        <v>13058</v>
      </c>
      <c r="I37" s="1">
        <v>0</v>
      </c>
      <c r="J37" s="3">
        <v>3950443</v>
      </c>
      <c r="K37" s="3">
        <v>3937385</v>
      </c>
      <c r="L37" s="3">
        <v>3937385</v>
      </c>
      <c r="M37" s="3">
        <v>228055</v>
      </c>
      <c r="N37" s="3">
        <v>368922</v>
      </c>
      <c r="O37" s="3">
        <v>48874</v>
      </c>
      <c r="P37" s="3">
        <v>40614</v>
      </c>
      <c r="Q37" s="3">
        <v>209509</v>
      </c>
      <c r="R37" s="3">
        <v>3054469</v>
      </c>
      <c r="S37" s="3">
        <v>3041411</v>
      </c>
      <c r="T37" s="3">
        <v>3041411</v>
      </c>
      <c r="U37" s="3">
        <v>395044</v>
      </c>
      <c r="V37" s="3">
        <v>395044</v>
      </c>
      <c r="W37" s="3">
        <v>395044</v>
      </c>
      <c r="X37" s="3">
        <v>395044</v>
      </c>
      <c r="Y37" s="3">
        <v>392868</v>
      </c>
      <c r="Z37" s="3">
        <v>392868</v>
      </c>
      <c r="AA37" s="4">
        <v>392868</v>
      </c>
      <c r="AB37" s="4">
        <v>392868</v>
      </c>
      <c r="AC37" s="4">
        <v>392868</v>
      </c>
      <c r="AD37" s="4">
        <v>392869</v>
      </c>
      <c r="AE37" s="4">
        <v>395044</v>
      </c>
      <c r="AF37" s="4">
        <v>790088</v>
      </c>
      <c r="AG37" s="4">
        <v>1185132</v>
      </c>
      <c r="AH37" s="4">
        <v>1580176</v>
      </c>
      <c r="AI37" s="4">
        <v>1973044</v>
      </c>
      <c r="AJ37" s="4">
        <v>2365912</v>
      </c>
      <c r="AK37" s="4">
        <v>2758780</v>
      </c>
      <c r="AL37" s="4">
        <v>3151648</v>
      </c>
      <c r="AM37" s="4">
        <v>3544516</v>
      </c>
      <c r="AN37" s="4">
        <v>3937385</v>
      </c>
      <c r="AO37" s="150">
        <v>332332</v>
      </c>
    </row>
    <row r="38" spans="1:41" x14ac:dyDescent="0.2">
      <c r="A38" s="1">
        <v>2024</v>
      </c>
      <c r="B38" s="2" t="s">
        <v>57</v>
      </c>
      <c r="C38" s="2" t="s">
        <v>57</v>
      </c>
      <c r="D38" s="1" t="s">
        <v>412</v>
      </c>
      <c r="E38" s="3">
        <v>3252015</v>
      </c>
      <c r="F38" s="3">
        <v>680</v>
      </c>
      <c r="G38" s="3">
        <v>0</v>
      </c>
      <c r="H38" s="3">
        <v>12847</v>
      </c>
      <c r="I38" s="1">
        <v>0</v>
      </c>
      <c r="J38" s="3">
        <v>3251335</v>
      </c>
      <c r="K38" s="3">
        <v>3238488</v>
      </c>
      <c r="L38" s="3">
        <v>3238488</v>
      </c>
      <c r="M38" s="3">
        <v>155838</v>
      </c>
      <c r="N38" s="3">
        <v>369071</v>
      </c>
      <c r="O38" s="3">
        <v>42814</v>
      </c>
      <c r="P38" s="3">
        <v>38323</v>
      </c>
      <c r="Q38" s="3">
        <v>206119</v>
      </c>
      <c r="R38" s="3">
        <v>2439170</v>
      </c>
      <c r="S38" s="3">
        <v>2426323</v>
      </c>
      <c r="T38" s="3">
        <v>2426323</v>
      </c>
      <c r="U38" s="3">
        <v>325134</v>
      </c>
      <c r="V38" s="3">
        <v>325134</v>
      </c>
      <c r="W38" s="3">
        <v>325134</v>
      </c>
      <c r="X38" s="3">
        <v>325134</v>
      </c>
      <c r="Y38" s="3">
        <v>322992</v>
      </c>
      <c r="Z38" s="3">
        <v>322992</v>
      </c>
      <c r="AA38" s="4">
        <v>322992</v>
      </c>
      <c r="AB38" s="4">
        <v>322992</v>
      </c>
      <c r="AC38" s="4">
        <v>322992</v>
      </c>
      <c r="AD38" s="4">
        <v>322992</v>
      </c>
      <c r="AE38" s="4">
        <v>325134</v>
      </c>
      <c r="AF38" s="4">
        <v>650268</v>
      </c>
      <c r="AG38" s="4">
        <v>975402</v>
      </c>
      <c r="AH38" s="4">
        <v>1300536</v>
      </c>
      <c r="AI38" s="4">
        <v>1623528</v>
      </c>
      <c r="AJ38" s="4">
        <v>1946520</v>
      </c>
      <c r="AK38" s="4">
        <v>2269512</v>
      </c>
      <c r="AL38" s="4">
        <v>2592504</v>
      </c>
      <c r="AM38" s="4">
        <v>2915496</v>
      </c>
      <c r="AN38" s="4">
        <v>3238488</v>
      </c>
      <c r="AO38" s="150">
        <v>263788</v>
      </c>
    </row>
    <row r="39" spans="1:41" x14ac:dyDescent="0.2">
      <c r="A39" s="1">
        <v>2024</v>
      </c>
      <c r="B39" s="2" t="s">
        <v>58</v>
      </c>
      <c r="C39" s="2" t="s">
        <v>58</v>
      </c>
      <c r="D39" s="1" t="s">
        <v>413</v>
      </c>
      <c r="E39" s="3">
        <v>3284699</v>
      </c>
      <c r="F39" s="1">
        <v>448</v>
      </c>
      <c r="G39" s="3">
        <v>4630</v>
      </c>
      <c r="H39" s="3">
        <v>11823</v>
      </c>
      <c r="I39" s="1">
        <v>0</v>
      </c>
      <c r="J39" s="3">
        <v>3279621</v>
      </c>
      <c r="K39" s="3">
        <v>3267798</v>
      </c>
      <c r="L39" s="3">
        <v>3267798</v>
      </c>
      <c r="M39" s="3">
        <v>102625</v>
      </c>
      <c r="N39" s="3">
        <v>353610</v>
      </c>
      <c r="O39" s="3">
        <v>38476</v>
      </c>
      <c r="P39" s="3">
        <v>35998</v>
      </c>
      <c r="Q39" s="3">
        <v>190278</v>
      </c>
      <c r="R39" s="3">
        <v>2558634</v>
      </c>
      <c r="S39" s="3">
        <v>2546811</v>
      </c>
      <c r="T39" s="3">
        <v>2546811</v>
      </c>
      <c r="U39" s="3">
        <v>327962</v>
      </c>
      <c r="V39" s="3">
        <v>327962</v>
      </c>
      <c r="W39" s="3">
        <v>327962</v>
      </c>
      <c r="X39" s="3">
        <v>327962</v>
      </c>
      <c r="Y39" s="3">
        <v>325992</v>
      </c>
      <c r="Z39" s="3">
        <v>325992</v>
      </c>
      <c r="AA39" s="4">
        <v>325992</v>
      </c>
      <c r="AB39" s="4">
        <v>325992</v>
      </c>
      <c r="AC39" s="4">
        <v>325992</v>
      </c>
      <c r="AD39" s="4">
        <v>325990</v>
      </c>
      <c r="AE39" s="4">
        <v>327962</v>
      </c>
      <c r="AF39" s="4">
        <v>655924</v>
      </c>
      <c r="AG39" s="4">
        <v>983886</v>
      </c>
      <c r="AH39" s="4">
        <v>1311848</v>
      </c>
      <c r="AI39" s="4">
        <v>1637840</v>
      </c>
      <c r="AJ39" s="4">
        <v>1963832</v>
      </c>
      <c r="AK39" s="4">
        <v>2289824</v>
      </c>
      <c r="AL39" s="4">
        <v>2615816</v>
      </c>
      <c r="AM39" s="4">
        <v>2941808</v>
      </c>
      <c r="AN39" s="4">
        <v>3267798</v>
      </c>
      <c r="AO39" s="150">
        <v>254867</v>
      </c>
    </row>
    <row r="40" spans="1:41" x14ac:dyDescent="0.2">
      <c r="A40" s="1">
        <v>2024</v>
      </c>
      <c r="B40" s="2" t="s">
        <v>59</v>
      </c>
      <c r="C40" s="2" t="s">
        <v>59</v>
      </c>
      <c r="D40" s="1" t="s">
        <v>414</v>
      </c>
      <c r="E40" s="3">
        <v>2530223</v>
      </c>
      <c r="F40" s="1">
        <v>531</v>
      </c>
      <c r="G40" s="1">
        <v>0</v>
      </c>
      <c r="H40" s="3">
        <v>11106</v>
      </c>
      <c r="I40" s="1">
        <v>0</v>
      </c>
      <c r="J40" s="3">
        <v>2529692</v>
      </c>
      <c r="K40" s="3">
        <v>2518586</v>
      </c>
      <c r="L40" s="3">
        <v>2518586</v>
      </c>
      <c r="M40" s="3">
        <v>121629</v>
      </c>
      <c r="N40" s="3">
        <v>334635</v>
      </c>
      <c r="O40" s="3">
        <v>35262</v>
      </c>
      <c r="P40" s="3">
        <v>36620</v>
      </c>
      <c r="Q40" s="3">
        <v>178184</v>
      </c>
      <c r="R40" s="3">
        <v>1823362</v>
      </c>
      <c r="S40" s="3">
        <v>1812256</v>
      </c>
      <c r="T40" s="3">
        <v>1812256</v>
      </c>
      <c r="U40" s="3">
        <v>252969</v>
      </c>
      <c r="V40" s="3">
        <v>252969</v>
      </c>
      <c r="W40" s="3">
        <v>252969</v>
      </c>
      <c r="X40" s="3">
        <v>252969</v>
      </c>
      <c r="Y40" s="3">
        <v>251118</v>
      </c>
      <c r="Z40" s="3">
        <v>251118</v>
      </c>
      <c r="AA40" s="4">
        <v>251119</v>
      </c>
      <c r="AB40" s="4">
        <v>251119</v>
      </c>
      <c r="AC40" s="4">
        <v>251119</v>
      </c>
      <c r="AD40" s="4">
        <v>251117</v>
      </c>
      <c r="AE40" s="4">
        <v>252969</v>
      </c>
      <c r="AF40" s="4">
        <v>505938</v>
      </c>
      <c r="AG40" s="4">
        <v>758907</v>
      </c>
      <c r="AH40" s="4">
        <v>1011876</v>
      </c>
      <c r="AI40" s="4">
        <v>1262994</v>
      </c>
      <c r="AJ40" s="4">
        <v>1514112</v>
      </c>
      <c r="AK40" s="4">
        <v>1765231</v>
      </c>
      <c r="AL40" s="4">
        <v>2016350</v>
      </c>
      <c r="AM40" s="4">
        <v>2267469</v>
      </c>
      <c r="AN40" s="4">
        <v>2518586</v>
      </c>
      <c r="AO40" s="150">
        <v>235712</v>
      </c>
    </row>
    <row r="41" spans="1:41" x14ac:dyDescent="0.2">
      <c r="A41" s="1">
        <v>2024</v>
      </c>
      <c r="B41" s="2" t="s">
        <v>60</v>
      </c>
      <c r="C41" s="2" t="s">
        <v>60</v>
      </c>
      <c r="D41" s="1" t="s">
        <v>415</v>
      </c>
      <c r="E41" s="3">
        <v>31342903</v>
      </c>
      <c r="F41" s="3">
        <v>2571</v>
      </c>
      <c r="G41" s="3">
        <v>0</v>
      </c>
      <c r="H41" s="3">
        <v>88669</v>
      </c>
      <c r="I41" s="3">
        <v>0</v>
      </c>
      <c r="J41" s="3">
        <v>31340332</v>
      </c>
      <c r="K41" s="3">
        <v>31251663</v>
      </c>
      <c r="L41" s="3">
        <v>31251663</v>
      </c>
      <c r="M41" s="3">
        <v>589142</v>
      </c>
      <c r="N41" s="3">
        <v>2489289</v>
      </c>
      <c r="O41" s="3">
        <v>337150</v>
      </c>
      <c r="P41" s="3">
        <v>274615</v>
      </c>
      <c r="Q41" s="3">
        <v>1422600</v>
      </c>
      <c r="R41" s="3">
        <v>26227536</v>
      </c>
      <c r="S41" s="3">
        <v>26138867</v>
      </c>
      <c r="T41" s="3">
        <v>26138867</v>
      </c>
      <c r="U41" s="3">
        <v>3134033</v>
      </c>
      <c r="V41" s="3">
        <v>3134033</v>
      </c>
      <c r="W41" s="3">
        <v>3134033</v>
      </c>
      <c r="X41" s="3">
        <v>3134033</v>
      </c>
      <c r="Y41" s="3">
        <v>3119255</v>
      </c>
      <c r="Z41" s="3">
        <v>3119255</v>
      </c>
      <c r="AA41" s="4">
        <v>3119255</v>
      </c>
      <c r="AB41" s="4">
        <v>3119255</v>
      </c>
      <c r="AC41" s="4">
        <v>3119255</v>
      </c>
      <c r="AD41" s="4">
        <v>3119256</v>
      </c>
      <c r="AE41" s="4">
        <v>3134033</v>
      </c>
      <c r="AF41" s="4">
        <v>6268066</v>
      </c>
      <c r="AG41" s="4">
        <v>9402099</v>
      </c>
      <c r="AH41" s="4">
        <v>12536132</v>
      </c>
      <c r="AI41" s="4">
        <v>15655387</v>
      </c>
      <c r="AJ41" s="4">
        <v>18774642</v>
      </c>
      <c r="AK41" s="4">
        <v>21893897</v>
      </c>
      <c r="AL41" s="4">
        <v>25013152</v>
      </c>
      <c r="AM41" s="4">
        <v>28132407</v>
      </c>
      <c r="AN41" s="4">
        <v>31251663</v>
      </c>
      <c r="AO41" s="150">
        <v>1944876</v>
      </c>
    </row>
    <row r="42" spans="1:41" x14ac:dyDescent="0.2">
      <c r="A42" s="1">
        <v>2024</v>
      </c>
      <c r="B42" s="2" t="s">
        <v>61</v>
      </c>
      <c r="C42" s="2" t="s">
        <v>61</v>
      </c>
      <c r="D42" s="1" t="s">
        <v>2</v>
      </c>
      <c r="E42" s="3">
        <v>1825694</v>
      </c>
      <c r="F42" s="3">
        <v>415</v>
      </c>
      <c r="G42" s="3">
        <v>0</v>
      </c>
      <c r="H42" s="3">
        <v>10656</v>
      </c>
      <c r="I42" s="1">
        <v>0</v>
      </c>
      <c r="J42" s="3">
        <v>1825279</v>
      </c>
      <c r="K42" s="3">
        <v>1814623</v>
      </c>
      <c r="L42" s="3">
        <v>1814623</v>
      </c>
      <c r="M42" s="3">
        <v>95023</v>
      </c>
      <c r="N42" s="3">
        <v>326530</v>
      </c>
      <c r="O42" s="3">
        <v>34361</v>
      </c>
      <c r="P42" s="3">
        <v>33336</v>
      </c>
      <c r="Q42" s="3">
        <v>170961</v>
      </c>
      <c r="R42" s="3">
        <v>1165068</v>
      </c>
      <c r="S42" s="3">
        <v>1154412</v>
      </c>
      <c r="T42" s="3">
        <v>1154412</v>
      </c>
      <c r="U42" s="3">
        <v>182528</v>
      </c>
      <c r="V42" s="3">
        <v>182528</v>
      </c>
      <c r="W42" s="3">
        <v>182528</v>
      </c>
      <c r="X42" s="3">
        <v>182528</v>
      </c>
      <c r="Y42" s="3">
        <v>180752</v>
      </c>
      <c r="Z42" s="3">
        <v>180752</v>
      </c>
      <c r="AA42" s="4">
        <v>180752</v>
      </c>
      <c r="AB42" s="4">
        <v>180752</v>
      </c>
      <c r="AC42" s="4">
        <v>180752</v>
      </c>
      <c r="AD42" s="4">
        <v>180751</v>
      </c>
      <c r="AE42" s="4">
        <v>182528</v>
      </c>
      <c r="AF42" s="4">
        <v>365056</v>
      </c>
      <c r="AG42" s="4">
        <v>547584</v>
      </c>
      <c r="AH42" s="4">
        <v>730112</v>
      </c>
      <c r="AI42" s="4">
        <v>910864</v>
      </c>
      <c r="AJ42" s="4">
        <v>1091616</v>
      </c>
      <c r="AK42" s="4">
        <v>1272368</v>
      </c>
      <c r="AL42" s="4">
        <v>1453120</v>
      </c>
      <c r="AM42" s="4">
        <v>1633872</v>
      </c>
      <c r="AN42" s="4">
        <v>1814623</v>
      </c>
      <c r="AO42" s="150">
        <v>220217</v>
      </c>
    </row>
    <row r="43" spans="1:41" x14ac:dyDescent="0.2">
      <c r="A43" s="1">
        <v>2024</v>
      </c>
      <c r="B43" s="2" t="s">
        <v>62</v>
      </c>
      <c r="C43" s="2" t="s">
        <v>62</v>
      </c>
      <c r="D43" s="1" t="s">
        <v>3</v>
      </c>
      <c r="E43" s="3">
        <v>1884880</v>
      </c>
      <c r="F43" s="3">
        <v>232</v>
      </c>
      <c r="G43" s="3">
        <v>0</v>
      </c>
      <c r="H43" s="3">
        <v>6450</v>
      </c>
      <c r="I43" s="3">
        <v>0</v>
      </c>
      <c r="J43" s="3">
        <v>1884648</v>
      </c>
      <c r="K43" s="3">
        <v>1878198</v>
      </c>
      <c r="L43" s="3">
        <v>1878198</v>
      </c>
      <c r="M43" s="3">
        <v>53213</v>
      </c>
      <c r="N43" s="3">
        <v>205161</v>
      </c>
      <c r="O43" s="3">
        <v>23371</v>
      </c>
      <c r="P43" s="3">
        <v>22666</v>
      </c>
      <c r="Q43" s="3">
        <v>103483</v>
      </c>
      <c r="R43" s="3">
        <v>1476754</v>
      </c>
      <c r="S43" s="3">
        <v>1470304</v>
      </c>
      <c r="T43" s="3">
        <v>1470304</v>
      </c>
      <c r="U43" s="3">
        <v>188465</v>
      </c>
      <c r="V43" s="3">
        <v>188465</v>
      </c>
      <c r="W43" s="3">
        <v>188465</v>
      </c>
      <c r="X43" s="3">
        <v>188465</v>
      </c>
      <c r="Y43" s="3">
        <v>187390</v>
      </c>
      <c r="Z43" s="3">
        <v>187390</v>
      </c>
      <c r="AA43" s="4">
        <v>187390</v>
      </c>
      <c r="AB43" s="4">
        <v>187390</v>
      </c>
      <c r="AC43" s="4">
        <v>187390</v>
      </c>
      <c r="AD43" s="4">
        <v>187388</v>
      </c>
      <c r="AE43" s="4">
        <v>188465</v>
      </c>
      <c r="AF43" s="4">
        <v>376930</v>
      </c>
      <c r="AG43" s="4">
        <v>565395</v>
      </c>
      <c r="AH43" s="4">
        <v>753860</v>
      </c>
      <c r="AI43" s="4">
        <v>941250</v>
      </c>
      <c r="AJ43" s="4">
        <v>1128640</v>
      </c>
      <c r="AK43" s="4">
        <v>1316030</v>
      </c>
      <c r="AL43" s="4">
        <v>1503420</v>
      </c>
      <c r="AM43" s="4">
        <v>1690810</v>
      </c>
      <c r="AN43" s="4">
        <v>1878198</v>
      </c>
      <c r="AO43" s="150">
        <v>142782</v>
      </c>
    </row>
    <row r="44" spans="1:41" x14ac:dyDescent="0.2">
      <c r="A44" s="1">
        <v>2024</v>
      </c>
      <c r="B44" s="2" t="s">
        <v>63</v>
      </c>
      <c r="C44" s="2" t="s">
        <v>63</v>
      </c>
      <c r="D44" s="1" t="s">
        <v>416</v>
      </c>
      <c r="E44" s="3">
        <v>2356693</v>
      </c>
      <c r="F44" s="3">
        <v>199</v>
      </c>
      <c r="G44" s="3">
        <v>0</v>
      </c>
      <c r="H44" s="3">
        <v>8758</v>
      </c>
      <c r="I44" s="1">
        <v>0</v>
      </c>
      <c r="J44" s="3">
        <v>2356494</v>
      </c>
      <c r="K44" s="3">
        <v>2347736</v>
      </c>
      <c r="L44" s="3">
        <v>2347736</v>
      </c>
      <c r="M44" s="3">
        <v>45611</v>
      </c>
      <c r="N44" s="3">
        <v>272923</v>
      </c>
      <c r="O44" s="3">
        <v>31598</v>
      </c>
      <c r="P44" s="3">
        <v>29955</v>
      </c>
      <c r="Q44" s="3">
        <v>140520</v>
      </c>
      <c r="R44" s="3">
        <v>1835887</v>
      </c>
      <c r="S44" s="3">
        <v>1827129</v>
      </c>
      <c r="T44" s="3">
        <v>1827129</v>
      </c>
      <c r="U44" s="3">
        <v>235649</v>
      </c>
      <c r="V44" s="3">
        <v>235649</v>
      </c>
      <c r="W44" s="3">
        <v>235649</v>
      </c>
      <c r="X44" s="3">
        <v>235649</v>
      </c>
      <c r="Y44" s="3">
        <v>234190</v>
      </c>
      <c r="Z44" s="3">
        <v>234190</v>
      </c>
      <c r="AA44" s="4">
        <v>234190</v>
      </c>
      <c r="AB44" s="4">
        <v>234190</v>
      </c>
      <c r="AC44" s="4">
        <v>234190</v>
      </c>
      <c r="AD44" s="4">
        <v>234190</v>
      </c>
      <c r="AE44" s="4">
        <v>235649</v>
      </c>
      <c r="AF44" s="4">
        <v>471298</v>
      </c>
      <c r="AG44" s="4">
        <v>706947</v>
      </c>
      <c r="AH44" s="4">
        <v>942596</v>
      </c>
      <c r="AI44" s="4">
        <v>1176786</v>
      </c>
      <c r="AJ44" s="4">
        <v>1410976</v>
      </c>
      <c r="AK44" s="4">
        <v>1645166</v>
      </c>
      <c r="AL44" s="4">
        <v>1879356</v>
      </c>
      <c r="AM44" s="4">
        <v>2113546</v>
      </c>
      <c r="AN44" s="4">
        <v>2347736</v>
      </c>
      <c r="AO44" s="150">
        <v>188322</v>
      </c>
    </row>
    <row r="45" spans="1:41" x14ac:dyDescent="0.2">
      <c r="A45" s="1">
        <v>2024</v>
      </c>
      <c r="B45" s="2" t="s">
        <v>64</v>
      </c>
      <c r="C45" s="2" t="s">
        <v>64</v>
      </c>
      <c r="D45" s="1" t="s">
        <v>417</v>
      </c>
      <c r="E45" s="3">
        <v>5720544</v>
      </c>
      <c r="F45" s="3">
        <v>912</v>
      </c>
      <c r="G45" s="3">
        <v>0</v>
      </c>
      <c r="H45" s="3">
        <v>19623</v>
      </c>
      <c r="I45" s="1">
        <v>0</v>
      </c>
      <c r="J45" s="3">
        <v>5719632</v>
      </c>
      <c r="K45" s="3">
        <v>5700009</v>
      </c>
      <c r="L45" s="3">
        <v>5700009</v>
      </c>
      <c r="M45" s="3">
        <v>209051</v>
      </c>
      <c r="N45" s="3">
        <v>569921</v>
      </c>
      <c r="O45" s="3">
        <v>70933</v>
      </c>
      <c r="P45" s="3">
        <v>60288</v>
      </c>
      <c r="Q45" s="3">
        <v>314835</v>
      </c>
      <c r="R45" s="3">
        <v>4494604</v>
      </c>
      <c r="S45" s="3">
        <v>4474981</v>
      </c>
      <c r="T45" s="3">
        <v>4474981</v>
      </c>
      <c r="U45" s="3">
        <v>571963</v>
      </c>
      <c r="V45" s="3">
        <v>571963</v>
      </c>
      <c r="W45" s="3">
        <v>571963</v>
      </c>
      <c r="X45" s="3">
        <v>571963</v>
      </c>
      <c r="Y45" s="3">
        <v>568693</v>
      </c>
      <c r="Z45" s="3">
        <v>568693</v>
      </c>
      <c r="AA45" s="4">
        <v>568693</v>
      </c>
      <c r="AB45" s="4">
        <v>568693</v>
      </c>
      <c r="AC45" s="4">
        <v>568693</v>
      </c>
      <c r="AD45" s="4">
        <v>568692</v>
      </c>
      <c r="AE45" s="4">
        <v>571963</v>
      </c>
      <c r="AF45" s="4">
        <v>1143926</v>
      </c>
      <c r="AG45" s="4">
        <v>1715889</v>
      </c>
      <c r="AH45" s="4">
        <v>2287852</v>
      </c>
      <c r="AI45" s="4">
        <v>2856545</v>
      </c>
      <c r="AJ45" s="4">
        <v>3425238</v>
      </c>
      <c r="AK45" s="4">
        <v>3993931</v>
      </c>
      <c r="AL45" s="4">
        <v>4562624</v>
      </c>
      <c r="AM45" s="4">
        <v>5131317</v>
      </c>
      <c r="AN45" s="4">
        <v>5700009</v>
      </c>
      <c r="AO45" s="150">
        <v>411142</v>
      </c>
    </row>
    <row r="46" spans="1:41" x14ac:dyDescent="0.2">
      <c r="A46" s="1">
        <v>2024</v>
      </c>
      <c r="B46" s="2" t="s">
        <v>65</v>
      </c>
      <c r="C46" s="2" t="s">
        <v>65</v>
      </c>
      <c r="D46" s="1" t="s">
        <v>418</v>
      </c>
      <c r="E46" s="3">
        <v>4641722</v>
      </c>
      <c r="F46" s="3">
        <v>1194</v>
      </c>
      <c r="G46" s="3">
        <v>0</v>
      </c>
      <c r="H46" s="3">
        <v>13173</v>
      </c>
      <c r="I46" s="3">
        <v>0</v>
      </c>
      <c r="J46" s="3">
        <v>4640528</v>
      </c>
      <c r="K46" s="3">
        <v>4627355</v>
      </c>
      <c r="L46" s="3">
        <v>4627355</v>
      </c>
      <c r="M46" s="3">
        <v>273666</v>
      </c>
      <c r="N46" s="3">
        <v>392131</v>
      </c>
      <c r="O46" s="3">
        <v>48702</v>
      </c>
      <c r="P46" s="3">
        <v>37404</v>
      </c>
      <c r="Q46" s="3">
        <v>211352</v>
      </c>
      <c r="R46" s="3">
        <v>3677273</v>
      </c>
      <c r="S46" s="3">
        <v>3664100</v>
      </c>
      <c r="T46" s="3">
        <v>3664100</v>
      </c>
      <c r="U46" s="3">
        <v>464053</v>
      </c>
      <c r="V46" s="3">
        <v>464053</v>
      </c>
      <c r="W46" s="3">
        <v>464053</v>
      </c>
      <c r="X46" s="3">
        <v>464053</v>
      </c>
      <c r="Y46" s="3">
        <v>461857</v>
      </c>
      <c r="Z46" s="3">
        <v>461857</v>
      </c>
      <c r="AA46" s="4">
        <v>461857</v>
      </c>
      <c r="AB46" s="4">
        <v>461857</v>
      </c>
      <c r="AC46" s="4">
        <v>461857</v>
      </c>
      <c r="AD46" s="4">
        <v>461858</v>
      </c>
      <c r="AE46" s="4">
        <v>464053</v>
      </c>
      <c r="AF46" s="4">
        <v>928106</v>
      </c>
      <c r="AG46" s="4">
        <v>1392159</v>
      </c>
      <c r="AH46" s="4">
        <v>1856212</v>
      </c>
      <c r="AI46" s="4">
        <v>2318069</v>
      </c>
      <c r="AJ46" s="4">
        <v>2779926</v>
      </c>
      <c r="AK46" s="4">
        <v>3241783</v>
      </c>
      <c r="AL46" s="4">
        <v>3703640</v>
      </c>
      <c r="AM46" s="4">
        <v>4165497</v>
      </c>
      <c r="AN46" s="4">
        <v>4627355</v>
      </c>
      <c r="AO46" s="150">
        <v>280721</v>
      </c>
    </row>
    <row r="47" spans="1:41" x14ac:dyDescent="0.2">
      <c r="A47" s="1">
        <v>2024</v>
      </c>
      <c r="B47" s="2" t="s">
        <v>66</v>
      </c>
      <c r="C47" s="2" t="s">
        <v>66</v>
      </c>
      <c r="D47" s="1" t="s">
        <v>419</v>
      </c>
      <c r="E47" s="3">
        <v>16375106</v>
      </c>
      <c r="F47" s="3">
        <v>1907</v>
      </c>
      <c r="G47" s="3">
        <v>14268</v>
      </c>
      <c r="H47" s="3">
        <v>46193</v>
      </c>
      <c r="I47" s="1">
        <v>0</v>
      </c>
      <c r="J47" s="3">
        <v>16358931</v>
      </c>
      <c r="K47" s="3">
        <v>16312738</v>
      </c>
      <c r="L47" s="3">
        <v>16312738</v>
      </c>
      <c r="M47" s="3">
        <v>437106</v>
      </c>
      <c r="N47" s="3">
        <v>1281550</v>
      </c>
      <c r="O47" s="3">
        <v>156436</v>
      </c>
      <c r="P47" s="3">
        <v>132565</v>
      </c>
      <c r="Q47" s="3">
        <v>741114</v>
      </c>
      <c r="R47" s="3">
        <v>13610160</v>
      </c>
      <c r="S47" s="3">
        <v>13563967</v>
      </c>
      <c r="T47" s="3">
        <v>13563967</v>
      </c>
      <c r="U47" s="3">
        <v>1635893</v>
      </c>
      <c r="V47" s="3">
        <v>1635893</v>
      </c>
      <c r="W47" s="3">
        <v>1635893</v>
      </c>
      <c r="X47" s="3">
        <v>1635893</v>
      </c>
      <c r="Y47" s="3">
        <v>1628194</v>
      </c>
      <c r="Z47" s="3">
        <v>1628194</v>
      </c>
      <c r="AA47" s="4">
        <v>1628195</v>
      </c>
      <c r="AB47" s="4">
        <v>1628195</v>
      </c>
      <c r="AC47" s="4">
        <v>1628195</v>
      </c>
      <c r="AD47" s="4">
        <v>1628193</v>
      </c>
      <c r="AE47" s="4">
        <v>1635893</v>
      </c>
      <c r="AF47" s="4">
        <v>3271786</v>
      </c>
      <c r="AG47" s="4">
        <v>4907679</v>
      </c>
      <c r="AH47" s="4">
        <v>6543572</v>
      </c>
      <c r="AI47" s="4">
        <v>8171766</v>
      </c>
      <c r="AJ47" s="4">
        <v>9799960</v>
      </c>
      <c r="AK47" s="4">
        <v>11428155</v>
      </c>
      <c r="AL47" s="4">
        <v>13056350</v>
      </c>
      <c r="AM47" s="4">
        <v>14684545</v>
      </c>
      <c r="AN47" s="4">
        <v>16312738</v>
      </c>
      <c r="AO47" s="150">
        <v>980768</v>
      </c>
    </row>
    <row r="48" spans="1:41" x14ac:dyDescent="0.2">
      <c r="A48" s="1">
        <v>2024</v>
      </c>
      <c r="B48" s="2" t="s">
        <v>67</v>
      </c>
      <c r="C48" s="2" t="s">
        <v>67</v>
      </c>
      <c r="D48" s="1" t="s">
        <v>420</v>
      </c>
      <c r="E48" s="3">
        <v>9642289</v>
      </c>
      <c r="F48" s="3">
        <v>2720</v>
      </c>
      <c r="G48" s="3">
        <v>0</v>
      </c>
      <c r="H48" s="3">
        <v>37779</v>
      </c>
      <c r="I48" s="1">
        <v>0</v>
      </c>
      <c r="J48" s="3">
        <v>9639569</v>
      </c>
      <c r="K48" s="3">
        <v>9601790</v>
      </c>
      <c r="L48" s="3">
        <v>9601790</v>
      </c>
      <c r="M48" s="3">
        <v>623350</v>
      </c>
      <c r="N48" s="3">
        <v>1047279</v>
      </c>
      <c r="O48" s="3">
        <v>122267</v>
      </c>
      <c r="P48" s="3">
        <v>120277</v>
      </c>
      <c r="Q48" s="3">
        <v>606121</v>
      </c>
      <c r="R48" s="3">
        <v>7120275</v>
      </c>
      <c r="S48" s="3">
        <v>7082496</v>
      </c>
      <c r="T48" s="3">
        <v>7082496</v>
      </c>
      <c r="U48" s="3">
        <v>963957</v>
      </c>
      <c r="V48" s="3">
        <v>963957</v>
      </c>
      <c r="W48" s="3">
        <v>963957</v>
      </c>
      <c r="X48" s="3">
        <v>963957</v>
      </c>
      <c r="Y48" s="3">
        <v>957660</v>
      </c>
      <c r="Z48" s="3">
        <v>957660</v>
      </c>
      <c r="AA48" s="4">
        <v>957661</v>
      </c>
      <c r="AB48" s="4">
        <v>957661</v>
      </c>
      <c r="AC48" s="4">
        <v>957661</v>
      </c>
      <c r="AD48" s="4">
        <v>957659</v>
      </c>
      <c r="AE48" s="4">
        <v>963957</v>
      </c>
      <c r="AF48" s="4">
        <v>1927914</v>
      </c>
      <c r="AG48" s="4">
        <v>2891871</v>
      </c>
      <c r="AH48" s="4">
        <v>3855828</v>
      </c>
      <c r="AI48" s="4">
        <v>4813488</v>
      </c>
      <c r="AJ48" s="4">
        <v>5771148</v>
      </c>
      <c r="AK48" s="4">
        <v>6728809</v>
      </c>
      <c r="AL48" s="4">
        <v>7686470</v>
      </c>
      <c r="AM48" s="4">
        <v>8644131</v>
      </c>
      <c r="AN48" s="4">
        <v>9601790</v>
      </c>
      <c r="AO48" s="150">
        <v>891752</v>
      </c>
    </row>
    <row r="49" spans="1:41" x14ac:dyDescent="0.2">
      <c r="A49" s="1">
        <v>2024</v>
      </c>
      <c r="B49" s="2" t="s">
        <v>68</v>
      </c>
      <c r="C49" s="2" t="s">
        <v>68</v>
      </c>
      <c r="D49" s="1" t="s">
        <v>421</v>
      </c>
      <c r="E49" s="3">
        <v>38263405</v>
      </c>
      <c r="F49" s="3">
        <v>2803</v>
      </c>
      <c r="G49" s="3">
        <v>1726</v>
      </c>
      <c r="H49" s="3">
        <v>126797</v>
      </c>
      <c r="I49" s="1">
        <v>0</v>
      </c>
      <c r="J49" s="3">
        <v>38258876</v>
      </c>
      <c r="K49" s="3">
        <v>38132079</v>
      </c>
      <c r="L49" s="3">
        <v>38132079</v>
      </c>
      <c r="M49" s="3">
        <v>642355</v>
      </c>
      <c r="N49" s="3">
        <v>3551743</v>
      </c>
      <c r="O49" s="3">
        <v>422840</v>
      </c>
      <c r="P49" s="3">
        <v>419472</v>
      </c>
      <c r="Q49" s="3">
        <v>2034322</v>
      </c>
      <c r="R49" s="3">
        <v>31188144</v>
      </c>
      <c r="S49" s="3">
        <v>31061347</v>
      </c>
      <c r="T49" s="3">
        <v>31061347</v>
      </c>
      <c r="U49" s="3">
        <v>3825888</v>
      </c>
      <c r="V49" s="3">
        <v>3825888</v>
      </c>
      <c r="W49" s="3">
        <v>3825888</v>
      </c>
      <c r="X49" s="3">
        <v>3825888</v>
      </c>
      <c r="Y49" s="3">
        <v>3804755</v>
      </c>
      <c r="Z49" s="3">
        <v>3804755</v>
      </c>
      <c r="AA49" s="4">
        <v>3804754</v>
      </c>
      <c r="AB49" s="4">
        <v>3804754</v>
      </c>
      <c r="AC49" s="4">
        <v>3804754</v>
      </c>
      <c r="AD49" s="4">
        <v>3804755</v>
      </c>
      <c r="AE49" s="4">
        <v>3825888</v>
      </c>
      <c r="AF49" s="4">
        <v>7651776</v>
      </c>
      <c r="AG49" s="4">
        <v>11477664</v>
      </c>
      <c r="AH49" s="4">
        <v>15303552</v>
      </c>
      <c r="AI49" s="4">
        <v>19108307</v>
      </c>
      <c r="AJ49" s="4">
        <v>22913062</v>
      </c>
      <c r="AK49" s="4">
        <v>26717816</v>
      </c>
      <c r="AL49" s="4">
        <v>30522570</v>
      </c>
      <c r="AM49" s="4">
        <v>34327324</v>
      </c>
      <c r="AN49" s="4">
        <v>38132079</v>
      </c>
      <c r="AO49" s="150">
        <v>2923145</v>
      </c>
    </row>
    <row r="50" spans="1:41" x14ac:dyDescent="0.2">
      <c r="A50" s="1">
        <v>2024</v>
      </c>
      <c r="B50" s="2" t="s">
        <v>69</v>
      </c>
      <c r="C50" s="2" t="s">
        <v>69</v>
      </c>
      <c r="D50" s="1" t="s">
        <v>422</v>
      </c>
      <c r="E50" s="3">
        <v>116033315</v>
      </c>
      <c r="F50" s="3">
        <v>11626</v>
      </c>
      <c r="G50" s="3">
        <v>19698</v>
      </c>
      <c r="H50" s="3">
        <v>366586</v>
      </c>
      <c r="I50" s="1">
        <v>0</v>
      </c>
      <c r="J50" s="3">
        <v>116001991</v>
      </c>
      <c r="K50" s="3">
        <v>115635405</v>
      </c>
      <c r="L50" s="3">
        <v>115635405</v>
      </c>
      <c r="M50" s="3">
        <v>2668149</v>
      </c>
      <c r="N50" s="3">
        <v>10271884</v>
      </c>
      <c r="O50" s="3">
        <v>1315844</v>
      </c>
      <c r="P50" s="3">
        <v>1206204</v>
      </c>
      <c r="Q50" s="3">
        <v>5881481</v>
      </c>
      <c r="R50" s="3">
        <v>94658429</v>
      </c>
      <c r="S50" s="3">
        <v>94291843</v>
      </c>
      <c r="T50" s="3">
        <v>94291843</v>
      </c>
      <c r="U50" s="3">
        <v>11600199</v>
      </c>
      <c r="V50" s="3">
        <v>11600199</v>
      </c>
      <c r="W50" s="3">
        <v>11600199</v>
      </c>
      <c r="X50" s="3">
        <v>11600199</v>
      </c>
      <c r="Y50" s="3">
        <v>11539102</v>
      </c>
      <c r="Z50" s="3">
        <v>11539102</v>
      </c>
      <c r="AA50" s="4">
        <v>11539101</v>
      </c>
      <c r="AB50" s="4">
        <v>11539101</v>
      </c>
      <c r="AC50" s="4">
        <v>11539101</v>
      </c>
      <c r="AD50" s="4">
        <v>11539102</v>
      </c>
      <c r="AE50" s="4">
        <v>11600199</v>
      </c>
      <c r="AF50" s="4">
        <v>23200398</v>
      </c>
      <c r="AG50" s="4">
        <v>34800597</v>
      </c>
      <c r="AH50" s="4">
        <v>46400796</v>
      </c>
      <c r="AI50" s="4">
        <v>57939898</v>
      </c>
      <c r="AJ50" s="4">
        <v>69479000</v>
      </c>
      <c r="AK50" s="4">
        <v>81018101</v>
      </c>
      <c r="AL50" s="4">
        <v>92557202</v>
      </c>
      <c r="AM50" s="4">
        <v>104096303</v>
      </c>
      <c r="AN50" s="4">
        <v>115635405</v>
      </c>
      <c r="AO50" s="150">
        <v>7988949</v>
      </c>
    </row>
    <row r="51" spans="1:41" x14ac:dyDescent="0.2">
      <c r="A51" s="1">
        <v>2024</v>
      </c>
      <c r="B51" s="2" t="s">
        <v>70</v>
      </c>
      <c r="C51" s="2" t="s">
        <v>70</v>
      </c>
      <c r="D51" s="1" t="s">
        <v>423</v>
      </c>
      <c r="E51" s="3">
        <v>8906111</v>
      </c>
      <c r="F51" s="3">
        <v>1111</v>
      </c>
      <c r="G51" s="3">
        <v>0</v>
      </c>
      <c r="H51" s="3">
        <v>27608</v>
      </c>
      <c r="I51" s="1">
        <v>0</v>
      </c>
      <c r="J51" s="3">
        <v>8905000</v>
      </c>
      <c r="K51" s="3">
        <v>8877392</v>
      </c>
      <c r="L51" s="3">
        <v>8877392</v>
      </c>
      <c r="M51" s="3">
        <v>254662</v>
      </c>
      <c r="N51" s="3">
        <v>790851</v>
      </c>
      <c r="O51" s="3">
        <v>91093</v>
      </c>
      <c r="P51" s="3">
        <v>87906</v>
      </c>
      <c r="Q51" s="3">
        <v>449003</v>
      </c>
      <c r="R51" s="3">
        <v>7231485</v>
      </c>
      <c r="S51" s="3">
        <v>7203877</v>
      </c>
      <c r="T51" s="3">
        <v>7203877</v>
      </c>
      <c r="U51" s="3">
        <v>890500</v>
      </c>
      <c r="V51" s="3">
        <v>890500</v>
      </c>
      <c r="W51" s="3">
        <v>890500</v>
      </c>
      <c r="X51" s="3">
        <v>890500</v>
      </c>
      <c r="Y51" s="3">
        <v>885899</v>
      </c>
      <c r="Z51" s="3">
        <v>885899</v>
      </c>
      <c r="AA51" s="4">
        <v>885899</v>
      </c>
      <c r="AB51" s="4">
        <v>885899</v>
      </c>
      <c r="AC51" s="4">
        <v>885899</v>
      </c>
      <c r="AD51" s="4">
        <v>885897</v>
      </c>
      <c r="AE51" s="4">
        <v>890500</v>
      </c>
      <c r="AF51" s="4">
        <v>1781000</v>
      </c>
      <c r="AG51" s="4">
        <v>2671500</v>
      </c>
      <c r="AH51" s="4">
        <v>3562000</v>
      </c>
      <c r="AI51" s="4">
        <v>4447899</v>
      </c>
      <c r="AJ51" s="4">
        <v>5333798</v>
      </c>
      <c r="AK51" s="4">
        <v>6219697</v>
      </c>
      <c r="AL51" s="4">
        <v>7105596</v>
      </c>
      <c r="AM51" s="4">
        <v>7991495</v>
      </c>
      <c r="AN51" s="4">
        <v>8877392</v>
      </c>
      <c r="AO51" s="150">
        <v>605598</v>
      </c>
    </row>
    <row r="52" spans="1:41" x14ac:dyDescent="0.2">
      <c r="A52" s="1">
        <v>2024</v>
      </c>
      <c r="B52" s="2" t="s">
        <v>71</v>
      </c>
      <c r="C52" s="2" t="s">
        <v>71</v>
      </c>
      <c r="D52" s="1" t="s">
        <v>424</v>
      </c>
      <c r="E52" s="3">
        <v>10911572</v>
      </c>
      <c r="F52" s="3">
        <v>1061</v>
      </c>
      <c r="G52" s="3">
        <v>0</v>
      </c>
      <c r="H52" s="3">
        <v>30592</v>
      </c>
      <c r="I52" s="1">
        <v>0</v>
      </c>
      <c r="J52" s="3">
        <v>10910511</v>
      </c>
      <c r="K52" s="3">
        <v>10879919</v>
      </c>
      <c r="L52" s="3">
        <v>10879919</v>
      </c>
      <c r="M52" s="3">
        <v>243259</v>
      </c>
      <c r="N52" s="3">
        <v>872449</v>
      </c>
      <c r="O52" s="3">
        <v>105945</v>
      </c>
      <c r="P52" s="3">
        <v>99898</v>
      </c>
      <c r="Q52" s="3">
        <v>490808</v>
      </c>
      <c r="R52" s="3">
        <v>9098152</v>
      </c>
      <c r="S52" s="3">
        <v>9067560</v>
      </c>
      <c r="T52" s="3">
        <v>9067560</v>
      </c>
      <c r="U52" s="3">
        <v>1091051</v>
      </c>
      <c r="V52" s="3">
        <v>1091051</v>
      </c>
      <c r="W52" s="3">
        <v>1091051</v>
      </c>
      <c r="X52" s="3">
        <v>1091051</v>
      </c>
      <c r="Y52" s="3">
        <v>1085953</v>
      </c>
      <c r="Z52" s="3">
        <v>1085953</v>
      </c>
      <c r="AA52" s="4">
        <v>1085952</v>
      </c>
      <c r="AB52" s="4">
        <v>1085952</v>
      </c>
      <c r="AC52" s="4">
        <v>1085952</v>
      </c>
      <c r="AD52" s="4">
        <v>1085953</v>
      </c>
      <c r="AE52" s="4">
        <v>1091051</v>
      </c>
      <c r="AF52" s="4">
        <v>2182102</v>
      </c>
      <c r="AG52" s="4">
        <v>3273153</v>
      </c>
      <c r="AH52" s="4">
        <v>4364204</v>
      </c>
      <c r="AI52" s="4">
        <v>5450157</v>
      </c>
      <c r="AJ52" s="4">
        <v>6536110</v>
      </c>
      <c r="AK52" s="4">
        <v>7622062</v>
      </c>
      <c r="AL52" s="4">
        <v>8708014</v>
      </c>
      <c r="AM52" s="4">
        <v>9793966</v>
      </c>
      <c r="AN52" s="4">
        <v>10879919</v>
      </c>
      <c r="AO52" s="150">
        <v>627817</v>
      </c>
    </row>
    <row r="53" spans="1:41" x14ac:dyDescent="0.2">
      <c r="A53" s="1">
        <v>2024</v>
      </c>
      <c r="B53" s="2" t="s">
        <v>72</v>
      </c>
      <c r="C53" s="2" t="s">
        <v>72</v>
      </c>
      <c r="D53" s="1" t="s">
        <v>425</v>
      </c>
      <c r="E53" s="3">
        <v>5184785</v>
      </c>
      <c r="F53" s="3">
        <v>979</v>
      </c>
      <c r="G53" s="3">
        <v>0</v>
      </c>
      <c r="H53" s="3">
        <v>18447</v>
      </c>
      <c r="I53" s="1">
        <v>0</v>
      </c>
      <c r="J53" s="3">
        <v>5183806</v>
      </c>
      <c r="K53" s="3">
        <v>5165359</v>
      </c>
      <c r="L53" s="3">
        <v>5165359</v>
      </c>
      <c r="M53" s="3">
        <v>224254</v>
      </c>
      <c r="N53" s="3">
        <v>547562</v>
      </c>
      <c r="O53" s="3">
        <v>60674</v>
      </c>
      <c r="P53" s="3">
        <v>69372</v>
      </c>
      <c r="Q53" s="3">
        <v>295966</v>
      </c>
      <c r="R53" s="3">
        <v>3985978</v>
      </c>
      <c r="S53" s="3">
        <v>3967531</v>
      </c>
      <c r="T53" s="3">
        <v>3967531</v>
      </c>
      <c r="U53" s="3">
        <v>518381</v>
      </c>
      <c r="V53" s="3">
        <v>518381</v>
      </c>
      <c r="W53" s="3">
        <v>518381</v>
      </c>
      <c r="X53" s="3">
        <v>518381</v>
      </c>
      <c r="Y53" s="3">
        <v>515306</v>
      </c>
      <c r="Z53" s="3">
        <v>515306</v>
      </c>
      <c r="AA53" s="4">
        <v>515306</v>
      </c>
      <c r="AB53" s="4">
        <v>515306</v>
      </c>
      <c r="AC53" s="4">
        <v>515306</v>
      </c>
      <c r="AD53" s="4">
        <v>515305</v>
      </c>
      <c r="AE53" s="4">
        <v>518381</v>
      </c>
      <c r="AF53" s="4">
        <v>1036762</v>
      </c>
      <c r="AG53" s="4">
        <v>1555143</v>
      </c>
      <c r="AH53" s="4">
        <v>2073524</v>
      </c>
      <c r="AI53" s="4">
        <v>2588830</v>
      </c>
      <c r="AJ53" s="4">
        <v>3104136</v>
      </c>
      <c r="AK53" s="4">
        <v>3619442</v>
      </c>
      <c r="AL53" s="4">
        <v>4134748</v>
      </c>
      <c r="AM53" s="4">
        <v>4650054</v>
      </c>
      <c r="AN53" s="4">
        <v>5165359</v>
      </c>
      <c r="AO53" s="150">
        <v>375065</v>
      </c>
    </row>
    <row r="54" spans="1:41" x14ac:dyDescent="0.2">
      <c r="A54" s="1">
        <v>2024</v>
      </c>
      <c r="B54" s="2" t="s">
        <v>73</v>
      </c>
      <c r="C54" s="2" t="s">
        <v>73</v>
      </c>
      <c r="D54" s="1" t="s">
        <v>426</v>
      </c>
      <c r="E54" s="3">
        <v>3117347</v>
      </c>
      <c r="F54" s="3">
        <v>547</v>
      </c>
      <c r="G54" s="3">
        <v>0</v>
      </c>
      <c r="H54" s="3">
        <v>10376</v>
      </c>
      <c r="I54" s="1">
        <v>0</v>
      </c>
      <c r="J54" s="3">
        <v>3116800</v>
      </c>
      <c r="K54" s="3">
        <v>3106424</v>
      </c>
      <c r="L54" s="3">
        <v>3106424</v>
      </c>
      <c r="M54" s="3">
        <v>125431</v>
      </c>
      <c r="N54" s="3">
        <v>302811</v>
      </c>
      <c r="O54" s="3">
        <v>31655</v>
      </c>
      <c r="P54" s="3">
        <v>31678</v>
      </c>
      <c r="Q54" s="3">
        <v>166465</v>
      </c>
      <c r="R54" s="3">
        <v>2458760</v>
      </c>
      <c r="S54" s="3">
        <v>2448384</v>
      </c>
      <c r="T54" s="3">
        <v>2448384</v>
      </c>
      <c r="U54" s="3">
        <v>311680</v>
      </c>
      <c r="V54" s="3">
        <v>311680</v>
      </c>
      <c r="W54" s="3">
        <v>311680</v>
      </c>
      <c r="X54" s="3">
        <v>311680</v>
      </c>
      <c r="Y54" s="3">
        <v>309951</v>
      </c>
      <c r="Z54" s="3">
        <v>309951</v>
      </c>
      <c r="AA54" s="4">
        <v>309951</v>
      </c>
      <c r="AB54" s="4">
        <v>309951</v>
      </c>
      <c r="AC54" s="4">
        <v>309951</v>
      </c>
      <c r="AD54" s="4">
        <v>309949</v>
      </c>
      <c r="AE54" s="4">
        <v>311680</v>
      </c>
      <c r="AF54" s="4">
        <v>623360</v>
      </c>
      <c r="AG54" s="4">
        <v>935040</v>
      </c>
      <c r="AH54" s="4">
        <v>1246720</v>
      </c>
      <c r="AI54" s="4">
        <v>1556671</v>
      </c>
      <c r="AJ54" s="4">
        <v>1866622</v>
      </c>
      <c r="AK54" s="4">
        <v>2176573</v>
      </c>
      <c r="AL54" s="4">
        <v>2486524</v>
      </c>
      <c r="AM54" s="4">
        <v>2796475</v>
      </c>
      <c r="AN54" s="4">
        <v>3106424</v>
      </c>
      <c r="AO54" s="150">
        <v>219527</v>
      </c>
    </row>
    <row r="55" spans="1:41" x14ac:dyDescent="0.2">
      <c r="A55" s="1">
        <v>2024</v>
      </c>
      <c r="B55" s="2" t="s">
        <v>74</v>
      </c>
      <c r="C55" s="2" t="s">
        <v>74</v>
      </c>
      <c r="D55" s="1" t="s">
        <v>427</v>
      </c>
      <c r="E55" s="3">
        <v>9845360</v>
      </c>
      <c r="F55" s="3">
        <v>1509</v>
      </c>
      <c r="G55" s="3">
        <v>0</v>
      </c>
      <c r="H55" s="3">
        <v>33373</v>
      </c>
      <c r="I55" s="1">
        <v>0</v>
      </c>
      <c r="J55" s="3">
        <v>9843851</v>
      </c>
      <c r="K55" s="3">
        <v>9810478</v>
      </c>
      <c r="L55" s="3">
        <v>9810478</v>
      </c>
      <c r="M55" s="3">
        <v>345884</v>
      </c>
      <c r="N55" s="3">
        <v>972673</v>
      </c>
      <c r="O55" s="3">
        <v>101834</v>
      </c>
      <c r="P55" s="3">
        <v>105902</v>
      </c>
      <c r="Q55" s="3">
        <v>535437</v>
      </c>
      <c r="R55" s="3">
        <v>7782121</v>
      </c>
      <c r="S55" s="3">
        <v>7748748</v>
      </c>
      <c r="T55" s="3">
        <v>7748748</v>
      </c>
      <c r="U55" s="3">
        <v>984385</v>
      </c>
      <c r="V55" s="3">
        <v>984385</v>
      </c>
      <c r="W55" s="3">
        <v>984385</v>
      </c>
      <c r="X55" s="3">
        <v>984385</v>
      </c>
      <c r="Y55" s="3">
        <v>978823</v>
      </c>
      <c r="Z55" s="3">
        <v>978823</v>
      </c>
      <c r="AA55" s="4">
        <v>978823</v>
      </c>
      <c r="AB55" s="4">
        <v>978823</v>
      </c>
      <c r="AC55" s="4">
        <v>978823</v>
      </c>
      <c r="AD55" s="4">
        <v>978823</v>
      </c>
      <c r="AE55" s="4">
        <v>984385</v>
      </c>
      <c r="AF55" s="4">
        <v>1968770</v>
      </c>
      <c r="AG55" s="4">
        <v>2953155</v>
      </c>
      <c r="AH55" s="4">
        <v>3937540</v>
      </c>
      <c r="AI55" s="4">
        <v>4916363</v>
      </c>
      <c r="AJ55" s="4">
        <v>5895186</v>
      </c>
      <c r="AK55" s="4">
        <v>6874009</v>
      </c>
      <c r="AL55" s="4">
        <v>7852832</v>
      </c>
      <c r="AM55" s="4">
        <v>8831655</v>
      </c>
      <c r="AN55" s="4">
        <v>9810478</v>
      </c>
      <c r="AO55" s="150">
        <v>712637</v>
      </c>
    </row>
    <row r="56" spans="1:41" x14ac:dyDescent="0.2">
      <c r="A56" s="1">
        <v>2024</v>
      </c>
      <c r="B56" s="2" t="s">
        <v>75</v>
      </c>
      <c r="C56" s="2" t="s">
        <v>75</v>
      </c>
      <c r="D56" s="1" t="s">
        <v>428</v>
      </c>
      <c r="E56" s="3">
        <v>3043765</v>
      </c>
      <c r="F56" s="1">
        <v>282</v>
      </c>
      <c r="G56" s="1">
        <v>0</v>
      </c>
      <c r="H56" s="3">
        <v>9978</v>
      </c>
      <c r="I56" s="1">
        <v>0</v>
      </c>
      <c r="J56" s="3">
        <v>3043483</v>
      </c>
      <c r="K56" s="3">
        <v>3033505</v>
      </c>
      <c r="L56" s="3">
        <v>3033505</v>
      </c>
      <c r="M56" s="3">
        <v>64616</v>
      </c>
      <c r="N56" s="3">
        <v>316086</v>
      </c>
      <c r="O56" s="3">
        <v>35644</v>
      </c>
      <c r="P56" s="3">
        <v>31374</v>
      </c>
      <c r="Q56" s="3">
        <v>166234</v>
      </c>
      <c r="R56" s="3">
        <v>2429529</v>
      </c>
      <c r="S56" s="3">
        <v>2419551</v>
      </c>
      <c r="T56" s="3">
        <v>2419551</v>
      </c>
      <c r="U56" s="3">
        <v>304348</v>
      </c>
      <c r="V56" s="3">
        <v>304348</v>
      </c>
      <c r="W56" s="3">
        <v>304348</v>
      </c>
      <c r="X56" s="3">
        <v>304348</v>
      </c>
      <c r="Y56" s="3">
        <v>302686</v>
      </c>
      <c r="Z56" s="3">
        <v>302686</v>
      </c>
      <c r="AA56" s="4">
        <v>302685</v>
      </c>
      <c r="AB56" s="4">
        <v>302685</v>
      </c>
      <c r="AC56" s="4">
        <v>302685</v>
      </c>
      <c r="AD56" s="4">
        <v>302686</v>
      </c>
      <c r="AE56" s="4">
        <v>304348</v>
      </c>
      <c r="AF56" s="4">
        <v>608696</v>
      </c>
      <c r="AG56" s="4">
        <v>913044</v>
      </c>
      <c r="AH56" s="4">
        <v>1217392</v>
      </c>
      <c r="AI56" s="4">
        <v>1520078</v>
      </c>
      <c r="AJ56" s="4">
        <v>1822764</v>
      </c>
      <c r="AK56" s="4">
        <v>2125449</v>
      </c>
      <c r="AL56" s="4">
        <v>2428134</v>
      </c>
      <c r="AM56" s="4">
        <v>2730819</v>
      </c>
      <c r="AN56" s="4">
        <v>3033505</v>
      </c>
      <c r="AO56" s="150">
        <v>208722</v>
      </c>
    </row>
    <row r="57" spans="1:41" x14ac:dyDescent="0.2">
      <c r="A57" s="1">
        <v>2024</v>
      </c>
      <c r="B57" s="2" t="s">
        <v>76</v>
      </c>
      <c r="C57" s="2" t="s">
        <v>76</v>
      </c>
      <c r="D57" s="1" t="s">
        <v>429</v>
      </c>
      <c r="E57" s="3">
        <v>5493808</v>
      </c>
      <c r="F57" s="3">
        <v>680</v>
      </c>
      <c r="G57" s="3">
        <v>0</v>
      </c>
      <c r="H57" s="3">
        <v>14763</v>
      </c>
      <c r="I57" s="1">
        <v>0</v>
      </c>
      <c r="J57" s="3">
        <v>5493128</v>
      </c>
      <c r="K57" s="3">
        <v>5478365</v>
      </c>
      <c r="L57" s="3">
        <v>5478365</v>
      </c>
      <c r="M57" s="3">
        <v>155838</v>
      </c>
      <c r="N57" s="3">
        <v>436458</v>
      </c>
      <c r="O57" s="3">
        <v>58094</v>
      </c>
      <c r="P57" s="3">
        <v>45593</v>
      </c>
      <c r="Q57" s="3">
        <v>236854</v>
      </c>
      <c r="R57" s="3">
        <v>4560291</v>
      </c>
      <c r="S57" s="3">
        <v>4545528</v>
      </c>
      <c r="T57" s="3">
        <v>4545528</v>
      </c>
      <c r="U57" s="3">
        <v>549313</v>
      </c>
      <c r="V57" s="3">
        <v>549313</v>
      </c>
      <c r="W57" s="3">
        <v>549313</v>
      </c>
      <c r="X57" s="3">
        <v>549313</v>
      </c>
      <c r="Y57" s="3">
        <v>546852</v>
      </c>
      <c r="Z57" s="3">
        <v>546852</v>
      </c>
      <c r="AA57" s="4">
        <v>546852</v>
      </c>
      <c r="AB57" s="4">
        <v>546852</v>
      </c>
      <c r="AC57" s="4">
        <v>546852</v>
      </c>
      <c r="AD57" s="4">
        <v>546853</v>
      </c>
      <c r="AE57" s="4">
        <v>549313</v>
      </c>
      <c r="AF57" s="4">
        <v>1098626</v>
      </c>
      <c r="AG57" s="4">
        <v>1647939</v>
      </c>
      <c r="AH57" s="4">
        <v>2197252</v>
      </c>
      <c r="AI57" s="4">
        <v>2744104</v>
      </c>
      <c r="AJ57" s="4">
        <v>3290956</v>
      </c>
      <c r="AK57" s="4">
        <v>3837808</v>
      </c>
      <c r="AL57" s="4">
        <v>4384660</v>
      </c>
      <c r="AM57" s="4">
        <v>4931512</v>
      </c>
      <c r="AN57" s="4">
        <v>5478365</v>
      </c>
      <c r="AO57" s="150">
        <v>314643</v>
      </c>
    </row>
    <row r="58" spans="1:41" x14ac:dyDescent="0.2">
      <c r="A58" s="1">
        <v>2024</v>
      </c>
      <c r="B58" s="2" t="s">
        <v>77</v>
      </c>
      <c r="C58" s="2" t="s">
        <v>77</v>
      </c>
      <c r="D58" s="1" t="s">
        <v>430</v>
      </c>
      <c r="E58" s="3">
        <v>5120078</v>
      </c>
      <c r="F58" s="1">
        <v>730</v>
      </c>
      <c r="G58" s="1">
        <v>0</v>
      </c>
      <c r="H58" s="3">
        <v>17574</v>
      </c>
      <c r="I58" s="3">
        <v>0</v>
      </c>
      <c r="J58" s="3">
        <v>5119348</v>
      </c>
      <c r="K58" s="3">
        <v>5101774</v>
      </c>
      <c r="L58" s="3">
        <v>5101774</v>
      </c>
      <c r="M58" s="3">
        <v>167240</v>
      </c>
      <c r="N58" s="3">
        <v>488738</v>
      </c>
      <c r="O58" s="3">
        <v>52983</v>
      </c>
      <c r="P58" s="3">
        <v>56197</v>
      </c>
      <c r="Q58" s="3">
        <v>281962</v>
      </c>
      <c r="R58" s="3">
        <v>4072228</v>
      </c>
      <c r="S58" s="3">
        <v>4054654</v>
      </c>
      <c r="T58" s="3">
        <v>4054654</v>
      </c>
      <c r="U58" s="3">
        <v>511935</v>
      </c>
      <c r="V58" s="3">
        <v>511935</v>
      </c>
      <c r="W58" s="3">
        <v>511935</v>
      </c>
      <c r="X58" s="3">
        <v>511935</v>
      </c>
      <c r="Y58" s="3">
        <v>509006</v>
      </c>
      <c r="Z58" s="3">
        <v>509006</v>
      </c>
      <c r="AA58" s="4">
        <v>509006</v>
      </c>
      <c r="AB58" s="4">
        <v>509006</v>
      </c>
      <c r="AC58" s="4">
        <v>509006</v>
      </c>
      <c r="AD58" s="4">
        <v>509004</v>
      </c>
      <c r="AE58" s="4">
        <v>511935</v>
      </c>
      <c r="AF58" s="4">
        <v>1023870</v>
      </c>
      <c r="AG58" s="4">
        <v>1535805</v>
      </c>
      <c r="AH58" s="4">
        <v>2047740</v>
      </c>
      <c r="AI58" s="4">
        <v>2556746</v>
      </c>
      <c r="AJ58" s="4">
        <v>3065752</v>
      </c>
      <c r="AK58" s="4">
        <v>3574758</v>
      </c>
      <c r="AL58" s="4">
        <v>4083764</v>
      </c>
      <c r="AM58" s="4">
        <v>4592770</v>
      </c>
      <c r="AN58" s="4">
        <v>5101774</v>
      </c>
      <c r="AO58" s="150">
        <v>401550</v>
      </c>
    </row>
    <row r="59" spans="1:41" x14ac:dyDescent="0.2">
      <c r="A59" s="1">
        <v>2024</v>
      </c>
      <c r="B59" s="2" t="s">
        <v>78</v>
      </c>
      <c r="C59" s="2" t="s">
        <v>78</v>
      </c>
      <c r="D59" s="1" t="s">
        <v>431</v>
      </c>
      <c r="E59" s="3">
        <v>9743613</v>
      </c>
      <c r="F59" s="3">
        <v>962</v>
      </c>
      <c r="G59" s="3">
        <v>0</v>
      </c>
      <c r="H59" s="3">
        <v>29202</v>
      </c>
      <c r="I59" s="1">
        <v>0</v>
      </c>
      <c r="J59" s="3">
        <v>9742651</v>
      </c>
      <c r="K59" s="3">
        <v>9713449</v>
      </c>
      <c r="L59" s="3">
        <v>9713449</v>
      </c>
      <c r="M59" s="3">
        <v>220453</v>
      </c>
      <c r="N59" s="3">
        <v>820154</v>
      </c>
      <c r="O59" s="3">
        <v>111760</v>
      </c>
      <c r="P59" s="3">
        <v>88292</v>
      </c>
      <c r="Q59" s="3">
        <v>468512</v>
      </c>
      <c r="R59" s="3">
        <v>8033480</v>
      </c>
      <c r="S59" s="3">
        <v>8004278</v>
      </c>
      <c r="T59" s="3">
        <v>8004278</v>
      </c>
      <c r="U59" s="3">
        <v>974265</v>
      </c>
      <c r="V59" s="3">
        <v>974265</v>
      </c>
      <c r="W59" s="3">
        <v>974265</v>
      </c>
      <c r="X59" s="3">
        <v>974265</v>
      </c>
      <c r="Y59" s="3">
        <v>969398</v>
      </c>
      <c r="Z59" s="3">
        <v>969398</v>
      </c>
      <c r="AA59" s="4">
        <v>969398</v>
      </c>
      <c r="AB59" s="4">
        <v>969398</v>
      </c>
      <c r="AC59" s="4">
        <v>969398</v>
      </c>
      <c r="AD59" s="4">
        <v>969399</v>
      </c>
      <c r="AE59" s="4">
        <v>974265</v>
      </c>
      <c r="AF59" s="4">
        <v>1948530</v>
      </c>
      <c r="AG59" s="4">
        <v>2922795</v>
      </c>
      <c r="AH59" s="4">
        <v>3897060</v>
      </c>
      <c r="AI59" s="4">
        <v>4866458</v>
      </c>
      <c r="AJ59" s="4">
        <v>5835856</v>
      </c>
      <c r="AK59" s="4">
        <v>6805254</v>
      </c>
      <c r="AL59" s="4">
        <v>7774652</v>
      </c>
      <c r="AM59" s="4">
        <v>8744050</v>
      </c>
      <c r="AN59" s="4">
        <v>9713449</v>
      </c>
      <c r="AO59" s="150">
        <v>600134</v>
      </c>
    </row>
    <row r="60" spans="1:41" x14ac:dyDescent="0.2">
      <c r="A60" s="1">
        <v>2024</v>
      </c>
      <c r="B60" s="2" t="s">
        <v>79</v>
      </c>
      <c r="C60" s="2" t="s">
        <v>79</v>
      </c>
      <c r="D60" s="1" t="s">
        <v>432</v>
      </c>
      <c r="E60" s="3">
        <v>11059822</v>
      </c>
      <c r="F60" s="3">
        <v>1227</v>
      </c>
      <c r="G60" s="3">
        <v>0</v>
      </c>
      <c r="H60" s="3">
        <v>34221</v>
      </c>
      <c r="I60" s="1">
        <v>0</v>
      </c>
      <c r="J60" s="3">
        <v>11058595</v>
      </c>
      <c r="K60" s="3">
        <v>11024374</v>
      </c>
      <c r="L60" s="3">
        <v>11024374</v>
      </c>
      <c r="M60" s="3">
        <v>284975</v>
      </c>
      <c r="N60" s="3">
        <v>985569</v>
      </c>
      <c r="O60" s="3">
        <v>115468</v>
      </c>
      <c r="P60" s="3">
        <v>116028</v>
      </c>
      <c r="Q60" s="3">
        <v>556200</v>
      </c>
      <c r="R60" s="3">
        <v>9000355</v>
      </c>
      <c r="S60" s="3">
        <v>8966134</v>
      </c>
      <c r="T60" s="3">
        <v>8966134</v>
      </c>
      <c r="U60" s="3">
        <v>1105860</v>
      </c>
      <c r="V60" s="3">
        <v>1105860</v>
      </c>
      <c r="W60" s="3">
        <v>1105860</v>
      </c>
      <c r="X60" s="3">
        <v>1105860</v>
      </c>
      <c r="Y60" s="3">
        <v>1100156</v>
      </c>
      <c r="Z60" s="3">
        <v>1100156</v>
      </c>
      <c r="AA60" s="4">
        <v>1100156</v>
      </c>
      <c r="AB60" s="4">
        <v>1100156</v>
      </c>
      <c r="AC60" s="4">
        <v>1100156</v>
      </c>
      <c r="AD60" s="4">
        <v>1100154</v>
      </c>
      <c r="AE60" s="4">
        <v>1105860</v>
      </c>
      <c r="AF60" s="4">
        <v>2211720</v>
      </c>
      <c r="AG60" s="4">
        <v>3317580</v>
      </c>
      <c r="AH60" s="4">
        <v>4423440</v>
      </c>
      <c r="AI60" s="4">
        <v>5523596</v>
      </c>
      <c r="AJ60" s="4">
        <v>6623752</v>
      </c>
      <c r="AK60" s="4">
        <v>7723908</v>
      </c>
      <c r="AL60" s="4">
        <v>8824064</v>
      </c>
      <c r="AM60" s="4">
        <v>9924220</v>
      </c>
      <c r="AN60" s="4">
        <v>11024374</v>
      </c>
      <c r="AO60" s="150">
        <v>800382</v>
      </c>
    </row>
    <row r="61" spans="1:41" x14ac:dyDescent="0.2">
      <c r="A61" s="1">
        <v>2024</v>
      </c>
      <c r="B61" s="2" t="s">
        <v>80</v>
      </c>
      <c r="C61" s="2" t="s">
        <v>80</v>
      </c>
      <c r="D61" s="1" t="s">
        <v>433</v>
      </c>
      <c r="E61" s="3">
        <v>1732812</v>
      </c>
      <c r="F61" s="1">
        <v>216</v>
      </c>
      <c r="G61" s="1">
        <v>0</v>
      </c>
      <c r="H61" s="3">
        <v>6597</v>
      </c>
      <c r="I61" s="1">
        <v>0</v>
      </c>
      <c r="J61" s="3">
        <v>1732596</v>
      </c>
      <c r="K61" s="3">
        <v>1725999</v>
      </c>
      <c r="L61" s="3">
        <v>1725999</v>
      </c>
      <c r="M61" s="3">
        <v>49412</v>
      </c>
      <c r="N61" s="3">
        <v>207310</v>
      </c>
      <c r="O61" s="3">
        <v>23975</v>
      </c>
      <c r="P61" s="3">
        <v>21896</v>
      </c>
      <c r="Q61" s="3">
        <v>105842</v>
      </c>
      <c r="R61" s="3">
        <v>1324161</v>
      </c>
      <c r="S61" s="3">
        <v>1317564</v>
      </c>
      <c r="T61" s="3">
        <v>1317564</v>
      </c>
      <c r="U61" s="3">
        <v>173260</v>
      </c>
      <c r="V61" s="3">
        <v>173260</v>
      </c>
      <c r="W61" s="3">
        <v>173260</v>
      </c>
      <c r="X61" s="3">
        <v>173260</v>
      </c>
      <c r="Y61" s="3">
        <v>172160</v>
      </c>
      <c r="Z61" s="3">
        <v>172160</v>
      </c>
      <c r="AA61" s="4">
        <v>172160</v>
      </c>
      <c r="AB61" s="4">
        <v>172160</v>
      </c>
      <c r="AC61" s="4">
        <v>172160</v>
      </c>
      <c r="AD61" s="4">
        <v>172159</v>
      </c>
      <c r="AE61" s="4">
        <v>173260</v>
      </c>
      <c r="AF61" s="4">
        <v>346520</v>
      </c>
      <c r="AG61" s="4">
        <v>519780</v>
      </c>
      <c r="AH61" s="4">
        <v>693040</v>
      </c>
      <c r="AI61" s="4">
        <v>865200</v>
      </c>
      <c r="AJ61" s="4">
        <v>1037360</v>
      </c>
      <c r="AK61" s="4">
        <v>1209520</v>
      </c>
      <c r="AL61" s="4">
        <v>1381680</v>
      </c>
      <c r="AM61" s="4">
        <v>1553840</v>
      </c>
      <c r="AN61" s="4">
        <v>1725999</v>
      </c>
      <c r="AO61" s="150">
        <v>142891</v>
      </c>
    </row>
    <row r="62" spans="1:41" x14ac:dyDescent="0.2">
      <c r="A62" s="1">
        <v>2024</v>
      </c>
      <c r="B62" s="2" t="s">
        <v>81</v>
      </c>
      <c r="C62" s="2" t="s">
        <v>81</v>
      </c>
      <c r="D62" s="1" t="s">
        <v>434</v>
      </c>
      <c r="E62" s="3">
        <v>7847980</v>
      </c>
      <c r="F62" s="3">
        <v>630</v>
      </c>
      <c r="G62" s="3">
        <v>0</v>
      </c>
      <c r="H62" s="3">
        <v>23781</v>
      </c>
      <c r="I62" s="1">
        <v>0</v>
      </c>
      <c r="J62" s="3">
        <v>7847350</v>
      </c>
      <c r="K62" s="3">
        <v>7823569</v>
      </c>
      <c r="L62" s="3">
        <v>7823569</v>
      </c>
      <c r="M62" s="3">
        <v>144435</v>
      </c>
      <c r="N62" s="3">
        <v>691280</v>
      </c>
      <c r="O62" s="3">
        <v>83352</v>
      </c>
      <c r="P62" s="3">
        <v>77813</v>
      </c>
      <c r="Q62" s="3">
        <v>381539</v>
      </c>
      <c r="R62" s="3">
        <v>6468931</v>
      </c>
      <c r="S62" s="3">
        <v>6445150</v>
      </c>
      <c r="T62" s="3">
        <v>6445150</v>
      </c>
      <c r="U62" s="3">
        <v>784735</v>
      </c>
      <c r="V62" s="3">
        <v>784735</v>
      </c>
      <c r="W62" s="3">
        <v>784735</v>
      </c>
      <c r="X62" s="3">
        <v>784735</v>
      </c>
      <c r="Y62" s="3">
        <v>780772</v>
      </c>
      <c r="Z62" s="3">
        <v>780772</v>
      </c>
      <c r="AA62" s="4">
        <v>780771</v>
      </c>
      <c r="AB62" s="4">
        <v>780771</v>
      </c>
      <c r="AC62" s="4">
        <v>780771</v>
      </c>
      <c r="AD62" s="4">
        <v>780772</v>
      </c>
      <c r="AE62" s="4">
        <v>784735</v>
      </c>
      <c r="AF62" s="4">
        <v>1569470</v>
      </c>
      <c r="AG62" s="4">
        <v>2354205</v>
      </c>
      <c r="AH62" s="4">
        <v>3138940</v>
      </c>
      <c r="AI62" s="4">
        <v>3919712</v>
      </c>
      <c r="AJ62" s="4">
        <v>4700484</v>
      </c>
      <c r="AK62" s="4">
        <v>5481255</v>
      </c>
      <c r="AL62" s="4">
        <v>6262026</v>
      </c>
      <c r="AM62" s="4">
        <v>7042797</v>
      </c>
      <c r="AN62" s="4">
        <v>7823569</v>
      </c>
      <c r="AO62" s="150">
        <v>515165</v>
      </c>
    </row>
    <row r="63" spans="1:41" x14ac:dyDescent="0.2">
      <c r="A63" s="1">
        <v>2024</v>
      </c>
      <c r="B63" s="2" t="s">
        <v>82</v>
      </c>
      <c r="C63" s="2" t="s">
        <v>82</v>
      </c>
      <c r="D63" s="1" t="s">
        <v>435</v>
      </c>
      <c r="E63" s="3">
        <v>6998532</v>
      </c>
      <c r="F63" s="1">
        <v>448</v>
      </c>
      <c r="G63" s="1">
        <v>0</v>
      </c>
      <c r="H63" s="3">
        <v>22720</v>
      </c>
      <c r="I63" s="1">
        <v>0</v>
      </c>
      <c r="J63" s="3">
        <v>6998084</v>
      </c>
      <c r="K63" s="3">
        <v>6975364</v>
      </c>
      <c r="L63" s="3">
        <v>6975364</v>
      </c>
      <c r="M63" s="3">
        <v>102625</v>
      </c>
      <c r="N63" s="3">
        <v>628069</v>
      </c>
      <c r="O63" s="3">
        <v>70216</v>
      </c>
      <c r="P63" s="3">
        <v>60652</v>
      </c>
      <c r="Q63" s="3">
        <v>364513</v>
      </c>
      <c r="R63" s="3">
        <v>5772009</v>
      </c>
      <c r="S63" s="3">
        <v>5749289</v>
      </c>
      <c r="T63" s="3">
        <v>5749289</v>
      </c>
      <c r="U63" s="3">
        <v>699808</v>
      </c>
      <c r="V63" s="3">
        <v>699808</v>
      </c>
      <c r="W63" s="3">
        <v>699808</v>
      </c>
      <c r="X63" s="3">
        <v>699808</v>
      </c>
      <c r="Y63" s="3">
        <v>696022</v>
      </c>
      <c r="Z63" s="3">
        <v>696022</v>
      </c>
      <c r="AA63" s="4">
        <v>696022</v>
      </c>
      <c r="AB63" s="4">
        <v>696022</v>
      </c>
      <c r="AC63" s="4">
        <v>696022</v>
      </c>
      <c r="AD63" s="4">
        <v>696022</v>
      </c>
      <c r="AE63" s="4">
        <v>699808</v>
      </c>
      <c r="AF63" s="4">
        <v>1399616</v>
      </c>
      <c r="AG63" s="4">
        <v>2099424</v>
      </c>
      <c r="AH63" s="4">
        <v>2799232</v>
      </c>
      <c r="AI63" s="4">
        <v>3495254</v>
      </c>
      <c r="AJ63" s="4">
        <v>4191276</v>
      </c>
      <c r="AK63" s="4">
        <v>4887298</v>
      </c>
      <c r="AL63" s="4">
        <v>5583320</v>
      </c>
      <c r="AM63" s="4">
        <v>6279342</v>
      </c>
      <c r="AN63" s="4">
        <v>6975364</v>
      </c>
      <c r="AO63" s="150">
        <v>486715</v>
      </c>
    </row>
    <row r="64" spans="1:41" x14ac:dyDescent="0.2">
      <c r="A64" s="1">
        <v>2024</v>
      </c>
      <c r="B64" s="2" t="s">
        <v>83</v>
      </c>
      <c r="C64" s="2" t="s">
        <v>83</v>
      </c>
      <c r="D64" s="1" t="s">
        <v>436</v>
      </c>
      <c r="E64" s="3">
        <v>6438728</v>
      </c>
      <c r="F64" s="3">
        <v>1111</v>
      </c>
      <c r="G64" s="3">
        <v>0</v>
      </c>
      <c r="H64" s="3">
        <v>23225</v>
      </c>
      <c r="I64" s="1">
        <v>0</v>
      </c>
      <c r="J64" s="3">
        <v>6437617</v>
      </c>
      <c r="K64" s="3">
        <v>6414392</v>
      </c>
      <c r="L64" s="3">
        <v>6414392</v>
      </c>
      <c r="M64" s="3">
        <v>254662</v>
      </c>
      <c r="N64" s="3">
        <v>672260</v>
      </c>
      <c r="O64" s="3">
        <v>82637</v>
      </c>
      <c r="P64" s="3">
        <v>75792</v>
      </c>
      <c r="Q64" s="3">
        <v>372621</v>
      </c>
      <c r="R64" s="3">
        <v>4979645</v>
      </c>
      <c r="S64" s="3">
        <v>4956420</v>
      </c>
      <c r="T64" s="3">
        <v>4956420</v>
      </c>
      <c r="U64" s="3">
        <v>643762</v>
      </c>
      <c r="V64" s="3">
        <v>643762</v>
      </c>
      <c r="W64" s="3">
        <v>643762</v>
      </c>
      <c r="X64" s="3">
        <v>643762</v>
      </c>
      <c r="Y64" s="3">
        <v>639891</v>
      </c>
      <c r="Z64" s="3">
        <v>639891</v>
      </c>
      <c r="AA64" s="4">
        <v>639891</v>
      </c>
      <c r="AB64" s="4">
        <v>639891</v>
      </c>
      <c r="AC64" s="4">
        <v>639891</v>
      </c>
      <c r="AD64" s="4">
        <v>639889</v>
      </c>
      <c r="AE64" s="4">
        <v>643762</v>
      </c>
      <c r="AF64" s="4">
        <v>1287524</v>
      </c>
      <c r="AG64" s="4">
        <v>1931286</v>
      </c>
      <c r="AH64" s="4">
        <v>2575048</v>
      </c>
      <c r="AI64" s="4">
        <v>3214939</v>
      </c>
      <c r="AJ64" s="4">
        <v>3854830</v>
      </c>
      <c r="AK64" s="4">
        <v>4494721</v>
      </c>
      <c r="AL64" s="4">
        <v>5134612</v>
      </c>
      <c r="AM64" s="4">
        <v>5774503</v>
      </c>
      <c r="AN64" s="4">
        <v>6414392</v>
      </c>
      <c r="AO64" s="150">
        <v>502648</v>
      </c>
    </row>
    <row r="65" spans="1:41" x14ac:dyDescent="0.2">
      <c r="A65" s="1">
        <v>2024</v>
      </c>
      <c r="B65" s="2" t="s">
        <v>84</v>
      </c>
      <c r="C65" s="2" t="s">
        <v>84</v>
      </c>
      <c r="D65" s="1" t="s">
        <v>437</v>
      </c>
      <c r="E65" s="3">
        <v>11350161</v>
      </c>
      <c r="F65" s="3">
        <v>979</v>
      </c>
      <c r="G65" s="3">
        <v>0</v>
      </c>
      <c r="H65" s="3">
        <v>33134</v>
      </c>
      <c r="I65" s="1">
        <v>0</v>
      </c>
      <c r="J65" s="3">
        <v>11349182</v>
      </c>
      <c r="K65" s="3">
        <v>11316048</v>
      </c>
      <c r="L65" s="3">
        <v>11316048</v>
      </c>
      <c r="M65" s="3">
        <v>224254</v>
      </c>
      <c r="N65" s="3">
        <v>943958</v>
      </c>
      <c r="O65" s="3">
        <v>123016</v>
      </c>
      <c r="P65" s="3">
        <v>98595</v>
      </c>
      <c r="Q65" s="3">
        <v>531605</v>
      </c>
      <c r="R65" s="3">
        <v>9427754</v>
      </c>
      <c r="S65" s="3">
        <v>9394620</v>
      </c>
      <c r="T65" s="3">
        <v>9394620</v>
      </c>
      <c r="U65" s="3">
        <v>1134918</v>
      </c>
      <c r="V65" s="3">
        <v>1134918</v>
      </c>
      <c r="W65" s="3">
        <v>1134918</v>
      </c>
      <c r="X65" s="3">
        <v>1134918</v>
      </c>
      <c r="Y65" s="3">
        <v>1129396</v>
      </c>
      <c r="Z65" s="3">
        <v>1129396</v>
      </c>
      <c r="AA65" s="4">
        <v>1129396</v>
      </c>
      <c r="AB65" s="4">
        <v>1129396</v>
      </c>
      <c r="AC65" s="4">
        <v>1129396</v>
      </c>
      <c r="AD65" s="4">
        <v>1129396</v>
      </c>
      <c r="AE65" s="4">
        <v>1134918</v>
      </c>
      <c r="AF65" s="4">
        <v>2269836</v>
      </c>
      <c r="AG65" s="4">
        <v>3404754</v>
      </c>
      <c r="AH65" s="4">
        <v>4539672</v>
      </c>
      <c r="AI65" s="4">
        <v>5669068</v>
      </c>
      <c r="AJ65" s="4">
        <v>6798464</v>
      </c>
      <c r="AK65" s="4">
        <v>7927860</v>
      </c>
      <c r="AL65" s="4">
        <v>9057256</v>
      </c>
      <c r="AM65" s="4">
        <v>10186652</v>
      </c>
      <c r="AN65" s="4">
        <v>11316048</v>
      </c>
      <c r="AO65" s="150">
        <v>704896</v>
      </c>
    </row>
    <row r="66" spans="1:41" x14ac:dyDescent="0.2">
      <c r="A66" s="1">
        <v>2024</v>
      </c>
      <c r="B66" s="2" t="s">
        <v>85</v>
      </c>
      <c r="C66" s="2" t="s">
        <v>85</v>
      </c>
      <c r="D66" s="1" t="s">
        <v>438</v>
      </c>
      <c r="E66" s="3">
        <v>2224212</v>
      </c>
      <c r="F66" s="3">
        <v>182</v>
      </c>
      <c r="G66" s="3">
        <v>0</v>
      </c>
      <c r="H66" s="3">
        <v>6648</v>
      </c>
      <c r="I66" s="1">
        <v>0</v>
      </c>
      <c r="J66" s="3">
        <v>2224030</v>
      </c>
      <c r="K66" s="3">
        <v>2217382</v>
      </c>
      <c r="L66" s="3">
        <v>2217382</v>
      </c>
      <c r="M66" s="3">
        <v>41811</v>
      </c>
      <c r="N66" s="3">
        <v>215207</v>
      </c>
      <c r="O66" s="3">
        <v>23939</v>
      </c>
      <c r="P66" s="3">
        <v>23158</v>
      </c>
      <c r="Q66" s="3">
        <v>106653</v>
      </c>
      <c r="R66" s="3">
        <v>1813262</v>
      </c>
      <c r="S66" s="3">
        <v>1806614</v>
      </c>
      <c r="T66" s="3">
        <v>1806614</v>
      </c>
      <c r="U66" s="3">
        <v>222403</v>
      </c>
      <c r="V66" s="3">
        <v>222403</v>
      </c>
      <c r="W66" s="3">
        <v>222403</v>
      </c>
      <c r="X66" s="3">
        <v>222403</v>
      </c>
      <c r="Y66" s="3">
        <v>221295</v>
      </c>
      <c r="Z66" s="3">
        <v>221295</v>
      </c>
      <c r="AA66" s="4">
        <v>221295</v>
      </c>
      <c r="AB66" s="4">
        <v>221295</v>
      </c>
      <c r="AC66" s="4">
        <v>221295</v>
      </c>
      <c r="AD66" s="4">
        <v>221295</v>
      </c>
      <c r="AE66" s="4">
        <v>222403</v>
      </c>
      <c r="AF66" s="4">
        <v>444806</v>
      </c>
      <c r="AG66" s="4">
        <v>667209</v>
      </c>
      <c r="AH66" s="4">
        <v>889612</v>
      </c>
      <c r="AI66" s="4">
        <v>1110907</v>
      </c>
      <c r="AJ66" s="4">
        <v>1332202</v>
      </c>
      <c r="AK66" s="4">
        <v>1553497</v>
      </c>
      <c r="AL66" s="4">
        <v>1774792</v>
      </c>
      <c r="AM66" s="4">
        <v>1996087</v>
      </c>
      <c r="AN66" s="4">
        <v>2217382</v>
      </c>
      <c r="AO66" s="150">
        <v>147920</v>
      </c>
    </row>
    <row r="67" spans="1:41" x14ac:dyDescent="0.2">
      <c r="A67" s="1">
        <v>2024</v>
      </c>
      <c r="B67" s="2" t="s">
        <v>86</v>
      </c>
      <c r="C67" s="2" t="s">
        <v>86</v>
      </c>
      <c r="D67" s="1" t="s">
        <v>439</v>
      </c>
      <c r="E67" s="3">
        <v>1111736</v>
      </c>
      <c r="F67" s="3">
        <v>133</v>
      </c>
      <c r="G67" s="3">
        <v>0</v>
      </c>
      <c r="H67" s="3">
        <v>6664</v>
      </c>
      <c r="I67" s="1">
        <v>0</v>
      </c>
      <c r="J67" s="3">
        <v>1111603</v>
      </c>
      <c r="K67" s="3">
        <v>1104939</v>
      </c>
      <c r="L67" s="3">
        <v>1104939</v>
      </c>
      <c r="M67" s="3">
        <v>26700</v>
      </c>
      <c r="N67" s="3">
        <v>206453</v>
      </c>
      <c r="O67" s="3">
        <v>21215</v>
      </c>
      <c r="P67" s="3">
        <v>22773</v>
      </c>
      <c r="Q67" s="3">
        <v>106911</v>
      </c>
      <c r="R67" s="3">
        <v>727551</v>
      </c>
      <c r="S67" s="3">
        <v>720887</v>
      </c>
      <c r="T67" s="3">
        <v>720887</v>
      </c>
      <c r="U67" s="3">
        <v>111160</v>
      </c>
      <c r="V67" s="3">
        <v>111160</v>
      </c>
      <c r="W67" s="3">
        <v>111160</v>
      </c>
      <c r="X67" s="3">
        <v>111160</v>
      </c>
      <c r="Y67" s="3">
        <v>110050</v>
      </c>
      <c r="Z67" s="3">
        <v>110050</v>
      </c>
      <c r="AA67" s="4">
        <v>110050</v>
      </c>
      <c r="AB67" s="4">
        <v>110050</v>
      </c>
      <c r="AC67" s="4">
        <v>110050</v>
      </c>
      <c r="AD67" s="4">
        <v>110049</v>
      </c>
      <c r="AE67" s="4">
        <v>111160</v>
      </c>
      <c r="AF67" s="4">
        <v>222320</v>
      </c>
      <c r="AG67" s="4">
        <v>333480</v>
      </c>
      <c r="AH67" s="4">
        <v>444640</v>
      </c>
      <c r="AI67" s="4">
        <v>554690</v>
      </c>
      <c r="AJ67" s="4">
        <v>664740</v>
      </c>
      <c r="AK67" s="4">
        <v>774790</v>
      </c>
      <c r="AL67" s="4">
        <v>884840</v>
      </c>
      <c r="AM67" s="4">
        <v>994890</v>
      </c>
      <c r="AN67" s="4">
        <v>1104939</v>
      </c>
      <c r="AO67" s="150">
        <v>149375</v>
      </c>
    </row>
    <row r="68" spans="1:41" x14ac:dyDescent="0.2">
      <c r="A68" s="1">
        <v>2024</v>
      </c>
      <c r="B68" s="2" t="s">
        <v>87</v>
      </c>
      <c r="C68" s="2" t="s">
        <v>87</v>
      </c>
      <c r="D68" s="1" t="s">
        <v>440</v>
      </c>
      <c r="E68" s="3">
        <v>19556656</v>
      </c>
      <c r="F68" s="3">
        <v>2538</v>
      </c>
      <c r="G68" s="3">
        <v>0</v>
      </c>
      <c r="H68" s="3">
        <v>67484</v>
      </c>
      <c r="I68" s="1">
        <v>0</v>
      </c>
      <c r="J68" s="3">
        <v>19554118</v>
      </c>
      <c r="K68" s="3">
        <v>19486634</v>
      </c>
      <c r="L68" s="3">
        <v>19486634</v>
      </c>
      <c r="M68" s="3">
        <v>581540</v>
      </c>
      <c r="N68" s="3">
        <v>1930700</v>
      </c>
      <c r="O68" s="3">
        <v>195458</v>
      </c>
      <c r="P68" s="3">
        <v>210912</v>
      </c>
      <c r="Q68" s="3">
        <v>1082704</v>
      </c>
      <c r="R68" s="3">
        <v>15552804</v>
      </c>
      <c r="S68" s="3">
        <v>15485320</v>
      </c>
      <c r="T68" s="3">
        <v>15485320</v>
      </c>
      <c r="U68" s="3">
        <v>1955412</v>
      </c>
      <c r="V68" s="3">
        <v>1955412</v>
      </c>
      <c r="W68" s="3">
        <v>1955412</v>
      </c>
      <c r="X68" s="3">
        <v>1955412</v>
      </c>
      <c r="Y68" s="3">
        <v>1944164</v>
      </c>
      <c r="Z68" s="3">
        <v>1944164</v>
      </c>
      <c r="AA68" s="4">
        <v>1944165</v>
      </c>
      <c r="AB68" s="4">
        <v>1944165</v>
      </c>
      <c r="AC68" s="4">
        <v>1944165</v>
      </c>
      <c r="AD68" s="4">
        <v>1944163</v>
      </c>
      <c r="AE68" s="4">
        <v>1955412</v>
      </c>
      <c r="AF68" s="4">
        <v>3910824</v>
      </c>
      <c r="AG68" s="4">
        <v>5866236</v>
      </c>
      <c r="AH68" s="4">
        <v>7821648</v>
      </c>
      <c r="AI68" s="4">
        <v>9765812</v>
      </c>
      <c r="AJ68" s="4">
        <v>11709976</v>
      </c>
      <c r="AK68" s="4">
        <v>13654141</v>
      </c>
      <c r="AL68" s="4">
        <v>15598306</v>
      </c>
      <c r="AM68" s="4">
        <v>17542471</v>
      </c>
      <c r="AN68" s="4">
        <v>19486634</v>
      </c>
      <c r="AO68" s="150">
        <v>1531487</v>
      </c>
    </row>
    <row r="69" spans="1:41" x14ac:dyDescent="0.2">
      <c r="A69" s="1">
        <v>2024</v>
      </c>
      <c r="B69" s="2" t="s">
        <v>88</v>
      </c>
      <c r="C69" s="2" t="s">
        <v>88</v>
      </c>
      <c r="D69" s="1" t="s">
        <v>441</v>
      </c>
      <c r="E69" s="3">
        <v>5059249</v>
      </c>
      <c r="F69" s="3">
        <v>896</v>
      </c>
      <c r="G69" s="3">
        <v>0</v>
      </c>
      <c r="H69" s="3">
        <v>26946</v>
      </c>
      <c r="I69" s="1">
        <v>0</v>
      </c>
      <c r="J69" s="3">
        <v>5058353</v>
      </c>
      <c r="K69" s="3">
        <v>5031407</v>
      </c>
      <c r="L69" s="3">
        <v>5031407</v>
      </c>
      <c r="M69" s="3">
        <v>205249</v>
      </c>
      <c r="N69" s="3">
        <v>742948</v>
      </c>
      <c r="O69" s="3">
        <v>85906</v>
      </c>
      <c r="P69" s="3">
        <v>81906</v>
      </c>
      <c r="Q69" s="3">
        <v>432323</v>
      </c>
      <c r="R69" s="3">
        <v>3510021</v>
      </c>
      <c r="S69" s="3">
        <v>3483075</v>
      </c>
      <c r="T69" s="3">
        <v>3483075</v>
      </c>
      <c r="U69" s="3">
        <v>505835</v>
      </c>
      <c r="V69" s="3">
        <v>505835</v>
      </c>
      <c r="W69" s="3">
        <v>505835</v>
      </c>
      <c r="X69" s="3">
        <v>505835</v>
      </c>
      <c r="Y69" s="3">
        <v>501345</v>
      </c>
      <c r="Z69" s="3">
        <v>501345</v>
      </c>
      <c r="AA69" s="4">
        <v>501344</v>
      </c>
      <c r="AB69" s="4">
        <v>501344</v>
      </c>
      <c r="AC69" s="4">
        <v>501344</v>
      </c>
      <c r="AD69" s="4">
        <v>501345</v>
      </c>
      <c r="AE69" s="4">
        <v>505835</v>
      </c>
      <c r="AF69" s="4">
        <v>1011670</v>
      </c>
      <c r="AG69" s="4">
        <v>1517505</v>
      </c>
      <c r="AH69" s="4">
        <v>2023340</v>
      </c>
      <c r="AI69" s="4">
        <v>2524685</v>
      </c>
      <c r="AJ69" s="4">
        <v>3026030</v>
      </c>
      <c r="AK69" s="4">
        <v>3527374</v>
      </c>
      <c r="AL69" s="4">
        <v>4028718</v>
      </c>
      <c r="AM69" s="4">
        <v>4530062</v>
      </c>
      <c r="AN69" s="4">
        <v>5031407</v>
      </c>
      <c r="AO69" s="150">
        <v>588550</v>
      </c>
    </row>
    <row r="70" spans="1:41" x14ac:dyDescent="0.2">
      <c r="A70" s="1">
        <v>2024</v>
      </c>
      <c r="B70" s="2" t="s">
        <v>89</v>
      </c>
      <c r="C70" s="2" t="s">
        <v>89</v>
      </c>
      <c r="D70" s="1" t="s">
        <v>442</v>
      </c>
      <c r="E70" s="3">
        <v>31368887</v>
      </c>
      <c r="F70" s="3">
        <v>3201</v>
      </c>
      <c r="G70" s="3">
        <v>0</v>
      </c>
      <c r="H70" s="3">
        <v>82789</v>
      </c>
      <c r="I70" s="1">
        <v>0</v>
      </c>
      <c r="J70" s="3">
        <v>31365686</v>
      </c>
      <c r="K70" s="3">
        <v>31282897</v>
      </c>
      <c r="L70" s="3">
        <v>31282897</v>
      </c>
      <c r="M70" s="3">
        <v>733577</v>
      </c>
      <c r="N70" s="3">
        <v>2364571</v>
      </c>
      <c r="O70" s="3">
        <v>314575</v>
      </c>
      <c r="P70" s="3">
        <v>271973</v>
      </c>
      <c r="Q70" s="3">
        <v>1328256</v>
      </c>
      <c r="R70" s="3">
        <v>26352734</v>
      </c>
      <c r="S70" s="3">
        <v>26269945</v>
      </c>
      <c r="T70" s="3">
        <v>26269945</v>
      </c>
      <c r="U70" s="3">
        <v>3136569</v>
      </c>
      <c r="V70" s="3">
        <v>3136569</v>
      </c>
      <c r="W70" s="3">
        <v>3136569</v>
      </c>
      <c r="X70" s="3">
        <v>3136569</v>
      </c>
      <c r="Y70" s="3">
        <v>3122770</v>
      </c>
      <c r="Z70" s="3">
        <v>3122770</v>
      </c>
      <c r="AA70" s="4">
        <v>3122770</v>
      </c>
      <c r="AB70" s="4">
        <v>3122770</v>
      </c>
      <c r="AC70" s="4">
        <v>3122770</v>
      </c>
      <c r="AD70" s="4">
        <v>3122771</v>
      </c>
      <c r="AE70" s="4">
        <v>3136569</v>
      </c>
      <c r="AF70" s="4">
        <v>6273138</v>
      </c>
      <c r="AG70" s="4">
        <v>9409707</v>
      </c>
      <c r="AH70" s="4">
        <v>12546276</v>
      </c>
      <c r="AI70" s="4">
        <v>15669046</v>
      </c>
      <c r="AJ70" s="4">
        <v>18791816</v>
      </c>
      <c r="AK70" s="4">
        <v>21914586</v>
      </c>
      <c r="AL70" s="4">
        <v>25037356</v>
      </c>
      <c r="AM70" s="4">
        <v>28160126</v>
      </c>
      <c r="AN70" s="4">
        <v>31282897</v>
      </c>
      <c r="AO70" s="150">
        <v>1832297</v>
      </c>
    </row>
    <row r="71" spans="1:41" x14ac:dyDescent="0.2">
      <c r="A71" s="1">
        <v>2024</v>
      </c>
      <c r="B71" s="2" t="s">
        <v>90</v>
      </c>
      <c r="C71" s="2" t="s">
        <v>90</v>
      </c>
      <c r="D71" s="1" t="s">
        <v>443</v>
      </c>
      <c r="E71" s="3">
        <v>5039789</v>
      </c>
      <c r="F71" s="3">
        <v>630</v>
      </c>
      <c r="G71" s="3">
        <v>1136</v>
      </c>
      <c r="H71" s="3">
        <v>16244</v>
      </c>
      <c r="I71" s="1">
        <v>0</v>
      </c>
      <c r="J71" s="3">
        <v>5038023</v>
      </c>
      <c r="K71" s="3">
        <v>5021779</v>
      </c>
      <c r="L71" s="3">
        <v>5021779</v>
      </c>
      <c r="M71" s="3">
        <v>144435</v>
      </c>
      <c r="N71" s="3">
        <v>462707</v>
      </c>
      <c r="O71" s="3">
        <v>53606</v>
      </c>
      <c r="P71" s="3">
        <v>46117</v>
      </c>
      <c r="Q71" s="3">
        <v>260624</v>
      </c>
      <c r="R71" s="3">
        <v>4070534</v>
      </c>
      <c r="S71" s="3">
        <v>4054290</v>
      </c>
      <c r="T71" s="3">
        <v>4054290</v>
      </c>
      <c r="U71" s="3">
        <v>503802</v>
      </c>
      <c r="V71" s="3">
        <v>503802</v>
      </c>
      <c r="W71" s="3">
        <v>503802</v>
      </c>
      <c r="X71" s="3">
        <v>503802</v>
      </c>
      <c r="Y71" s="3">
        <v>501095</v>
      </c>
      <c r="Z71" s="3">
        <v>501095</v>
      </c>
      <c r="AA71" s="4">
        <v>501095</v>
      </c>
      <c r="AB71" s="4">
        <v>501095</v>
      </c>
      <c r="AC71" s="4">
        <v>501095</v>
      </c>
      <c r="AD71" s="4">
        <v>501096</v>
      </c>
      <c r="AE71" s="4">
        <v>503802</v>
      </c>
      <c r="AF71" s="4">
        <v>1007604</v>
      </c>
      <c r="AG71" s="4">
        <v>1511406</v>
      </c>
      <c r="AH71" s="4">
        <v>2015208</v>
      </c>
      <c r="AI71" s="4">
        <v>2516303</v>
      </c>
      <c r="AJ71" s="4">
        <v>3017398</v>
      </c>
      <c r="AK71" s="4">
        <v>3518493</v>
      </c>
      <c r="AL71" s="4">
        <v>4019588</v>
      </c>
      <c r="AM71" s="4">
        <v>4520683</v>
      </c>
      <c r="AN71" s="4">
        <v>5021779</v>
      </c>
      <c r="AO71" s="150">
        <v>329305</v>
      </c>
    </row>
    <row r="72" spans="1:41" x14ac:dyDescent="0.2">
      <c r="A72" s="1">
        <v>2024</v>
      </c>
      <c r="B72" s="2" t="s">
        <v>91</v>
      </c>
      <c r="C72" s="2" t="s">
        <v>91</v>
      </c>
      <c r="D72" s="1" t="s">
        <v>444</v>
      </c>
      <c r="E72" s="3">
        <v>33560815</v>
      </c>
      <c r="F72" s="3">
        <v>4080</v>
      </c>
      <c r="G72" s="3">
        <v>14437</v>
      </c>
      <c r="H72" s="3">
        <v>118247</v>
      </c>
      <c r="I72" s="1">
        <v>0</v>
      </c>
      <c r="J72" s="3">
        <v>33542298</v>
      </c>
      <c r="K72" s="3">
        <v>33424051</v>
      </c>
      <c r="L72" s="3">
        <v>33424051</v>
      </c>
      <c r="M72" s="3">
        <v>927612</v>
      </c>
      <c r="N72" s="3">
        <v>3221401</v>
      </c>
      <c r="O72" s="3">
        <v>414200</v>
      </c>
      <c r="P72" s="3">
        <v>394123</v>
      </c>
      <c r="Q72" s="3">
        <v>1897156</v>
      </c>
      <c r="R72" s="3">
        <v>26687806</v>
      </c>
      <c r="S72" s="3">
        <v>26569559</v>
      </c>
      <c r="T72" s="3">
        <v>26569559</v>
      </c>
      <c r="U72" s="3">
        <v>3354230</v>
      </c>
      <c r="V72" s="3">
        <v>3354230</v>
      </c>
      <c r="W72" s="3">
        <v>3354230</v>
      </c>
      <c r="X72" s="3">
        <v>3354230</v>
      </c>
      <c r="Y72" s="3">
        <v>3334522</v>
      </c>
      <c r="Z72" s="3">
        <v>3334522</v>
      </c>
      <c r="AA72" s="4">
        <v>3334522</v>
      </c>
      <c r="AB72" s="4">
        <v>3334522</v>
      </c>
      <c r="AC72" s="4">
        <v>3334522</v>
      </c>
      <c r="AD72" s="4">
        <v>3334521</v>
      </c>
      <c r="AE72" s="4">
        <v>3354230</v>
      </c>
      <c r="AF72" s="4">
        <v>6708460</v>
      </c>
      <c r="AG72" s="4">
        <v>10062690</v>
      </c>
      <c r="AH72" s="4">
        <v>13416920</v>
      </c>
      <c r="AI72" s="4">
        <v>16751442</v>
      </c>
      <c r="AJ72" s="4">
        <v>20085964</v>
      </c>
      <c r="AK72" s="4">
        <v>23420486</v>
      </c>
      <c r="AL72" s="4">
        <v>26755008</v>
      </c>
      <c r="AM72" s="4">
        <v>30089530</v>
      </c>
      <c r="AN72" s="4">
        <v>33424051</v>
      </c>
      <c r="AO72" s="150">
        <v>2633213</v>
      </c>
    </row>
    <row r="73" spans="1:41" x14ac:dyDescent="0.2">
      <c r="A73" s="1">
        <v>2024</v>
      </c>
      <c r="B73" s="2" t="s">
        <v>92</v>
      </c>
      <c r="C73" s="2" t="s">
        <v>92</v>
      </c>
      <c r="D73" s="1" t="s">
        <v>445</v>
      </c>
      <c r="E73" s="3">
        <v>3171336</v>
      </c>
      <c r="F73" s="1">
        <v>249</v>
      </c>
      <c r="G73" s="1">
        <v>0</v>
      </c>
      <c r="H73" s="3">
        <v>10656</v>
      </c>
      <c r="I73" s="1">
        <v>0</v>
      </c>
      <c r="J73" s="3">
        <v>3171087</v>
      </c>
      <c r="K73" s="3">
        <v>3160431</v>
      </c>
      <c r="L73" s="3">
        <v>3160431</v>
      </c>
      <c r="M73" s="3">
        <v>57014</v>
      </c>
      <c r="N73" s="3">
        <v>312381</v>
      </c>
      <c r="O73" s="3">
        <v>35261</v>
      </c>
      <c r="P73" s="3">
        <v>32292</v>
      </c>
      <c r="Q73" s="3">
        <v>170961</v>
      </c>
      <c r="R73" s="3">
        <v>2563178</v>
      </c>
      <c r="S73" s="3">
        <v>2552522</v>
      </c>
      <c r="T73" s="3">
        <v>2552522</v>
      </c>
      <c r="U73" s="3">
        <v>317109</v>
      </c>
      <c r="V73" s="3">
        <v>317109</v>
      </c>
      <c r="W73" s="3">
        <v>317109</v>
      </c>
      <c r="X73" s="3">
        <v>317109</v>
      </c>
      <c r="Y73" s="3">
        <v>315333</v>
      </c>
      <c r="Z73" s="3">
        <v>315333</v>
      </c>
      <c r="AA73" s="4">
        <v>315332</v>
      </c>
      <c r="AB73" s="4">
        <v>315332</v>
      </c>
      <c r="AC73" s="4">
        <v>315332</v>
      </c>
      <c r="AD73" s="4">
        <v>315333</v>
      </c>
      <c r="AE73" s="4">
        <v>317109</v>
      </c>
      <c r="AF73" s="4">
        <v>634218</v>
      </c>
      <c r="AG73" s="4">
        <v>951327</v>
      </c>
      <c r="AH73" s="4">
        <v>1268436</v>
      </c>
      <c r="AI73" s="4">
        <v>1583769</v>
      </c>
      <c r="AJ73" s="4">
        <v>1899102</v>
      </c>
      <c r="AK73" s="4">
        <v>2214434</v>
      </c>
      <c r="AL73" s="4">
        <v>2529766</v>
      </c>
      <c r="AM73" s="4">
        <v>2845098</v>
      </c>
      <c r="AN73" s="4">
        <v>3160431</v>
      </c>
      <c r="AO73" s="150">
        <v>217903</v>
      </c>
    </row>
    <row r="74" spans="1:41" x14ac:dyDescent="0.2">
      <c r="A74" s="1">
        <v>2024</v>
      </c>
      <c r="B74" s="2" t="s">
        <v>93</v>
      </c>
      <c r="C74" s="2" t="s">
        <v>93</v>
      </c>
      <c r="D74" s="1" t="s">
        <v>446</v>
      </c>
      <c r="E74" s="3">
        <v>2441470</v>
      </c>
      <c r="F74" s="3">
        <v>332</v>
      </c>
      <c r="G74" s="3">
        <v>0</v>
      </c>
      <c r="H74" s="3">
        <v>10403</v>
      </c>
      <c r="I74" s="1">
        <v>0</v>
      </c>
      <c r="J74" s="3">
        <v>2441138</v>
      </c>
      <c r="K74" s="3">
        <v>2430735</v>
      </c>
      <c r="L74" s="3">
        <v>2430735</v>
      </c>
      <c r="M74" s="3">
        <v>76018</v>
      </c>
      <c r="N74" s="3">
        <v>330025</v>
      </c>
      <c r="O74" s="3">
        <v>35485</v>
      </c>
      <c r="P74" s="3">
        <v>33359</v>
      </c>
      <c r="Q74" s="3">
        <v>172460</v>
      </c>
      <c r="R74" s="3">
        <v>1793791</v>
      </c>
      <c r="S74" s="3">
        <v>1783388</v>
      </c>
      <c r="T74" s="3">
        <v>1783388</v>
      </c>
      <c r="U74" s="3">
        <v>244114</v>
      </c>
      <c r="V74" s="3">
        <v>244114</v>
      </c>
      <c r="W74" s="3">
        <v>244114</v>
      </c>
      <c r="X74" s="3">
        <v>244114</v>
      </c>
      <c r="Y74" s="3">
        <v>242380</v>
      </c>
      <c r="Z74" s="3">
        <v>242380</v>
      </c>
      <c r="AA74" s="4">
        <v>242380</v>
      </c>
      <c r="AB74" s="4">
        <v>242380</v>
      </c>
      <c r="AC74" s="4">
        <v>242380</v>
      </c>
      <c r="AD74" s="4">
        <v>242379</v>
      </c>
      <c r="AE74" s="4">
        <v>244114</v>
      </c>
      <c r="AF74" s="4">
        <v>488228</v>
      </c>
      <c r="AG74" s="4">
        <v>732342</v>
      </c>
      <c r="AH74" s="4">
        <v>976456</v>
      </c>
      <c r="AI74" s="4">
        <v>1218836</v>
      </c>
      <c r="AJ74" s="4">
        <v>1461216</v>
      </c>
      <c r="AK74" s="4">
        <v>1703596</v>
      </c>
      <c r="AL74" s="4">
        <v>1945976</v>
      </c>
      <c r="AM74" s="4">
        <v>2188356</v>
      </c>
      <c r="AN74" s="4">
        <v>2430735</v>
      </c>
      <c r="AO74" s="150">
        <v>206587</v>
      </c>
    </row>
    <row r="75" spans="1:41" x14ac:dyDescent="0.2">
      <c r="A75" s="1">
        <v>2024</v>
      </c>
      <c r="B75" s="2" t="s">
        <v>94</v>
      </c>
      <c r="C75" s="2" t="s">
        <v>94</v>
      </c>
      <c r="D75" s="1" t="s">
        <v>447</v>
      </c>
      <c r="E75" s="3">
        <v>5641245</v>
      </c>
      <c r="F75" s="1">
        <v>580</v>
      </c>
      <c r="G75" s="3">
        <v>9765</v>
      </c>
      <c r="H75" s="3">
        <v>17041</v>
      </c>
      <c r="I75" s="1">
        <v>0</v>
      </c>
      <c r="J75" s="3">
        <v>5630900</v>
      </c>
      <c r="K75" s="3">
        <v>5613859</v>
      </c>
      <c r="L75" s="3">
        <v>5613859</v>
      </c>
      <c r="M75" s="3">
        <v>133033</v>
      </c>
      <c r="N75" s="3">
        <v>511792</v>
      </c>
      <c r="O75" s="3">
        <v>63180</v>
      </c>
      <c r="P75" s="3">
        <v>60621</v>
      </c>
      <c r="Q75" s="3">
        <v>273412</v>
      </c>
      <c r="R75" s="3">
        <v>4588862</v>
      </c>
      <c r="S75" s="3">
        <v>4571821</v>
      </c>
      <c r="T75" s="3">
        <v>4571821</v>
      </c>
      <c r="U75" s="3">
        <v>563090</v>
      </c>
      <c r="V75" s="3">
        <v>563090</v>
      </c>
      <c r="W75" s="3">
        <v>563090</v>
      </c>
      <c r="X75" s="3">
        <v>563090</v>
      </c>
      <c r="Y75" s="3">
        <v>560250</v>
      </c>
      <c r="Z75" s="3">
        <v>560250</v>
      </c>
      <c r="AA75" s="4">
        <v>560250</v>
      </c>
      <c r="AB75" s="4">
        <v>560250</v>
      </c>
      <c r="AC75" s="4">
        <v>560250</v>
      </c>
      <c r="AD75" s="4">
        <v>560249</v>
      </c>
      <c r="AE75" s="4">
        <v>563090</v>
      </c>
      <c r="AF75" s="4">
        <v>1126180</v>
      </c>
      <c r="AG75" s="4">
        <v>1689270</v>
      </c>
      <c r="AH75" s="4">
        <v>2252360</v>
      </c>
      <c r="AI75" s="4">
        <v>2812610</v>
      </c>
      <c r="AJ75" s="4">
        <v>3372860</v>
      </c>
      <c r="AK75" s="4">
        <v>3933110</v>
      </c>
      <c r="AL75" s="4">
        <v>4493360</v>
      </c>
      <c r="AM75" s="4">
        <v>5053610</v>
      </c>
      <c r="AN75" s="4">
        <v>5613859</v>
      </c>
      <c r="AO75" s="150">
        <v>361012</v>
      </c>
    </row>
    <row r="76" spans="1:41" x14ac:dyDescent="0.2">
      <c r="A76" s="1">
        <v>2024</v>
      </c>
      <c r="B76" s="2" t="s">
        <v>95</v>
      </c>
      <c r="C76" s="2" t="s">
        <v>95</v>
      </c>
      <c r="D76" s="1" t="s">
        <v>448</v>
      </c>
      <c r="E76" s="3">
        <v>2924026</v>
      </c>
      <c r="F76" s="3">
        <v>398</v>
      </c>
      <c r="G76" s="3">
        <v>0</v>
      </c>
      <c r="H76" s="3">
        <v>9762</v>
      </c>
      <c r="I76" s="3">
        <v>0</v>
      </c>
      <c r="J76" s="3">
        <v>2923628</v>
      </c>
      <c r="K76" s="3">
        <v>2913866</v>
      </c>
      <c r="L76" s="3">
        <v>2913866</v>
      </c>
      <c r="M76" s="3">
        <v>91222</v>
      </c>
      <c r="N76" s="3">
        <v>310803</v>
      </c>
      <c r="O76" s="3">
        <v>35951</v>
      </c>
      <c r="P76" s="3">
        <v>33435</v>
      </c>
      <c r="Q76" s="3">
        <v>156625</v>
      </c>
      <c r="R76" s="3">
        <v>2295592</v>
      </c>
      <c r="S76" s="3">
        <v>2285830</v>
      </c>
      <c r="T76" s="3">
        <v>2285830</v>
      </c>
      <c r="U76" s="3">
        <v>292363</v>
      </c>
      <c r="V76" s="3">
        <v>292363</v>
      </c>
      <c r="W76" s="3">
        <v>292363</v>
      </c>
      <c r="X76" s="3">
        <v>292363</v>
      </c>
      <c r="Y76" s="3">
        <v>290736</v>
      </c>
      <c r="Z76" s="3">
        <v>290736</v>
      </c>
      <c r="AA76" s="4">
        <v>290736</v>
      </c>
      <c r="AB76" s="4">
        <v>290736</v>
      </c>
      <c r="AC76" s="4">
        <v>290736</v>
      </c>
      <c r="AD76" s="4">
        <v>290734</v>
      </c>
      <c r="AE76" s="4">
        <v>292363</v>
      </c>
      <c r="AF76" s="4">
        <v>584726</v>
      </c>
      <c r="AG76" s="4">
        <v>877089</v>
      </c>
      <c r="AH76" s="4">
        <v>1169452</v>
      </c>
      <c r="AI76" s="4">
        <v>1460188</v>
      </c>
      <c r="AJ76" s="4">
        <v>1750924</v>
      </c>
      <c r="AK76" s="4">
        <v>2041660</v>
      </c>
      <c r="AL76" s="4">
        <v>2332396</v>
      </c>
      <c r="AM76" s="4">
        <v>2623132</v>
      </c>
      <c r="AN76" s="4">
        <v>2913866</v>
      </c>
      <c r="AO76" s="150">
        <v>202086</v>
      </c>
    </row>
    <row r="77" spans="1:41" x14ac:dyDescent="0.2">
      <c r="A77" s="1">
        <v>2024</v>
      </c>
      <c r="B77" s="2" t="s">
        <v>96</v>
      </c>
      <c r="C77" s="2" t="s">
        <v>96</v>
      </c>
      <c r="D77" s="1" t="s">
        <v>449</v>
      </c>
      <c r="E77" s="3">
        <v>1810698</v>
      </c>
      <c r="F77" s="3">
        <v>348</v>
      </c>
      <c r="G77" s="3">
        <v>0</v>
      </c>
      <c r="H77" s="3">
        <v>8777</v>
      </c>
      <c r="I77" s="1">
        <v>0</v>
      </c>
      <c r="J77" s="3">
        <v>1810350</v>
      </c>
      <c r="K77" s="3">
        <v>1801573</v>
      </c>
      <c r="L77" s="3">
        <v>1801573</v>
      </c>
      <c r="M77" s="3">
        <v>79820</v>
      </c>
      <c r="N77" s="3">
        <v>296359</v>
      </c>
      <c r="O77" s="3">
        <v>35479</v>
      </c>
      <c r="P77" s="3">
        <v>30192</v>
      </c>
      <c r="Q77" s="3">
        <v>147557</v>
      </c>
      <c r="R77" s="3">
        <v>1220943</v>
      </c>
      <c r="S77" s="3">
        <v>1212166</v>
      </c>
      <c r="T77" s="3">
        <v>1212166</v>
      </c>
      <c r="U77" s="3">
        <v>181035</v>
      </c>
      <c r="V77" s="3">
        <v>181035</v>
      </c>
      <c r="W77" s="3">
        <v>181035</v>
      </c>
      <c r="X77" s="3">
        <v>181035</v>
      </c>
      <c r="Y77" s="3">
        <v>179572</v>
      </c>
      <c r="Z77" s="3">
        <v>179572</v>
      </c>
      <c r="AA77" s="4">
        <v>179572</v>
      </c>
      <c r="AB77" s="4">
        <v>179572</v>
      </c>
      <c r="AC77" s="4">
        <v>179572</v>
      </c>
      <c r="AD77" s="4">
        <v>179573</v>
      </c>
      <c r="AE77" s="4">
        <v>181035</v>
      </c>
      <c r="AF77" s="4">
        <v>362070</v>
      </c>
      <c r="AG77" s="4">
        <v>543105</v>
      </c>
      <c r="AH77" s="4">
        <v>724140</v>
      </c>
      <c r="AI77" s="4">
        <v>903712</v>
      </c>
      <c r="AJ77" s="4">
        <v>1083284</v>
      </c>
      <c r="AK77" s="4">
        <v>1262856</v>
      </c>
      <c r="AL77" s="4">
        <v>1442428</v>
      </c>
      <c r="AM77" s="4">
        <v>1622000</v>
      </c>
      <c r="AN77" s="4">
        <v>1801573</v>
      </c>
      <c r="AO77" s="150">
        <v>181101</v>
      </c>
    </row>
    <row r="78" spans="1:41" x14ac:dyDescent="0.2">
      <c r="A78" s="1">
        <v>2024</v>
      </c>
      <c r="B78" s="2" t="s">
        <v>97</v>
      </c>
      <c r="C78" s="2" t="s">
        <v>97</v>
      </c>
      <c r="D78" s="1" t="s">
        <v>450</v>
      </c>
      <c r="E78" s="3">
        <v>76336171</v>
      </c>
      <c r="F78" s="3">
        <v>6816</v>
      </c>
      <c r="G78" s="3">
        <v>4714</v>
      </c>
      <c r="H78" s="3">
        <v>200016</v>
      </c>
      <c r="I78" s="1">
        <v>0</v>
      </c>
      <c r="J78" s="3">
        <v>76324641</v>
      </c>
      <c r="K78" s="3">
        <v>76124625</v>
      </c>
      <c r="L78" s="3">
        <v>76124625</v>
      </c>
      <c r="M78" s="3">
        <v>1562177</v>
      </c>
      <c r="N78" s="3">
        <v>5502047</v>
      </c>
      <c r="O78" s="3">
        <v>800934</v>
      </c>
      <c r="P78" s="3">
        <v>636881</v>
      </c>
      <c r="Q78" s="3">
        <v>3209049</v>
      </c>
      <c r="R78" s="3">
        <v>64613553</v>
      </c>
      <c r="S78" s="3">
        <v>64413537</v>
      </c>
      <c r="T78" s="3">
        <v>64413537</v>
      </c>
      <c r="U78" s="3">
        <v>7632464</v>
      </c>
      <c r="V78" s="3">
        <v>7632464</v>
      </c>
      <c r="W78" s="3">
        <v>7632464</v>
      </c>
      <c r="X78" s="3">
        <v>7632464</v>
      </c>
      <c r="Y78" s="3">
        <v>7599128</v>
      </c>
      <c r="Z78" s="3">
        <v>7599128</v>
      </c>
      <c r="AA78" s="4">
        <v>7599128</v>
      </c>
      <c r="AB78" s="4">
        <v>7599128</v>
      </c>
      <c r="AC78" s="4">
        <v>7599128</v>
      </c>
      <c r="AD78" s="4">
        <v>7599129</v>
      </c>
      <c r="AE78" s="4">
        <v>7632464</v>
      </c>
      <c r="AF78" s="4">
        <v>15264928</v>
      </c>
      <c r="AG78" s="4">
        <v>22897392</v>
      </c>
      <c r="AH78" s="4">
        <v>30529856</v>
      </c>
      <c r="AI78" s="4">
        <v>38128984</v>
      </c>
      <c r="AJ78" s="4">
        <v>45728112</v>
      </c>
      <c r="AK78" s="4">
        <v>53327240</v>
      </c>
      <c r="AL78" s="4">
        <v>60926368</v>
      </c>
      <c r="AM78" s="4">
        <v>68525496</v>
      </c>
      <c r="AN78" s="4">
        <v>76124625</v>
      </c>
      <c r="AO78" s="150">
        <v>4680042</v>
      </c>
    </row>
    <row r="79" spans="1:41" x14ac:dyDescent="0.2">
      <c r="A79" s="1">
        <v>2024</v>
      </c>
      <c r="B79" s="2" t="s">
        <v>98</v>
      </c>
      <c r="C79" s="2" t="s">
        <v>98</v>
      </c>
      <c r="D79" s="1" t="s">
        <v>451</v>
      </c>
      <c r="E79" s="3">
        <v>10317180</v>
      </c>
      <c r="F79" s="3">
        <v>1426</v>
      </c>
      <c r="G79" s="3">
        <v>0</v>
      </c>
      <c r="H79" s="3">
        <v>32089</v>
      </c>
      <c r="I79" s="1">
        <v>0</v>
      </c>
      <c r="J79" s="3">
        <v>10315754</v>
      </c>
      <c r="K79" s="3">
        <v>10283665</v>
      </c>
      <c r="L79" s="3">
        <v>10283665</v>
      </c>
      <c r="M79" s="3">
        <v>326879</v>
      </c>
      <c r="N79" s="3">
        <v>933322</v>
      </c>
      <c r="O79" s="3">
        <v>116580</v>
      </c>
      <c r="P79" s="3">
        <v>102470</v>
      </c>
      <c r="Q79" s="3">
        <v>514836</v>
      </c>
      <c r="R79" s="3">
        <v>8321667</v>
      </c>
      <c r="S79" s="3">
        <v>8289578</v>
      </c>
      <c r="T79" s="3">
        <v>8289578</v>
      </c>
      <c r="U79" s="3">
        <v>1031575</v>
      </c>
      <c r="V79" s="3">
        <v>1031575</v>
      </c>
      <c r="W79" s="3">
        <v>1031575</v>
      </c>
      <c r="X79" s="3">
        <v>1031575</v>
      </c>
      <c r="Y79" s="3">
        <v>1026228</v>
      </c>
      <c r="Z79" s="3">
        <v>1026228</v>
      </c>
      <c r="AA79" s="4">
        <v>1026227</v>
      </c>
      <c r="AB79" s="4">
        <v>1026227</v>
      </c>
      <c r="AC79" s="4">
        <v>1026227</v>
      </c>
      <c r="AD79" s="4">
        <v>1026228</v>
      </c>
      <c r="AE79" s="4">
        <v>1031575</v>
      </c>
      <c r="AF79" s="4">
        <v>2063150</v>
      </c>
      <c r="AG79" s="4">
        <v>3094725</v>
      </c>
      <c r="AH79" s="4">
        <v>4126300</v>
      </c>
      <c r="AI79" s="4">
        <v>5152528</v>
      </c>
      <c r="AJ79" s="4">
        <v>6178756</v>
      </c>
      <c r="AK79" s="4">
        <v>7204983</v>
      </c>
      <c r="AL79" s="4">
        <v>8231210</v>
      </c>
      <c r="AM79" s="4">
        <v>9257437</v>
      </c>
      <c r="AN79" s="4">
        <v>10283665</v>
      </c>
      <c r="AO79" s="150">
        <v>691604</v>
      </c>
    </row>
    <row r="80" spans="1:41" x14ac:dyDescent="0.2">
      <c r="A80" s="1">
        <v>2024</v>
      </c>
      <c r="B80" s="2" t="s">
        <v>99</v>
      </c>
      <c r="C80" s="2" t="s">
        <v>99</v>
      </c>
      <c r="D80" s="1" t="s">
        <v>452</v>
      </c>
      <c r="E80" s="3">
        <v>23739524</v>
      </c>
      <c r="F80" s="3">
        <v>2919</v>
      </c>
      <c r="G80" s="3">
        <v>13805</v>
      </c>
      <c r="H80" s="3">
        <v>79890</v>
      </c>
      <c r="I80" s="1">
        <v>0</v>
      </c>
      <c r="J80" s="3">
        <v>23722800</v>
      </c>
      <c r="K80" s="3">
        <v>23642910</v>
      </c>
      <c r="L80" s="3">
        <v>23642910</v>
      </c>
      <c r="M80" s="3">
        <v>668961</v>
      </c>
      <c r="N80" s="3">
        <v>2185610</v>
      </c>
      <c r="O80" s="3">
        <v>260572</v>
      </c>
      <c r="P80" s="3">
        <v>232470</v>
      </c>
      <c r="Q80" s="3">
        <v>1281747</v>
      </c>
      <c r="R80" s="3">
        <v>19093440</v>
      </c>
      <c r="S80" s="3">
        <v>19013550</v>
      </c>
      <c r="T80" s="3">
        <v>19013550</v>
      </c>
      <c r="U80" s="3">
        <v>2372280</v>
      </c>
      <c r="V80" s="3">
        <v>2372280</v>
      </c>
      <c r="W80" s="3">
        <v>2372280</v>
      </c>
      <c r="X80" s="3">
        <v>2372280</v>
      </c>
      <c r="Y80" s="3">
        <v>2358965</v>
      </c>
      <c r="Z80" s="3">
        <v>2358965</v>
      </c>
      <c r="AA80" s="4">
        <v>2358965</v>
      </c>
      <c r="AB80" s="4">
        <v>2358965</v>
      </c>
      <c r="AC80" s="4">
        <v>2358965</v>
      </c>
      <c r="AD80" s="4">
        <v>2358965</v>
      </c>
      <c r="AE80" s="4">
        <v>2372280</v>
      </c>
      <c r="AF80" s="4">
        <v>4744560</v>
      </c>
      <c r="AG80" s="4">
        <v>7116840</v>
      </c>
      <c r="AH80" s="4">
        <v>9489120</v>
      </c>
      <c r="AI80" s="4">
        <v>11848085</v>
      </c>
      <c r="AJ80" s="4">
        <v>14207050</v>
      </c>
      <c r="AK80" s="4">
        <v>16566015</v>
      </c>
      <c r="AL80" s="4">
        <v>18924980</v>
      </c>
      <c r="AM80" s="4">
        <v>21283945</v>
      </c>
      <c r="AN80" s="4">
        <v>23642910</v>
      </c>
      <c r="AO80" s="150">
        <v>1757408</v>
      </c>
    </row>
    <row r="81" spans="1:41" x14ac:dyDescent="0.2">
      <c r="A81" s="1">
        <v>2024</v>
      </c>
      <c r="B81" s="2" t="s">
        <v>100</v>
      </c>
      <c r="C81" s="2" t="s">
        <v>100</v>
      </c>
      <c r="D81" s="1" t="s">
        <v>453</v>
      </c>
      <c r="E81" s="3">
        <v>3044016</v>
      </c>
      <c r="F81" s="3">
        <v>597</v>
      </c>
      <c r="G81" s="3">
        <v>0</v>
      </c>
      <c r="H81" s="3">
        <v>9932</v>
      </c>
      <c r="I81" s="1">
        <v>0</v>
      </c>
      <c r="J81" s="3">
        <v>3043419</v>
      </c>
      <c r="K81" s="3">
        <v>3033487</v>
      </c>
      <c r="L81" s="3">
        <v>3033487</v>
      </c>
      <c r="M81" s="3">
        <v>136833</v>
      </c>
      <c r="N81" s="3">
        <v>305048</v>
      </c>
      <c r="O81" s="3">
        <v>36973</v>
      </c>
      <c r="P81" s="3">
        <v>33236</v>
      </c>
      <c r="Q81" s="3">
        <v>167772</v>
      </c>
      <c r="R81" s="3">
        <v>2363557</v>
      </c>
      <c r="S81" s="3">
        <v>2353625</v>
      </c>
      <c r="T81" s="3">
        <v>2353625</v>
      </c>
      <c r="U81" s="3">
        <v>304342</v>
      </c>
      <c r="V81" s="3">
        <v>304342</v>
      </c>
      <c r="W81" s="3">
        <v>304342</v>
      </c>
      <c r="X81" s="3">
        <v>304342</v>
      </c>
      <c r="Y81" s="3">
        <v>302687</v>
      </c>
      <c r="Z81" s="3">
        <v>302687</v>
      </c>
      <c r="AA81" s="4">
        <v>302686</v>
      </c>
      <c r="AB81" s="4">
        <v>302686</v>
      </c>
      <c r="AC81" s="4">
        <v>302686</v>
      </c>
      <c r="AD81" s="4">
        <v>302687</v>
      </c>
      <c r="AE81" s="4">
        <v>304342</v>
      </c>
      <c r="AF81" s="4">
        <v>608684</v>
      </c>
      <c r="AG81" s="4">
        <v>913026</v>
      </c>
      <c r="AH81" s="4">
        <v>1217368</v>
      </c>
      <c r="AI81" s="4">
        <v>1520055</v>
      </c>
      <c r="AJ81" s="4">
        <v>1822742</v>
      </c>
      <c r="AK81" s="4">
        <v>2125428</v>
      </c>
      <c r="AL81" s="4">
        <v>2428114</v>
      </c>
      <c r="AM81" s="4">
        <v>2730800</v>
      </c>
      <c r="AN81" s="4">
        <v>3033487</v>
      </c>
      <c r="AO81" s="150">
        <v>222284</v>
      </c>
    </row>
    <row r="82" spans="1:41" x14ac:dyDescent="0.2">
      <c r="A82" s="1">
        <v>2024</v>
      </c>
      <c r="B82" s="2" t="s">
        <v>101</v>
      </c>
      <c r="C82" s="2" t="s">
        <v>101</v>
      </c>
      <c r="D82" s="1" t="s">
        <v>454</v>
      </c>
      <c r="E82" s="3">
        <v>107337818</v>
      </c>
      <c r="F82" s="3">
        <v>11178</v>
      </c>
      <c r="G82" s="3">
        <v>3704</v>
      </c>
      <c r="H82" s="3">
        <v>325359</v>
      </c>
      <c r="I82" s="1">
        <v>0</v>
      </c>
      <c r="J82" s="3">
        <v>107322936</v>
      </c>
      <c r="K82" s="3">
        <v>106997577</v>
      </c>
      <c r="L82" s="3">
        <v>106997577</v>
      </c>
      <c r="M82" s="3">
        <v>2572937</v>
      </c>
      <c r="N82" s="3">
        <v>9097150</v>
      </c>
      <c r="O82" s="3">
        <v>1297327</v>
      </c>
      <c r="P82" s="3">
        <v>1110638</v>
      </c>
      <c r="Q82" s="3">
        <v>5220043</v>
      </c>
      <c r="R82" s="3">
        <v>88024841</v>
      </c>
      <c r="S82" s="3">
        <v>87699482</v>
      </c>
      <c r="T82" s="3">
        <v>87699482</v>
      </c>
      <c r="U82" s="3">
        <v>10732294</v>
      </c>
      <c r="V82" s="3">
        <v>10732294</v>
      </c>
      <c r="W82" s="3">
        <v>10732294</v>
      </c>
      <c r="X82" s="3">
        <v>10732294</v>
      </c>
      <c r="Y82" s="3">
        <v>10678067</v>
      </c>
      <c r="Z82" s="3">
        <v>10678067</v>
      </c>
      <c r="AA82" s="4">
        <v>10678067</v>
      </c>
      <c r="AB82" s="4">
        <v>10678067</v>
      </c>
      <c r="AC82" s="4">
        <v>10678067</v>
      </c>
      <c r="AD82" s="4">
        <v>10678066</v>
      </c>
      <c r="AE82" s="4">
        <v>10732294</v>
      </c>
      <c r="AF82" s="4">
        <v>21464588</v>
      </c>
      <c r="AG82" s="4">
        <v>32196882</v>
      </c>
      <c r="AH82" s="4">
        <v>42929176</v>
      </c>
      <c r="AI82" s="4">
        <v>53607243</v>
      </c>
      <c r="AJ82" s="4">
        <v>64285310</v>
      </c>
      <c r="AK82" s="4">
        <v>74963377</v>
      </c>
      <c r="AL82" s="4">
        <v>85641444</v>
      </c>
      <c r="AM82" s="4">
        <v>96319511</v>
      </c>
      <c r="AN82" s="4">
        <v>106997577</v>
      </c>
      <c r="AO82" s="150">
        <v>7173151</v>
      </c>
    </row>
    <row r="83" spans="1:41" x14ac:dyDescent="0.2">
      <c r="A83" s="1">
        <v>2024</v>
      </c>
      <c r="B83" s="2" t="s">
        <v>102</v>
      </c>
      <c r="C83" s="2" t="s">
        <v>102</v>
      </c>
      <c r="D83" s="1" t="s">
        <v>455</v>
      </c>
      <c r="E83" s="3">
        <v>8052013</v>
      </c>
      <c r="F83" s="3">
        <v>813</v>
      </c>
      <c r="G83" s="3">
        <v>0</v>
      </c>
      <c r="H83" s="3">
        <v>26386</v>
      </c>
      <c r="I83" s="1">
        <v>0</v>
      </c>
      <c r="J83" s="3">
        <v>8051200</v>
      </c>
      <c r="K83" s="3">
        <v>8024814</v>
      </c>
      <c r="L83" s="3">
        <v>8024814</v>
      </c>
      <c r="M83" s="3">
        <v>186245</v>
      </c>
      <c r="N83" s="3">
        <v>756855</v>
      </c>
      <c r="O83" s="3">
        <v>85176</v>
      </c>
      <c r="P83" s="3">
        <v>83637</v>
      </c>
      <c r="Q83" s="3">
        <v>423330</v>
      </c>
      <c r="R83" s="3">
        <v>6515957</v>
      </c>
      <c r="S83" s="3">
        <v>6489571</v>
      </c>
      <c r="T83" s="3">
        <v>6489571</v>
      </c>
      <c r="U83" s="3">
        <v>805120</v>
      </c>
      <c r="V83" s="3">
        <v>805120</v>
      </c>
      <c r="W83" s="3">
        <v>805120</v>
      </c>
      <c r="X83" s="3">
        <v>805120</v>
      </c>
      <c r="Y83" s="3">
        <v>800722</v>
      </c>
      <c r="Z83" s="3">
        <v>800722</v>
      </c>
      <c r="AA83" s="4">
        <v>800723</v>
      </c>
      <c r="AB83" s="4">
        <v>800723</v>
      </c>
      <c r="AC83" s="4">
        <v>800723</v>
      </c>
      <c r="AD83" s="4">
        <v>800721</v>
      </c>
      <c r="AE83" s="4">
        <v>805120</v>
      </c>
      <c r="AF83" s="4">
        <v>1610240</v>
      </c>
      <c r="AG83" s="4">
        <v>2415360</v>
      </c>
      <c r="AH83" s="4">
        <v>3220480</v>
      </c>
      <c r="AI83" s="4">
        <v>4021202</v>
      </c>
      <c r="AJ83" s="4">
        <v>4821924</v>
      </c>
      <c r="AK83" s="4">
        <v>5622647</v>
      </c>
      <c r="AL83" s="4">
        <v>6423370</v>
      </c>
      <c r="AM83" s="4">
        <v>7224093</v>
      </c>
      <c r="AN83" s="4">
        <v>8024814</v>
      </c>
      <c r="AO83" s="150">
        <v>546435</v>
      </c>
    </row>
    <row r="84" spans="1:41" x14ac:dyDescent="0.2">
      <c r="A84" s="1">
        <v>2024</v>
      </c>
      <c r="B84" s="2" t="s">
        <v>103</v>
      </c>
      <c r="C84" s="2" t="s">
        <v>103</v>
      </c>
      <c r="D84" s="1" t="s">
        <v>456</v>
      </c>
      <c r="E84" s="3">
        <v>9056209</v>
      </c>
      <c r="F84" s="3">
        <v>1609</v>
      </c>
      <c r="G84" s="3">
        <v>0</v>
      </c>
      <c r="H84" s="3">
        <v>34974</v>
      </c>
      <c r="I84" s="1">
        <v>0</v>
      </c>
      <c r="J84" s="3">
        <v>9054600</v>
      </c>
      <c r="K84" s="3">
        <v>9019626</v>
      </c>
      <c r="L84" s="3">
        <v>9019626</v>
      </c>
      <c r="M84" s="3">
        <v>368689</v>
      </c>
      <c r="N84" s="3">
        <v>997547</v>
      </c>
      <c r="O84" s="3">
        <v>113814</v>
      </c>
      <c r="P84" s="3">
        <v>116129</v>
      </c>
      <c r="Q84" s="3">
        <v>561124</v>
      </c>
      <c r="R84" s="3">
        <v>6897297</v>
      </c>
      <c r="S84" s="3">
        <v>6862323</v>
      </c>
      <c r="T84" s="3">
        <v>6862323</v>
      </c>
      <c r="U84" s="3">
        <v>905460</v>
      </c>
      <c r="V84" s="3">
        <v>905460</v>
      </c>
      <c r="W84" s="3">
        <v>905460</v>
      </c>
      <c r="X84" s="3">
        <v>905460</v>
      </c>
      <c r="Y84" s="3">
        <v>899631</v>
      </c>
      <c r="Z84" s="3">
        <v>899631</v>
      </c>
      <c r="AA84" s="4">
        <v>899631</v>
      </c>
      <c r="AB84" s="4">
        <v>899631</v>
      </c>
      <c r="AC84" s="4">
        <v>899631</v>
      </c>
      <c r="AD84" s="4">
        <v>899631</v>
      </c>
      <c r="AE84" s="4">
        <v>905460</v>
      </c>
      <c r="AF84" s="4">
        <v>1810920</v>
      </c>
      <c r="AG84" s="4">
        <v>2716380</v>
      </c>
      <c r="AH84" s="4">
        <v>3621840</v>
      </c>
      <c r="AI84" s="4">
        <v>4521471</v>
      </c>
      <c r="AJ84" s="4">
        <v>5421102</v>
      </c>
      <c r="AK84" s="4">
        <v>6320733</v>
      </c>
      <c r="AL84" s="4">
        <v>7220364</v>
      </c>
      <c r="AM84" s="4">
        <v>8119995</v>
      </c>
      <c r="AN84" s="4">
        <v>9019626</v>
      </c>
      <c r="AO84" s="150">
        <v>754266</v>
      </c>
    </row>
    <row r="85" spans="1:41" x14ac:dyDescent="0.2">
      <c r="A85" s="1">
        <v>2024</v>
      </c>
      <c r="B85" s="2" t="s">
        <v>104</v>
      </c>
      <c r="C85" s="2" t="s">
        <v>104</v>
      </c>
      <c r="D85" s="1" t="s">
        <v>457</v>
      </c>
      <c r="E85" s="3">
        <v>1381940</v>
      </c>
      <c r="F85" s="3">
        <v>216</v>
      </c>
      <c r="G85" s="3">
        <v>0</v>
      </c>
      <c r="H85" s="3">
        <v>4594</v>
      </c>
      <c r="I85" s="3">
        <v>0</v>
      </c>
      <c r="J85" s="3">
        <v>1381724</v>
      </c>
      <c r="K85" s="3">
        <v>1377130</v>
      </c>
      <c r="L85" s="3">
        <v>1377130</v>
      </c>
      <c r="M85" s="3">
        <v>49412</v>
      </c>
      <c r="N85" s="3">
        <v>117852</v>
      </c>
      <c r="O85" s="3">
        <v>15444</v>
      </c>
      <c r="P85" s="3">
        <v>10122</v>
      </c>
      <c r="Q85" s="3">
        <v>73706</v>
      </c>
      <c r="R85" s="3">
        <v>1115188</v>
      </c>
      <c r="S85" s="3">
        <v>1110594</v>
      </c>
      <c r="T85" s="3">
        <v>1110594</v>
      </c>
      <c r="U85" s="3">
        <v>138172</v>
      </c>
      <c r="V85" s="3">
        <v>138172</v>
      </c>
      <c r="W85" s="3">
        <v>138172</v>
      </c>
      <c r="X85" s="3">
        <v>138172</v>
      </c>
      <c r="Y85" s="3">
        <v>137407</v>
      </c>
      <c r="Z85" s="3">
        <v>137407</v>
      </c>
      <c r="AA85" s="4">
        <v>137407</v>
      </c>
      <c r="AB85" s="4">
        <v>137407</v>
      </c>
      <c r="AC85" s="4">
        <v>137407</v>
      </c>
      <c r="AD85" s="4">
        <v>137407</v>
      </c>
      <c r="AE85" s="4">
        <v>138172</v>
      </c>
      <c r="AF85" s="4">
        <v>276344</v>
      </c>
      <c r="AG85" s="4">
        <v>414516</v>
      </c>
      <c r="AH85" s="4">
        <v>552688</v>
      </c>
      <c r="AI85" s="4">
        <v>690095</v>
      </c>
      <c r="AJ85" s="4">
        <v>827502</v>
      </c>
      <c r="AK85" s="4">
        <v>964909</v>
      </c>
      <c r="AL85" s="4">
        <v>1102316</v>
      </c>
      <c r="AM85" s="4">
        <v>1239723</v>
      </c>
      <c r="AN85" s="4">
        <v>1377130</v>
      </c>
      <c r="AO85" s="150">
        <v>92353</v>
      </c>
    </row>
    <row r="86" spans="1:41" x14ac:dyDescent="0.2">
      <c r="A86" s="1">
        <v>2024</v>
      </c>
      <c r="B86" s="2" t="s">
        <v>105</v>
      </c>
      <c r="C86" s="2" t="s">
        <v>105</v>
      </c>
      <c r="D86" s="1" t="s">
        <v>458</v>
      </c>
      <c r="E86" s="3">
        <v>17484664</v>
      </c>
      <c r="F86" s="3">
        <v>1576</v>
      </c>
      <c r="G86" s="3">
        <v>0</v>
      </c>
      <c r="H86" s="3">
        <v>46544</v>
      </c>
      <c r="I86" s="3">
        <v>0</v>
      </c>
      <c r="J86" s="3">
        <v>17483088</v>
      </c>
      <c r="K86" s="3">
        <v>17436544</v>
      </c>
      <c r="L86" s="3">
        <v>17436544</v>
      </c>
      <c r="M86" s="3">
        <v>364794</v>
      </c>
      <c r="N86" s="3">
        <v>1254523</v>
      </c>
      <c r="O86" s="3">
        <v>183421</v>
      </c>
      <c r="P86" s="3">
        <v>151993</v>
      </c>
      <c r="Q86" s="3">
        <v>746752</v>
      </c>
      <c r="R86" s="3">
        <v>14781605</v>
      </c>
      <c r="S86" s="3">
        <v>14735061</v>
      </c>
      <c r="T86" s="3">
        <v>14735061</v>
      </c>
      <c r="U86" s="3">
        <v>1748309</v>
      </c>
      <c r="V86" s="3">
        <v>1748309</v>
      </c>
      <c r="W86" s="3">
        <v>1748309</v>
      </c>
      <c r="X86" s="3">
        <v>1748309</v>
      </c>
      <c r="Y86" s="3">
        <v>1740551</v>
      </c>
      <c r="Z86" s="3">
        <v>1740551</v>
      </c>
      <c r="AA86" s="4">
        <v>1740552</v>
      </c>
      <c r="AB86" s="4">
        <v>1740552</v>
      </c>
      <c r="AC86" s="4">
        <v>1740552</v>
      </c>
      <c r="AD86" s="4">
        <v>1740550</v>
      </c>
      <c r="AE86" s="4">
        <v>1748309</v>
      </c>
      <c r="AF86" s="4">
        <v>3496618</v>
      </c>
      <c r="AG86" s="4">
        <v>5244927</v>
      </c>
      <c r="AH86" s="4">
        <v>6993236</v>
      </c>
      <c r="AI86" s="4">
        <v>8733787</v>
      </c>
      <c r="AJ86" s="4">
        <v>10474338</v>
      </c>
      <c r="AK86" s="4">
        <v>12214890</v>
      </c>
      <c r="AL86" s="4">
        <v>13955442</v>
      </c>
      <c r="AM86" s="4">
        <v>15695994</v>
      </c>
      <c r="AN86" s="4">
        <v>17436544</v>
      </c>
      <c r="AO86" s="150">
        <v>1061624</v>
      </c>
    </row>
    <row r="87" spans="1:41" x14ac:dyDescent="0.2">
      <c r="A87" s="1">
        <v>2024</v>
      </c>
      <c r="B87" s="2" t="s">
        <v>106</v>
      </c>
      <c r="C87" s="2" t="s">
        <v>106</v>
      </c>
      <c r="D87" s="1" t="s">
        <v>459</v>
      </c>
      <c r="E87" s="3">
        <v>6447632</v>
      </c>
      <c r="F87" s="1">
        <v>929</v>
      </c>
      <c r="G87" s="1">
        <v>0</v>
      </c>
      <c r="H87" s="3">
        <v>19821</v>
      </c>
      <c r="I87" s="3">
        <v>0</v>
      </c>
      <c r="J87" s="3">
        <v>6446703</v>
      </c>
      <c r="K87" s="3">
        <v>6426882</v>
      </c>
      <c r="L87" s="3">
        <v>6426882</v>
      </c>
      <c r="M87" s="3">
        <v>212851</v>
      </c>
      <c r="N87" s="3">
        <v>568332</v>
      </c>
      <c r="O87" s="3">
        <v>55174</v>
      </c>
      <c r="P87" s="3">
        <v>55174</v>
      </c>
      <c r="Q87" s="3">
        <v>318005</v>
      </c>
      <c r="R87" s="3">
        <v>5237167</v>
      </c>
      <c r="S87" s="3">
        <v>5217346</v>
      </c>
      <c r="T87" s="3">
        <v>5217346</v>
      </c>
      <c r="U87" s="3">
        <v>644670</v>
      </c>
      <c r="V87" s="3">
        <v>644670</v>
      </c>
      <c r="W87" s="3">
        <v>644670</v>
      </c>
      <c r="X87" s="3">
        <v>644670</v>
      </c>
      <c r="Y87" s="3">
        <v>641367</v>
      </c>
      <c r="Z87" s="3">
        <v>641367</v>
      </c>
      <c r="AA87" s="4">
        <v>641367</v>
      </c>
      <c r="AB87" s="4">
        <v>641367</v>
      </c>
      <c r="AC87" s="4">
        <v>641367</v>
      </c>
      <c r="AD87" s="4">
        <v>641367</v>
      </c>
      <c r="AE87" s="4">
        <v>644670</v>
      </c>
      <c r="AF87" s="4">
        <v>1289340</v>
      </c>
      <c r="AG87" s="4">
        <v>1934010</v>
      </c>
      <c r="AH87" s="4">
        <v>2578680</v>
      </c>
      <c r="AI87" s="4">
        <v>3220047</v>
      </c>
      <c r="AJ87" s="4">
        <v>3861414</v>
      </c>
      <c r="AK87" s="4">
        <v>4502781</v>
      </c>
      <c r="AL87" s="4">
        <v>5144148</v>
      </c>
      <c r="AM87" s="4">
        <v>5785515</v>
      </c>
      <c r="AN87" s="4">
        <v>6426882</v>
      </c>
      <c r="AO87" s="150">
        <v>435265</v>
      </c>
    </row>
    <row r="88" spans="1:41" x14ac:dyDescent="0.2">
      <c r="A88" s="1">
        <v>2024</v>
      </c>
      <c r="B88" s="2" t="s">
        <v>107</v>
      </c>
      <c r="C88" s="2" t="s">
        <v>107</v>
      </c>
      <c r="D88" s="1" t="s">
        <v>460</v>
      </c>
      <c r="E88" s="3">
        <v>262773870</v>
      </c>
      <c r="F88" s="3">
        <v>23451</v>
      </c>
      <c r="G88" s="3">
        <v>118818</v>
      </c>
      <c r="H88" s="3">
        <v>706878</v>
      </c>
      <c r="I88" s="3">
        <v>0</v>
      </c>
      <c r="J88" s="3">
        <v>262631601</v>
      </c>
      <c r="K88" s="3">
        <v>261924723</v>
      </c>
      <c r="L88" s="3">
        <v>261924723</v>
      </c>
      <c r="M88" s="3">
        <v>5374494</v>
      </c>
      <c r="N88" s="3">
        <v>21013034</v>
      </c>
      <c r="O88" s="3">
        <v>3092469</v>
      </c>
      <c r="P88" s="3">
        <v>2591162</v>
      </c>
      <c r="Q88" s="3">
        <v>11341105</v>
      </c>
      <c r="R88" s="3">
        <v>219219337</v>
      </c>
      <c r="S88" s="3">
        <v>218512459</v>
      </c>
      <c r="T88" s="3">
        <v>218512459</v>
      </c>
      <c r="U88" s="3">
        <v>26263160</v>
      </c>
      <c r="V88" s="3">
        <v>26263160</v>
      </c>
      <c r="W88" s="3">
        <v>26263160</v>
      </c>
      <c r="X88" s="3">
        <v>26263160</v>
      </c>
      <c r="Y88" s="3">
        <v>26145347</v>
      </c>
      <c r="Z88" s="3">
        <v>26145347</v>
      </c>
      <c r="AA88" s="4">
        <v>26145347</v>
      </c>
      <c r="AB88" s="4">
        <v>26145347</v>
      </c>
      <c r="AC88" s="4">
        <v>26145347</v>
      </c>
      <c r="AD88" s="4">
        <v>26145348</v>
      </c>
      <c r="AE88" s="4">
        <v>26263160</v>
      </c>
      <c r="AF88" s="4">
        <v>52526320</v>
      </c>
      <c r="AG88" s="4">
        <v>78789480</v>
      </c>
      <c r="AH88" s="4">
        <v>105052640</v>
      </c>
      <c r="AI88" s="4">
        <v>131197987</v>
      </c>
      <c r="AJ88" s="4">
        <v>157343334</v>
      </c>
      <c r="AK88" s="4">
        <v>183488681</v>
      </c>
      <c r="AL88" s="4">
        <v>209634028</v>
      </c>
      <c r="AM88" s="4">
        <v>235779375</v>
      </c>
      <c r="AN88" s="4">
        <v>261924723</v>
      </c>
      <c r="AO88" s="150">
        <v>15358170</v>
      </c>
    </row>
    <row r="89" spans="1:41" x14ac:dyDescent="0.2">
      <c r="A89" s="1">
        <v>2024</v>
      </c>
      <c r="B89" s="2" t="s">
        <v>108</v>
      </c>
      <c r="C89" s="2" t="s">
        <v>108</v>
      </c>
      <c r="D89" s="1" t="s">
        <v>461</v>
      </c>
      <c r="E89" s="3">
        <v>894440</v>
      </c>
      <c r="F89" s="3">
        <v>116</v>
      </c>
      <c r="G89" s="3">
        <v>0</v>
      </c>
      <c r="H89" s="3">
        <v>2573</v>
      </c>
      <c r="I89" s="1">
        <v>0</v>
      </c>
      <c r="J89" s="3">
        <v>894324</v>
      </c>
      <c r="K89" s="3">
        <v>891751</v>
      </c>
      <c r="L89" s="3">
        <v>891751</v>
      </c>
      <c r="M89" s="3">
        <v>26607</v>
      </c>
      <c r="N89" s="3">
        <v>102795</v>
      </c>
      <c r="O89" s="3">
        <v>12678</v>
      </c>
      <c r="P89" s="3">
        <v>11519</v>
      </c>
      <c r="Q89" s="3">
        <v>41275</v>
      </c>
      <c r="R89" s="3">
        <v>699450</v>
      </c>
      <c r="S89" s="3">
        <v>696877</v>
      </c>
      <c r="T89" s="3">
        <v>696877</v>
      </c>
      <c r="U89" s="3">
        <v>89432</v>
      </c>
      <c r="V89" s="3">
        <v>89432</v>
      </c>
      <c r="W89" s="3">
        <v>89432</v>
      </c>
      <c r="X89" s="3">
        <v>89432</v>
      </c>
      <c r="Y89" s="3">
        <v>89004</v>
      </c>
      <c r="Z89" s="3">
        <v>89004</v>
      </c>
      <c r="AA89" s="4">
        <v>89004</v>
      </c>
      <c r="AB89" s="4">
        <v>89004</v>
      </c>
      <c r="AC89" s="4">
        <v>89004</v>
      </c>
      <c r="AD89" s="4">
        <v>89003</v>
      </c>
      <c r="AE89" s="4">
        <v>89432</v>
      </c>
      <c r="AF89" s="4">
        <v>178864</v>
      </c>
      <c r="AG89" s="4">
        <v>268296</v>
      </c>
      <c r="AH89" s="4">
        <v>357728</v>
      </c>
      <c r="AI89" s="4">
        <v>446732</v>
      </c>
      <c r="AJ89" s="4">
        <v>535736</v>
      </c>
      <c r="AK89" s="4">
        <v>624740</v>
      </c>
      <c r="AL89" s="4">
        <v>713744</v>
      </c>
      <c r="AM89" s="4">
        <v>802748</v>
      </c>
      <c r="AN89" s="4">
        <v>891751</v>
      </c>
      <c r="AO89" s="150">
        <v>53098</v>
      </c>
    </row>
    <row r="90" spans="1:41" x14ac:dyDescent="0.2">
      <c r="A90" s="1">
        <v>2024</v>
      </c>
      <c r="B90" s="2" t="s">
        <v>109</v>
      </c>
      <c r="C90" s="2" t="s">
        <v>109</v>
      </c>
      <c r="D90" s="1" t="s">
        <v>462</v>
      </c>
      <c r="E90" s="3">
        <v>6263108</v>
      </c>
      <c r="F90" s="3">
        <v>580</v>
      </c>
      <c r="G90" s="3">
        <v>0</v>
      </c>
      <c r="H90" s="3">
        <v>20126</v>
      </c>
      <c r="I90" s="3">
        <v>0</v>
      </c>
      <c r="J90" s="3">
        <v>6262528</v>
      </c>
      <c r="K90" s="3">
        <v>6242402</v>
      </c>
      <c r="L90" s="3">
        <v>6242402</v>
      </c>
      <c r="M90" s="3">
        <v>133033</v>
      </c>
      <c r="N90" s="3">
        <v>593310</v>
      </c>
      <c r="O90" s="3">
        <v>60870</v>
      </c>
      <c r="P90" s="3">
        <v>63113</v>
      </c>
      <c r="Q90" s="3">
        <v>322906</v>
      </c>
      <c r="R90" s="3">
        <v>5089296</v>
      </c>
      <c r="S90" s="3">
        <v>5069170</v>
      </c>
      <c r="T90" s="3">
        <v>5069170</v>
      </c>
      <c r="U90" s="3">
        <v>626253</v>
      </c>
      <c r="V90" s="3">
        <v>626253</v>
      </c>
      <c r="W90" s="3">
        <v>626253</v>
      </c>
      <c r="X90" s="3">
        <v>626253</v>
      </c>
      <c r="Y90" s="3">
        <v>622898</v>
      </c>
      <c r="Z90" s="3">
        <v>622898</v>
      </c>
      <c r="AA90" s="4">
        <v>622899</v>
      </c>
      <c r="AB90" s="4">
        <v>622899</v>
      </c>
      <c r="AC90" s="4">
        <v>622899</v>
      </c>
      <c r="AD90" s="4">
        <v>622897</v>
      </c>
      <c r="AE90" s="4">
        <v>626253</v>
      </c>
      <c r="AF90" s="4">
        <v>1252506</v>
      </c>
      <c r="AG90" s="4">
        <v>1878759</v>
      </c>
      <c r="AH90" s="4">
        <v>2505012</v>
      </c>
      <c r="AI90" s="4">
        <v>3127910</v>
      </c>
      <c r="AJ90" s="4">
        <v>3750808</v>
      </c>
      <c r="AK90" s="4">
        <v>4373707</v>
      </c>
      <c r="AL90" s="4">
        <v>4996606</v>
      </c>
      <c r="AM90" s="4">
        <v>5619505</v>
      </c>
      <c r="AN90" s="4">
        <v>6242402</v>
      </c>
      <c r="AO90" s="150">
        <v>448938</v>
      </c>
    </row>
    <row r="91" spans="1:41" x14ac:dyDescent="0.2">
      <c r="A91" s="1">
        <v>2024</v>
      </c>
      <c r="B91" s="2" t="s">
        <v>110</v>
      </c>
      <c r="C91" s="2" t="s">
        <v>110</v>
      </c>
      <c r="D91" s="1" t="s">
        <v>463</v>
      </c>
      <c r="E91" s="3">
        <v>75393058</v>
      </c>
      <c r="F91" s="3">
        <v>11046</v>
      </c>
      <c r="G91" s="3">
        <v>0</v>
      </c>
      <c r="H91" s="3">
        <v>231173</v>
      </c>
      <c r="I91" s="1">
        <v>0</v>
      </c>
      <c r="J91" s="3">
        <v>75382012</v>
      </c>
      <c r="K91" s="3">
        <v>75150839</v>
      </c>
      <c r="L91" s="3">
        <v>75150839</v>
      </c>
      <c r="M91" s="3">
        <v>2527702</v>
      </c>
      <c r="N91" s="3">
        <v>6789242</v>
      </c>
      <c r="O91" s="3">
        <v>815595</v>
      </c>
      <c r="P91" s="3">
        <v>801404</v>
      </c>
      <c r="Q91" s="3">
        <v>3708923</v>
      </c>
      <c r="R91" s="3">
        <v>60739146</v>
      </c>
      <c r="S91" s="3">
        <v>60507973</v>
      </c>
      <c r="T91" s="3">
        <v>60507973</v>
      </c>
      <c r="U91" s="3">
        <v>7538201</v>
      </c>
      <c r="V91" s="3">
        <v>7538201</v>
      </c>
      <c r="W91" s="3">
        <v>7538201</v>
      </c>
      <c r="X91" s="3">
        <v>7538201</v>
      </c>
      <c r="Y91" s="3">
        <v>7499673</v>
      </c>
      <c r="Z91" s="3">
        <v>7499673</v>
      </c>
      <c r="AA91" s="4">
        <v>7499672</v>
      </c>
      <c r="AB91" s="4">
        <v>7499672</v>
      </c>
      <c r="AC91" s="4">
        <v>7499672</v>
      </c>
      <c r="AD91" s="4">
        <v>7499673</v>
      </c>
      <c r="AE91" s="4">
        <v>7538201</v>
      </c>
      <c r="AF91" s="4">
        <v>15076402</v>
      </c>
      <c r="AG91" s="4">
        <v>22614603</v>
      </c>
      <c r="AH91" s="4">
        <v>30152804</v>
      </c>
      <c r="AI91" s="4">
        <v>37652477</v>
      </c>
      <c r="AJ91" s="4">
        <v>45152150</v>
      </c>
      <c r="AK91" s="4">
        <v>52651822</v>
      </c>
      <c r="AL91" s="4">
        <v>60151494</v>
      </c>
      <c r="AM91" s="4">
        <v>67651166</v>
      </c>
      <c r="AN91" s="4">
        <v>75150839</v>
      </c>
      <c r="AO91" s="150">
        <v>5524824</v>
      </c>
    </row>
    <row r="92" spans="1:41" x14ac:dyDescent="0.2">
      <c r="A92" s="1">
        <v>2024</v>
      </c>
      <c r="B92" s="2" t="s">
        <v>111</v>
      </c>
      <c r="C92" s="2" t="s">
        <v>111</v>
      </c>
      <c r="D92" s="1" t="s">
        <v>464</v>
      </c>
      <c r="E92" s="3">
        <v>2546964</v>
      </c>
      <c r="F92" s="1">
        <v>299</v>
      </c>
      <c r="G92" s="1">
        <v>0</v>
      </c>
      <c r="H92" s="3">
        <v>8409</v>
      </c>
      <c r="I92" s="1">
        <v>0</v>
      </c>
      <c r="J92" s="3">
        <v>2546665</v>
      </c>
      <c r="K92" s="3">
        <v>2538256</v>
      </c>
      <c r="L92" s="3">
        <v>2538256</v>
      </c>
      <c r="M92" s="3">
        <v>68416</v>
      </c>
      <c r="N92" s="3">
        <v>253462</v>
      </c>
      <c r="O92" s="3">
        <v>28659</v>
      </c>
      <c r="P92" s="3">
        <v>26624</v>
      </c>
      <c r="Q92" s="3">
        <v>136358</v>
      </c>
      <c r="R92" s="3">
        <v>2033146</v>
      </c>
      <c r="S92" s="3">
        <v>2024737</v>
      </c>
      <c r="T92" s="3">
        <v>2024737</v>
      </c>
      <c r="U92" s="3">
        <v>254667</v>
      </c>
      <c r="V92" s="3">
        <v>254667</v>
      </c>
      <c r="W92" s="3">
        <v>254667</v>
      </c>
      <c r="X92" s="3">
        <v>254667</v>
      </c>
      <c r="Y92" s="3">
        <v>253265</v>
      </c>
      <c r="Z92" s="3">
        <v>253265</v>
      </c>
      <c r="AA92" s="4">
        <v>253265</v>
      </c>
      <c r="AB92" s="4">
        <v>253265</v>
      </c>
      <c r="AC92" s="4">
        <v>253265</v>
      </c>
      <c r="AD92" s="4">
        <v>253263</v>
      </c>
      <c r="AE92" s="4">
        <v>254667</v>
      </c>
      <c r="AF92" s="4">
        <v>509334</v>
      </c>
      <c r="AG92" s="4">
        <v>764001</v>
      </c>
      <c r="AH92" s="4">
        <v>1018668</v>
      </c>
      <c r="AI92" s="4">
        <v>1271933</v>
      </c>
      <c r="AJ92" s="4">
        <v>1525198</v>
      </c>
      <c r="AK92" s="4">
        <v>1778463</v>
      </c>
      <c r="AL92" s="4">
        <v>2031728</v>
      </c>
      <c r="AM92" s="4">
        <v>2284993</v>
      </c>
      <c r="AN92" s="4">
        <v>2538256</v>
      </c>
      <c r="AO92" s="150">
        <v>193721</v>
      </c>
    </row>
    <row r="93" spans="1:41" x14ac:dyDescent="0.2">
      <c r="A93" s="1">
        <v>2024</v>
      </c>
      <c r="B93" s="2" t="s">
        <v>112</v>
      </c>
      <c r="C93" s="2" t="s">
        <v>112</v>
      </c>
      <c r="D93" s="1" t="s">
        <v>465</v>
      </c>
      <c r="E93" s="3">
        <v>2102401</v>
      </c>
      <c r="F93" s="3">
        <v>481</v>
      </c>
      <c r="G93" s="3">
        <v>0</v>
      </c>
      <c r="H93" s="3">
        <v>8710</v>
      </c>
      <c r="I93" s="3">
        <v>0</v>
      </c>
      <c r="J93" s="3">
        <v>2101920</v>
      </c>
      <c r="K93" s="3">
        <v>2093210</v>
      </c>
      <c r="L93" s="3">
        <v>2093210</v>
      </c>
      <c r="M93" s="3">
        <v>110227</v>
      </c>
      <c r="N93" s="3">
        <v>280979</v>
      </c>
      <c r="O93" s="3">
        <v>32125</v>
      </c>
      <c r="P93" s="3">
        <v>33501</v>
      </c>
      <c r="Q93" s="3">
        <v>141939</v>
      </c>
      <c r="R93" s="3">
        <v>1503149</v>
      </c>
      <c r="S93" s="3">
        <v>1494439</v>
      </c>
      <c r="T93" s="3">
        <v>1494439</v>
      </c>
      <c r="U93" s="3">
        <v>210192</v>
      </c>
      <c r="V93" s="3">
        <v>210192</v>
      </c>
      <c r="W93" s="3">
        <v>210192</v>
      </c>
      <c r="X93" s="3">
        <v>210192</v>
      </c>
      <c r="Y93" s="3">
        <v>208740</v>
      </c>
      <c r="Z93" s="3">
        <v>208740</v>
      </c>
      <c r="AA93" s="4">
        <v>208741</v>
      </c>
      <c r="AB93" s="4">
        <v>208741</v>
      </c>
      <c r="AC93" s="4">
        <v>208741</v>
      </c>
      <c r="AD93" s="4">
        <v>208739</v>
      </c>
      <c r="AE93" s="4">
        <v>210192</v>
      </c>
      <c r="AF93" s="4">
        <v>420384</v>
      </c>
      <c r="AG93" s="4">
        <v>630576</v>
      </c>
      <c r="AH93" s="4">
        <v>840768</v>
      </c>
      <c r="AI93" s="4">
        <v>1049508</v>
      </c>
      <c r="AJ93" s="4">
        <v>1258248</v>
      </c>
      <c r="AK93" s="4">
        <v>1466989</v>
      </c>
      <c r="AL93" s="4">
        <v>1675730</v>
      </c>
      <c r="AM93" s="4">
        <v>1884471</v>
      </c>
      <c r="AN93" s="4">
        <v>2093210</v>
      </c>
      <c r="AO93" s="150">
        <v>176217</v>
      </c>
    </row>
    <row r="94" spans="1:41" x14ac:dyDescent="0.2">
      <c r="A94" s="1">
        <v>2024</v>
      </c>
      <c r="B94" s="2" t="s">
        <v>113</v>
      </c>
      <c r="C94" s="2" t="s">
        <v>113</v>
      </c>
      <c r="D94" s="1" t="s">
        <v>466</v>
      </c>
      <c r="E94" s="3">
        <v>3275315</v>
      </c>
      <c r="F94" s="1">
        <v>597</v>
      </c>
      <c r="G94" s="1">
        <v>0</v>
      </c>
      <c r="H94" s="3">
        <v>11565</v>
      </c>
      <c r="I94" s="1">
        <v>0</v>
      </c>
      <c r="J94" s="3">
        <v>3274718</v>
      </c>
      <c r="K94" s="3">
        <v>3263153</v>
      </c>
      <c r="L94" s="3">
        <v>3263153</v>
      </c>
      <c r="M94" s="3">
        <v>136833</v>
      </c>
      <c r="N94" s="3">
        <v>392197</v>
      </c>
      <c r="O94" s="3">
        <v>36703</v>
      </c>
      <c r="P94" s="3">
        <v>44381</v>
      </c>
      <c r="Q94" s="3">
        <v>189992</v>
      </c>
      <c r="R94" s="3">
        <v>2474612</v>
      </c>
      <c r="S94" s="3">
        <v>2463047</v>
      </c>
      <c r="T94" s="3">
        <v>2463047</v>
      </c>
      <c r="U94" s="3">
        <v>327472</v>
      </c>
      <c r="V94" s="3">
        <v>327472</v>
      </c>
      <c r="W94" s="3">
        <v>327472</v>
      </c>
      <c r="X94" s="3">
        <v>327472</v>
      </c>
      <c r="Y94" s="3">
        <v>325544</v>
      </c>
      <c r="Z94" s="3">
        <v>325544</v>
      </c>
      <c r="AA94" s="4">
        <v>325544</v>
      </c>
      <c r="AB94" s="4">
        <v>325544</v>
      </c>
      <c r="AC94" s="4">
        <v>325544</v>
      </c>
      <c r="AD94" s="4">
        <v>325545</v>
      </c>
      <c r="AE94" s="4">
        <v>327472</v>
      </c>
      <c r="AF94" s="4">
        <v>654944</v>
      </c>
      <c r="AG94" s="4">
        <v>982416</v>
      </c>
      <c r="AH94" s="4">
        <v>1309888</v>
      </c>
      <c r="AI94" s="4">
        <v>1635432</v>
      </c>
      <c r="AJ94" s="4">
        <v>1960976</v>
      </c>
      <c r="AK94" s="4">
        <v>2286520</v>
      </c>
      <c r="AL94" s="4">
        <v>2612064</v>
      </c>
      <c r="AM94" s="4">
        <v>2937608</v>
      </c>
      <c r="AN94" s="4">
        <v>3263153</v>
      </c>
      <c r="AO94" s="150">
        <v>242896</v>
      </c>
    </row>
    <row r="95" spans="1:41" x14ac:dyDescent="0.2">
      <c r="A95" s="1">
        <v>2024</v>
      </c>
      <c r="B95" s="2" t="s">
        <v>114</v>
      </c>
      <c r="C95" s="2" t="s">
        <v>695</v>
      </c>
      <c r="D95" s="1" t="s">
        <v>467</v>
      </c>
      <c r="E95" s="3">
        <v>6471136</v>
      </c>
      <c r="F95" s="3">
        <v>746</v>
      </c>
      <c r="G95" s="3">
        <v>0</v>
      </c>
      <c r="H95" s="3">
        <v>22178</v>
      </c>
      <c r="I95" s="1">
        <v>0</v>
      </c>
      <c r="J95" s="3">
        <v>6470390</v>
      </c>
      <c r="K95" s="3">
        <v>6448212</v>
      </c>
      <c r="L95" s="3">
        <v>6448212</v>
      </c>
      <c r="M95" s="3">
        <v>171042</v>
      </c>
      <c r="N95" s="3">
        <v>650042</v>
      </c>
      <c r="O95" s="3">
        <v>70008</v>
      </c>
      <c r="P95" s="3">
        <v>58673</v>
      </c>
      <c r="Q95" s="3">
        <v>355816</v>
      </c>
      <c r="R95" s="3">
        <v>5164809</v>
      </c>
      <c r="S95" s="3">
        <v>5142631</v>
      </c>
      <c r="T95" s="3">
        <v>5142631</v>
      </c>
      <c r="U95" s="3">
        <v>647039</v>
      </c>
      <c r="V95" s="3">
        <v>647039</v>
      </c>
      <c r="W95" s="3">
        <v>647039</v>
      </c>
      <c r="X95" s="3">
        <v>647039</v>
      </c>
      <c r="Y95" s="3">
        <v>643343</v>
      </c>
      <c r="Z95" s="3">
        <v>643343</v>
      </c>
      <c r="AA95" s="4">
        <v>643343</v>
      </c>
      <c r="AB95" s="4">
        <v>643343</v>
      </c>
      <c r="AC95" s="4">
        <v>643343</v>
      </c>
      <c r="AD95" s="4">
        <v>643341</v>
      </c>
      <c r="AE95" s="4">
        <v>647039</v>
      </c>
      <c r="AF95" s="4">
        <v>1294078</v>
      </c>
      <c r="AG95" s="4">
        <v>1941117</v>
      </c>
      <c r="AH95" s="4">
        <v>2588156</v>
      </c>
      <c r="AI95" s="4">
        <v>3231499</v>
      </c>
      <c r="AJ95" s="4">
        <v>3874842</v>
      </c>
      <c r="AK95" s="4">
        <v>4518185</v>
      </c>
      <c r="AL95" s="4">
        <v>5161528</v>
      </c>
      <c r="AM95" s="4">
        <v>5804871</v>
      </c>
      <c r="AN95" s="4">
        <v>6448212</v>
      </c>
      <c r="AO95" s="150">
        <v>502690</v>
      </c>
    </row>
    <row r="96" spans="1:41" x14ac:dyDescent="0.2">
      <c r="A96" s="1">
        <v>2024</v>
      </c>
      <c r="B96" s="2" t="s">
        <v>115</v>
      </c>
      <c r="C96" s="2" t="s">
        <v>115</v>
      </c>
      <c r="D96" s="1" t="s">
        <v>468</v>
      </c>
      <c r="E96" s="3">
        <v>7492841</v>
      </c>
      <c r="F96" s="3">
        <v>829</v>
      </c>
      <c r="G96" s="3">
        <v>10775</v>
      </c>
      <c r="H96" s="3">
        <v>21867</v>
      </c>
      <c r="I96" s="1">
        <v>0</v>
      </c>
      <c r="J96" s="3">
        <v>7481237</v>
      </c>
      <c r="K96" s="3">
        <v>7459370</v>
      </c>
      <c r="L96" s="3">
        <v>7459370</v>
      </c>
      <c r="M96" s="3">
        <v>190046</v>
      </c>
      <c r="N96" s="3">
        <v>637402</v>
      </c>
      <c r="O96" s="3">
        <v>78607</v>
      </c>
      <c r="P96" s="3">
        <v>70048</v>
      </c>
      <c r="Q96" s="3">
        <v>350841</v>
      </c>
      <c r="R96" s="3">
        <v>6154293</v>
      </c>
      <c r="S96" s="3">
        <v>6132426</v>
      </c>
      <c r="T96" s="3">
        <v>6132426</v>
      </c>
      <c r="U96" s="3">
        <v>748124</v>
      </c>
      <c r="V96" s="3">
        <v>748124</v>
      </c>
      <c r="W96" s="3">
        <v>748124</v>
      </c>
      <c r="X96" s="3">
        <v>748124</v>
      </c>
      <c r="Y96" s="3">
        <v>744479</v>
      </c>
      <c r="Z96" s="3">
        <v>744479</v>
      </c>
      <c r="AA96" s="4">
        <v>744479</v>
      </c>
      <c r="AB96" s="4">
        <v>744479</v>
      </c>
      <c r="AC96" s="4">
        <v>744479</v>
      </c>
      <c r="AD96" s="4">
        <v>744479</v>
      </c>
      <c r="AE96" s="4">
        <v>748124</v>
      </c>
      <c r="AF96" s="4">
        <v>1496248</v>
      </c>
      <c r="AG96" s="4">
        <v>2244372</v>
      </c>
      <c r="AH96" s="4">
        <v>2992496</v>
      </c>
      <c r="AI96" s="4">
        <v>3736975</v>
      </c>
      <c r="AJ96" s="4">
        <v>4481454</v>
      </c>
      <c r="AK96" s="4">
        <v>5225933</v>
      </c>
      <c r="AL96" s="4">
        <v>5970412</v>
      </c>
      <c r="AM96" s="4">
        <v>6714891</v>
      </c>
      <c r="AN96" s="4">
        <v>7459370</v>
      </c>
      <c r="AO96" s="150">
        <v>482462</v>
      </c>
    </row>
    <row r="97" spans="1:41" x14ac:dyDescent="0.2">
      <c r="A97" s="1">
        <v>2024</v>
      </c>
      <c r="B97" s="2" t="s">
        <v>116</v>
      </c>
      <c r="C97" s="2" t="s">
        <v>116</v>
      </c>
      <c r="D97" s="1" t="s">
        <v>469</v>
      </c>
      <c r="E97" s="3">
        <v>3746572</v>
      </c>
      <c r="F97" s="1">
        <v>580</v>
      </c>
      <c r="G97" s="1">
        <v>0</v>
      </c>
      <c r="H97" s="3">
        <v>12916</v>
      </c>
      <c r="I97" s="1">
        <v>0</v>
      </c>
      <c r="J97" s="3">
        <v>3745992</v>
      </c>
      <c r="K97" s="3">
        <v>3733076</v>
      </c>
      <c r="L97" s="3">
        <v>3733076</v>
      </c>
      <c r="M97" s="3">
        <v>133033</v>
      </c>
      <c r="N97" s="3">
        <v>389159</v>
      </c>
      <c r="O97" s="3">
        <v>44995</v>
      </c>
      <c r="P97" s="3">
        <v>39762</v>
      </c>
      <c r="Q97" s="3">
        <v>207810</v>
      </c>
      <c r="R97" s="3">
        <v>2931233</v>
      </c>
      <c r="S97" s="3">
        <v>2918317</v>
      </c>
      <c r="T97" s="3">
        <v>2918317</v>
      </c>
      <c r="U97" s="3">
        <v>374599</v>
      </c>
      <c r="V97" s="3">
        <v>374599</v>
      </c>
      <c r="W97" s="3">
        <v>374599</v>
      </c>
      <c r="X97" s="3">
        <v>374599</v>
      </c>
      <c r="Y97" s="3">
        <v>372447</v>
      </c>
      <c r="Z97" s="3">
        <v>372447</v>
      </c>
      <c r="AA97" s="4">
        <v>372447</v>
      </c>
      <c r="AB97" s="4">
        <v>372447</v>
      </c>
      <c r="AC97" s="4">
        <v>372447</v>
      </c>
      <c r="AD97" s="4">
        <v>372445</v>
      </c>
      <c r="AE97" s="4">
        <v>374599</v>
      </c>
      <c r="AF97" s="4">
        <v>749198</v>
      </c>
      <c r="AG97" s="4">
        <v>1123797</v>
      </c>
      <c r="AH97" s="4">
        <v>1498396</v>
      </c>
      <c r="AI97" s="4">
        <v>1870843</v>
      </c>
      <c r="AJ97" s="4">
        <v>2243290</v>
      </c>
      <c r="AK97" s="4">
        <v>2615737</v>
      </c>
      <c r="AL97" s="4">
        <v>2988184</v>
      </c>
      <c r="AM97" s="4">
        <v>3360631</v>
      </c>
      <c r="AN97" s="4">
        <v>3733076</v>
      </c>
      <c r="AO97" s="150">
        <v>259469</v>
      </c>
    </row>
    <row r="98" spans="1:41" x14ac:dyDescent="0.2">
      <c r="A98" s="1">
        <v>2024</v>
      </c>
      <c r="B98" s="2" t="s">
        <v>117</v>
      </c>
      <c r="C98" s="2" t="s">
        <v>117</v>
      </c>
      <c r="D98" s="1" t="s">
        <v>470</v>
      </c>
      <c r="E98" s="3">
        <v>3873317</v>
      </c>
      <c r="F98" s="1">
        <v>547</v>
      </c>
      <c r="G98" s="1">
        <v>0</v>
      </c>
      <c r="H98" s="3">
        <v>12447</v>
      </c>
      <c r="I98" s="1">
        <v>0</v>
      </c>
      <c r="J98" s="3">
        <v>3872770</v>
      </c>
      <c r="K98" s="3">
        <v>3860323</v>
      </c>
      <c r="L98" s="3">
        <v>3860323</v>
      </c>
      <c r="M98" s="3">
        <v>125431</v>
      </c>
      <c r="N98" s="3">
        <v>386673</v>
      </c>
      <c r="O98" s="3">
        <v>41455</v>
      </c>
      <c r="P98" s="3">
        <v>39282</v>
      </c>
      <c r="Q98" s="3">
        <v>199706</v>
      </c>
      <c r="R98" s="3">
        <v>3080223</v>
      </c>
      <c r="S98" s="3">
        <v>3067776</v>
      </c>
      <c r="T98" s="3">
        <v>3067776</v>
      </c>
      <c r="U98" s="3">
        <v>387277</v>
      </c>
      <c r="V98" s="3">
        <v>387277</v>
      </c>
      <c r="W98" s="3">
        <v>387277</v>
      </c>
      <c r="X98" s="3">
        <v>387277</v>
      </c>
      <c r="Y98" s="3">
        <v>385203</v>
      </c>
      <c r="Z98" s="3">
        <v>385203</v>
      </c>
      <c r="AA98" s="4">
        <v>385202</v>
      </c>
      <c r="AB98" s="4">
        <v>385202</v>
      </c>
      <c r="AC98" s="4">
        <v>385202</v>
      </c>
      <c r="AD98" s="4">
        <v>385203</v>
      </c>
      <c r="AE98" s="4">
        <v>387277</v>
      </c>
      <c r="AF98" s="4">
        <v>774554</v>
      </c>
      <c r="AG98" s="4">
        <v>1161831</v>
      </c>
      <c r="AH98" s="4">
        <v>1549108</v>
      </c>
      <c r="AI98" s="4">
        <v>1934311</v>
      </c>
      <c r="AJ98" s="4">
        <v>2319514</v>
      </c>
      <c r="AK98" s="4">
        <v>2704716</v>
      </c>
      <c r="AL98" s="4">
        <v>3089918</v>
      </c>
      <c r="AM98" s="4">
        <v>3475120</v>
      </c>
      <c r="AN98" s="4">
        <v>3860323</v>
      </c>
      <c r="AO98" s="150">
        <v>278919</v>
      </c>
    </row>
    <row r="99" spans="1:41" x14ac:dyDescent="0.2">
      <c r="A99" s="1">
        <v>2024</v>
      </c>
      <c r="B99" s="2" t="s">
        <v>118</v>
      </c>
      <c r="C99" s="2" t="s">
        <v>118</v>
      </c>
      <c r="D99" s="1" t="s">
        <v>471</v>
      </c>
      <c r="E99" s="3">
        <v>3956289</v>
      </c>
      <c r="F99" s="1">
        <v>647</v>
      </c>
      <c r="G99" s="1">
        <v>0</v>
      </c>
      <c r="H99" s="3">
        <v>12624</v>
      </c>
      <c r="I99" s="1">
        <v>0</v>
      </c>
      <c r="J99" s="3">
        <v>3955642</v>
      </c>
      <c r="K99" s="3">
        <v>3943018</v>
      </c>
      <c r="L99" s="3">
        <v>3943018</v>
      </c>
      <c r="M99" s="3">
        <v>148236</v>
      </c>
      <c r="N99" s="3">
        <v>366111</v>
      </c>
      <c r="O99" s="3">
        <v>38137</v>
      </c>
      <c r="P99" s="3">
        <v>40319</v>
      </c>
      <c r="Q99" s="3">
        <v>202544</v>
      </c>
      <c r="R99" s="3">
        <v>3160295</v>
      </c>
      <c r="S99" s="3">
        <v>3147671</v>
      </c>
      <c r="T99" s="3">
        <v>3147671</v>
      </c>
      <c r="U99" s="3">
        <v>395564</v>
      </c>
      <c r="V99" s="3">
        <v>395564</v>
      </c>
      <c r="W99" s="3">
        <v>395564</v>
      </c>
      <c r="X99" s="3">
        <v>395564</v>
      </c>
      <c r="Y99" s="3">
        <v>393460</v>
      </c>
      <c r="Z99" s="3">
        <v>393460</v>
      </c>
      <c r="AA99" s="4">
        <v>393461</v>
      </c>
      <c r="AB99" s="4">
        <v>393461</v>
      </c>
      <c r="AC99" s="4">
        <v>393461</v>
      </c>
      <c r="AD99" s="4">
        <v>393459</v>
      </c>
      <c r="AE99" s="4">
        <v>395564</v>
      </c>
      <c r="AF99" s="4">
        <v>791128</v>
      </c>
      <c r="AG99" s="4">
        <v>1186692</v>
      </c>
      <c r="AH99" s="4">
        <v>1582256</v>
      </c>
      <c r="AI99" s="4">
        <v>1975716</v>
      </c>
      <c r="AJ99" s="4">
        <v>2369176</v>
      </c>
      <c r="AK99" s="4">
        <v>2762637</v>
      </c>
      <c r="AL99" s="4">
        <v>3156098</v>
      </c>
      <c r="AM99" s="4">
        <v>3549559</v>
      </c>
      <c r="AN99" s="4">
        <v>3943018</v>
      </c>
      <c r="AO99" s="150">
        <v>269447</v>
      </c>
    </row>
    <row r="100" spans="1:41" x14ac:dyDescent="0.2">
      <c r="A100" s="1">
        <v>2024</v>
      </c>
      <c r="B100" s="2" t="s">
        <v>119</v>
      </c>
      <c r="C100" s="2" t="s">
        <v>119</v>
      </c>
      <c r="D100" s="1" t="s">
        <v>472</v>
      </c>
      <c r="E100" s="3">
        <v>3677558</v>
      </c>
      <c r="F100" s="1">
        <v>531</v>
      </c>
      <c r="G100" s="1">
        <v>0</v>
      </c>
      <c r="H100" s="3">
        <v>10853</v>
      </c>
      <c r="I100" s="1">
        <v>0</v>
      </c>
      <c r="J100" s="3">
        <v>3677027</v>
      </c>
      <c r="K100" s="3">
        <v>3666174</v>
      </c>
      <c r="L100" s="3">
        <v>3666174</v>
      </c>
      <c r="M100" s="3">
        <v>121629</v>
      </c>
      <c r="N100" s="3">
        <v>319434</v>
      </c>
      <c r="O100" s="3">
        <v>38665</v>
      </c>
      <c r="P100" s="3">
        <v>31549</v>
      </c>
      <c r="Q100" s="3">
        <v>174130</v>
      </c>
      <c r="R100" s="3">
        <v>2991620</v>
      </c>
      <c r="S100" s="3">
        <v>2980767</v>
      </c>
      <c r="T100" s="3">
        <v>2980767</v>
      </c>
      <c r="U100" s="3">
        <v>367703</v>
      </c>
      <c r="V100" s="3">
        <v>367703</v>
      </c>
      <c r="W100" s="3">
        <v>367703</v>
      </c>
      <c r="X100" s="3">
        <v>367703</v>
      </c>
      <c r="Y100" s="3">
        <v>365894</v>
      </c>
      <c r="Z100" s="3">
        <v>365894</v>
      </c>
      <c r="AA100" s="4">
        <v>365894</v>
      </c>
      <c r="AB100" s="4">
        <v>365894</v>
      </c>
      <c r="AC100" s="4">
        <v>365894</v>
      </c>
      <c r="AD100" s="4">
        <v>365892</v>
      </c>
      <c r="AE100" s="4">
        <v>367703</v>
      </c>
      <c r="AF100" s="4">
        <v>735406</v>
      </c>
      <c r="AG100" s="4">
        <v>1103109</v>
      </c>
      <c r="AH100" s="4">
        <v>1470812</v>
      </c>
      <c r="AI100" s="4">
        <v>1836706</v>
      </c>
      <c r="AJ100" s="4">
        <v>2202600</v>
      </c>
      <c r="AK100" s="4">
        <v>2568494</v>
      </c>
      <c r="AL100" s="4">
        <v>2934388</v>
      </c>
      <c r="AM100" s="4">
        <v>3300282</v>
      </c>
      <c r="AN100" s="4">
        <v>3666174</v>
      </c>
      <c r="AO100" s="150">
        <v>230938</v>
      </c>
    </row>
    <row r="101" spans="1:41" x14ac:dyDescent="0.2">
      <c r="A101" s="1">
        <v>2024</v>
      </c>
      <c r="B101" s="2" t="s">
        <v>120</v>
      </c>
      <c r="C101" s="2" t="s">
        <v>120</v>
      </c>
      <c r="D101" s="1" t="s">
        <v>473</v>
      </c>
      <c r="E101" s="3">
        <v>1952122</v>
      </c>
      <c r="F101" s="3">
        <v>249</v>
      </c>
      <c r="G101" s="3">
        <v>0</v>
      </c>
      <c r="H101" s="3">
        <v>7610</v>
      </c>
      <c r="I101" s="1">
        <v>0</v>
      </c>
      <c r="J101" s="3">
        <v>1951873</v>
      </c>
      <c r="K101" s="3">
        <v>1944263</v>
      </c>
      <c r="L101" s="3">
        <v>1944263</v>
      </c>
      <c r="M101" s="3">
        <v>57014</v>
      </c>
      <c r="N101" s="3">
        <v>241405</v>
      </c>
      <c r="O101" s="3">
        <v>28088</v>
      </c>
      <c r="P101" s="3">
        <v>23400</v>
      </c>
      <c r="Q101" s="3">
        <v>122094</v>
      </c>
      <c r="R101" s="3">
        <v>1479872</v>
      </c>
      <c r="S101" s="3">
        <v>1472262</v>
      </c>
      <c r="T101" s="3">
        <v>1472262</v>
      </c>
      <c r="U101" s="3">
        <v>195187</v>
      </c>
      <c r="V101" s="3">
        <v>195187</v>
      </c>
      <c r="W101" s="3">
        <v>195187</v>
      </c>
      <c r="X101" s="3">
        <v>195187</v>
      </c>
      <c r="Y101" s="3">
        <v>193919</v>
      </c>
      <c r="Z101" s="3">
        <v>193919</v>
      </c>
      <c r="AA101" s="4">
        <v>193919</v>
      </c>
      <c r="AB101" s="4">
        <v>193919</v>
      </c>
      <c r="AC101" s="4">
        <v>193919</v>
      </c>
      <c r="AD101" s="4">
        <v>193920</v>
      </c>
      <c r="AE101" s="4">
        <v>195187</v>
      </c>
      <c r="AF101" s="4">
        <v>390374</v>
      </c>
      <c r="AG101" s="4">
        <v>585561</v>
      </c>
      <c r="AH101" s="4">
        <v>780748</v>
      </c>
      <c r="AI101" s="4">
        <v>974667</v>
      </c>
      <c r="AJ101" s="4">
        <v>1168586</v>
      </c>
      <c r="AK101" s="4">
        <v>1362505</v>
      </c>
      <c r="AL101" s="4">
        <v>1556424</v>
      </c>
      <c r="AM101" s="4">
        <v>1750343</v>
      </c>
      <c r="AN101" s="4">
        <v>1944263</v>
      </c>
      <c r="AO101" s="150">
        <v>159391</v>
      </c>
    </row>
    <row r="102" spans="1:41" x14ac:dyDescent="0.2">
      <c r="A102" s="1">
        <v>2024</v>
      </c>
      <c r="B102" s="2" t="s">
        <v>121</v>
      </c>
      <c r="C102" s="2" t="s">
        <v>121</v>
      </c>
      <c r="D102" s="1" t="s">
        <v>474</v>
      </c>
      <c r="E102" s="3">
        <v>2222748</v>
      </c>
      <c r="F102" s="1">
        <v>332</v>
      </c>
      <c r="G102" s="1">
        <v>0</v>
      </c>
      <c r="H102" s="3">
        <v>8554</v>
      </c>
      <c r="I102" s="3">
        <v>0</v>
      </c>
      <c r="J102" s="3">
        <v>2222416</v>
      </c>
      <c r="K102" s="3">
        <v>2213862</v>
      </c>
      <c r="L102" s="3">
        <v>2213862</v>
      </c>
      <c r="M102" s="3">
        <v>76018</v>
      </c>
      <c r="N102" s="3">
        <v>262825</v>
      </c>
      <c r="O102" s="3">
        <v>32298</v>
      </c>
      <c r="P102" s="3">
        <v>28809</v>
      </c>
      <c r="Q102" s="3">
        <v>137241</v>
      </c>
      <c r="R102" s="3">
        <v>1685225</v>
      </c>
      <c r="S102" s="3">
        <v>1676671</v>
      </c>
      <c r="T102" s="3">
        <v>1676671</v>
      </c>
      <c r="U102" s="3">
        <v>222242</v>
      </c>
      <c r="V102" s="3">
        <v>222242</v>
      </c>
      <c r="W102" s="3">
        <v>222242</v>
      </c>
      <c r="X102" s="3">
        <v>222242</v>
      </c>
      <c r="Y102" s="3">
        <v>220816</v>
      </c>
      <c r="Z102" s="3">
        <v>220816</v>
      </c>
      <c r="AA102" s="4">
        <v>220816</v>
      </c>
      <c r="AB102" s="4">
        <v>220816</v>
      </c>
      <c r="AC102" s="4">
        <v>220816</v>
      </c>
      <c r="AD102" s="4">
        <v>220814</v>
      </c>
      <c r="AE102" s="4">
        <v>222242</v>
      </c>
      <c r="AF102" s="4">
        <v>444484</v>
      </c>
      <c r="AG102" s="4">
        <v>666726</v>
      </c>
      <c r="AH102" s="4">
        <v>888968</v>
      </c>
      <c r="AI102" s="4">
        <v>1109784</v>
      </c>
      <c r="AJ102" s="4">
        <v>1330600</v>
      </c>
      <c r="AK102" s="4">
        <v>1551416</v>
      </c>
      <c r="AL102" s="4">
        <v>1772232</v>
      </c>
      <c r="AM102" s="4">
        <v>1993048</v>
      </c>
      <c r="AN102" s="4">
        <v>2213862</v>
      </c>
      <c r="AO102" s="150">
        <v>183455</v>
      </c>
    </row>
    <row r="103" spans="1:41" x14ac:dyDescent="0.2">
      <c r="A103" s="1">
        <v>2024</v>
      </c>
      <c r="B103" s="2" t="s">
        <v>122</v>
      </c>
      <c r="C103" s="2" t="s">
        <v>122</v>
      </c>
      <c r="D103" s="1" t="s">
        <v>475</v>
      </c>
      <c r="E103" s="3">
        <v>2612113</v>
      </c>
      <c r="F103" s="1">
        <v>597</v>
      </c>
      <c r="G103" s="1">
        <v>0</v>
      </c>
      <c r="H103" s="3">
        <v>9211</v>
      </c>
      <c r="I103" s="3">
        <v>0</v>
      </c>
      <c r="J103" s="3">
        <v>2611516</v>
      </c>
      <c r="K103" s="3">
        <v>2602305</v>
      </c>
      <c r="L103" s="3">
        <v>2602305</v>
      </c>
      <c r="M103" s="3">
        <v>136833</v>
      </c>
      <c r="N103" s="3">
        <v>285107</v>
      </c>
      <c r="O103" s="3">
        <v>34257</v>
      </c>
      <c r="P103" s="3">
        <v>31867</v>
      </c>
      <c r="Q103" s="3">
        <v>147781</v>
      </c>
      <c r="R103" s="3">
        <v>1975671</v>
      </c>
      <c r="S103" s="3">
        <v>1966460</v>
      </c>
      <c r="T103" s="3">
        <v>1966460</v>
      </c>
      <c r="U103" s="3">
        <v>261152</v>
      </c>
      <c r="V103" s="3">
        <v>261152</v>
      </c>
      <c r="W103" s="3">
        <v>261152</v>
      </c>
      <c r="X103" s="3">
        <v>261152</v>
      </c>
      <c r="Y103" s="3">
        <v>259616</v>
      </c>
      <c r="Z103" s="3">
        <v>259616</v>
      </c>
      <c r="AA103" s="4">
        <v>259616</v>
      </c>
      <c r="AB103" s="4">
        <v>259616</v>
      </c>
      <c r="AC103" s="4">
        <v>259616</v>
      </c>
      <c r="AD103" s="4">
        <v>259617</v>
      </c>
      <c r="AE103" s="4">
        <v>261152</v>
      </c>
      <c r="AF103" s="4">
        <v>522304</v>
      </c>
      <c r="AG103" s="4">
        <v>783456</v>
      </c>
      <c r="AH103" s="4">
        <v>1044608</v>
      </c>
      <c r="AI103" s="4">
        <v>1304224</v>
      </c>
      <c r="AJ103" s="4">
        <v>1563840</v>
      </c>
      <c r="AK103" s="4">
        <v>1823456</v>
      </c>
      <c r="AL103" s="4">
        <v>2083072</v>
      </c>
      <c r="AM103" s="4">
        <v>2342688</v>
      </c>
      <c r="AN103" s="4">
        <v>2602305</v>
      </c>
      <c r="AO103" s="150">
        <v>185881</v>
      </c>
    </row>
    <row r="104" spans="1:41" x14ac:dyDescent="0.2">
      <c r="A104" s="1">
        <v>2024</v>
      </c>
      <c r="B104" s="2" t="s">
        <v>123</v>
      </c>
      <c r="C104" s="2" t="s">
        <v>123</v>
      </c>
      <c r="D104" s="1" t="s">
        <v>476</v>
      </c>
      <c r="E104" s="3">
        <v>4289416</v>
      </c>
      <c r="F104" s="1">
        <v>663</v>
      </c>
      <c r="G104" s="1">
        <v>0</v>
      </c>
      <c r="H104" s="3">
        <v>12879</v>
      </c>
      <c r="I104" s="1">
        <v>0</v>
      </c>
      <c r="J104" s="3">
        <v>4288753</v>
      </c>
      <c r="K104" s="3">
        <v>4275874</v>
      </c>
      <c r="L104" s="3">
        <v>4275874</v>
      </c>
      <c r="M104" s="3">
        <v>152037</v>
      </c>
      <c r="N104" s="3">
        <v>383300</v>
      </c>
      <c r="O104" s="3">
        <v>44654</v>
      </c>
      <c r="P104" s="3">
        <v>44497</v>
      </c>
      <c r="Q104" s="3">
        <v>206635</v>
      </c>
      <c r="R104" s="3">
        <v>3457630</v>
      </c>
      <c r="S104" s="3">
        <v>3444751</v>
      </c>
      <c r="T104" s="3">
        <v>3444751</v>
      </c>
      <c r="U104" s="3">
        <v>428875</v>
      </c>
      <c r="V104" s="3">
        <v>428875</v>
      </c>
      <c r="W104" s="3">
        <v>428875</v>
      </c>
      <c r="X104" s="3">
        <v>428875</v>
      </c>
      <c r="Y104" s="3">
        <v>426729</v>
      </c>
      <c r="Z104" s="3">
        <v>426729</v>
      </c>
      <c r="AA104" s="4">
        <v>426729</v>
      </c>
      <c r="AB104" s="4">
        <v>426729</v>
      </c>
      <c r="AC104" s="4">
        <v>426729</v>
      </c>
      <c r="AD104" s="4">
        <v>426729</v>
      </c>
      <c r="AE104" s="4">
        <v>428875</v>
      </c>
      <c r="AF104" s="4">
        <v>857750</v>
      </c>
      <c r="AG104" s="4">
        <v>1286625</v>
      </c>
      <c r="AH104" s="4">
        <v>1715500</v>
      </c>
      <c r="AI104" s="4">
        <v>2142229</v>
      </c>
      <c r="AJ104" s="4">
        <v>2568958</v>
      </c>
      <c r="AK104" s="4">
        <v>2995687</v>
      </c>
      <c r="AL104" s="4">
        <v>3422416</v>
      </c>
      <c r="AM104" s="4">
        <v>3849145</v>
      </c>
      <c r="AN104" s="4">
        <v>4275874</v>
      </c>
      <c r="AO104" s="150">
        <v>301177</v>
      </c>
    </row>
    <row r="105" spans="1:41" x14ac:dyDescent="0.2">
      <c r="A105" s="1">
        <v>2024</v>
      </c>
      <c r="B105" s="2" t="s">
        <v>124</v>
      </c>
      <c r="C105" s="2" t="s">
        <v>124</v>
      </c>
      <c r="D105" s="1" t="s">
        <v>477</v>
      </c>
      <c r="E105" s="3">
        <v>4146259</v>
      </c>
      <c r="F105" s="3">
        <v>896</v>
      </c>
      <c r="G105" s="3">
        <v>14268</v>
      </c>
      <c r="H105" s="3">
        <v>15280</v>
      </c>
      <c r="I105" s="1">
        <v>0</v>
      </c>
      <c r="J105" s="3">
        <v>4131095</v>
      </c>
      <c r="K105" s="3">
        <v>4115815</v>
      </c>
      <c r="L105" s="3">
        <v>4115815</v>
      </c>
      <c r="M105" s="3">
        <v>205249</v>
      </c>
      <c r="N105" s="3">
        <v>435919</v>
      </c>
      <c r="O105" s="3">
        <v>52411</v>
      </c>
      <c r="P105" s="3">
        <v>50788</v>
      </c>
      <c r="Q105" s="3">
        <v>245146</v>
      </c>
      <c r="R105" s="3">
        <v>3141582</v>
      </c>
      <c r="S105" s="3">
        <v>3126302</v>
      </c>
      <c r="T105" s="3">
        <v>3126302</v>
      </c>
      <c r="U105" s="3">
        <v>413110</v>
      </c>
      <c r="V105" s="3">
        <v>413110</v>
      </c>
      <c r="W105" s="3">
        <v>413110</v>
      </c>
      <c r="X105" s="3">
        <v>413110</v>
      </c>
      <c r="Y105" s="3">
        <v>410563</v>
      </c>
      <c r="Z105" s="3">
        <v>410563</v>
      </c>
      <c r="AA105" s="4">
        <v>410562</v>
      </c>
      <c r="AB105" s="4">
        <v>410562</v>
      </c>
      <c r="AC105" s="4">
        <v>410562</v>
      </c>
      <c r="AD105" s="4">
        <v>410563</v>
      </c>
      <c r="AE105" s="4">
        <v>413110</v>
      </c>
      <c r="AF105" s="4">
        <v>826220</v>
      </c>
      <c r="AG105" s="4">
        <v>1239330</v>
      </c>
      <c r="AH105" s="4">
        <v>1652440</v>
      </c>
      <c r="AI105" s="4">
        <v>2063003</v>
      </c>
      <c r="AJ105" s="4">
        <v>2473566</v>
      </c>
      <c r="AK105" s="4">
        <v>2884128</v>
      </c>
      <c r="AL105" s="4">
        <v>3294690</v>
      </c>
      <c r="AM105" s="4">
        <v>3705252</v>
      </c>
      <c r="AN105" s="4">
        <v>4115815</v>
      </c>
      <c r="AO105" s="150">
        <v>343276</v>
      </c>
    </row>
    <row r="106" spans="1:41" x14ac:dyDescent="0.2">
      <c r="A106" s="1">
        <v>2024</v>
      </c>
      <c r="B106" s="2" t="s">
        <v>125</v>
      </c>
      <c r="C106" s="2" t="s">
        <v>125</v>
      </c>
      <c r="D106" s="1" t="s">
        <v>478</v>
      </c>
      <c r="E106" s="3">
        <v>3062131</v>
      </c>
      <c r="F106" s="1">
        <v>398</v>
      </c>
      <c r="G106" s="1">
        <v>0</v>
      </c>
      <c r="H106" s="3">
        <v>10612</v>
      </c>
      <c r="I106" s="1">
        <v>0</v>
      </c>
      <c r="J106" s="3">
        <v>3061733</v>
      </c>
      <c r="K106" s="3">
        <v>3051121</v>
      </c>
      <c r="L106" s="3">
        <v>3051121</v>
      </c>
      <c r="M106" s="3">
        <v>91222</v>
      </c>
      <c r="N106" s="3">
        <v>354176</v>
      </c>
      <c r="O106" s="3">
        <v>38733</v>
      </c>
      <c r="P106" s="3">
        <v>37573</v>
      </c>
      <c r="Q106" s="3">
        <v>172245</v>
      </c>
      <c r="R106" s="3">
        <v>2367784</v>
      </c>
      <c r="S106" s="3">
        <v>2357172</v>
      </c>
      <c r="T106" s="3">
        <v>2357172</v>
      </c>
      <c r="U106" s="3">
        <v>306173</v>
      </c>
      <c r="V106" s="3">
        <v>306173</v>
      </c>
      <c r="W106" s="3">
        <v>306173</v>
      </c>
      <c r="X106" s="3">
        <v>306173</v>
      </c>
      <c r="Y106" s="3">
        <v>304405</v>
      </c>
      <c r="Z106" s="3">
        <v>304405</v>
      </c>
      <c r="AA106" s="4">
        <v>304405</v>
      </c>
      <c r="AB106" s="4">
        <v>304405</v>
      </c>
      <c r="AC106" s="4">
        <v>304405</v>
      </c>
      <c r="AD106" s="4">
        <v>304404</v>
      </c>
      <c r="AE106" s="4">
        <v>306173</v>
      </c>
      <c r="AF106" s="4">
        <v>612346</v>
      </c>
      <c r="AG106" s="4">
        <v>918519</v>
      </c>
      <c r="AH106" s="4">
        <v>1224692</v>
      </c>
      <c r="AI106" s="4">
        <v>1529097</v>
      </c>
      <c r="AJ106" s="4">
        <v>1833502</v>
      </c>
      <c r="AK106" s="4">
        <v>2137907</v>
      </c>
      <c r="AL106" s="4">
        <v>2442312</v>
      </c>
      <c r="AM106" s="4">
        <v>2746717</v>
      </c>
      <c r="AN106" s="4">
        <v>3051121</v>
      </c>
      <c r="AO106" s="150">
        <v>213425</v>
      </c>
    </row>
    <row r="107" spans="1:41" x14ac:dyDescent="0.2">
      <c r="A107" s="1">
        <v>2024</v>
      </c>
      <c r="B107" s="2" t="s">
        <v>126</v>
      </c>
      <c r="C107" s="2" t="s">
        <v>126</v>
      </c>
      <c r="D107" s="1" t="s">
        <v>479</v>
      </c>
      <c r="E107" s="3">
        <v>1303083</v>
      </c>
      <c r="F107" s="3">
        <v>133</v>
      </c>
      <c r="G107" s="3">
        <v>7576</v>
      </c>
      <c r="H107" s="3">
        <v>4261</v>
      </c>
      <c r="I107" s="1">
        <v>0</v>
      </c>
      <c r="J107" s="3">
        <v>1295374</v>
      </c>
      <c r="K107" s="3">
        <v>1291113</v>
      </c>
      <c r="L107" s="3">
        <v>1291113</v>
      </c>
      <c r="M107" s="3">
        <v>30407</v>
      </c>
      <c r="N107" s="3">
        <v>136764</v>
      </c>
      <c r="O107" s="3">
        <v>19272</v>
      </c>
      <c r="P107" s="3">
        <v>13486</v>
      </c>
      <c r="Q107" s="3">
        <v>68362</v>
      </c>
      <c r="R107" s="3">
        <v>1027083</v>
      </c>
      <c r="S107" s="3">
        <v>1022822</v>
      </c>
      <c r="T107" s="3">
        <v>1022822</v>
      </c>
      <c r="U107" s="3">
        <v>129537</v>
      </c>
      <c r="V107" s="3">
        <v>129537</v>
      </c>
      <c r="W107" s="3">
        <v>129537</v>
      </c>
      <c r="X107" s="3">
        <v>129537</v>
      </c>
      <c r="Y107" s="3">
        <v>128828</v>
      </c>
      <c r="Z107" s="3">
        <v>128828</v>
      </c>
      <c r="AA107" s="4">
        <v>128827</v>
      </c>
      <c r="AB107" s="4">
        <v>128827</v>
      </c>
      <c r="AC107" s="4">
        <v>128827</v>
      </c>
      <c r="AD107" s="4">
        <v>128828</v>
      </c>
      <c r="AE107" s="4">
        <v>129537</v>
      </c>
      <c r="AF107" s="4">
        <v>259074</v>
      </c>
      <c r="AG107" s="4">
        <v>388611</v>
      </c>
      <c r="AH107" s="4">
        <v>518148</v>
      </c>
      <c r="AI107" s="4">
        <v>646976</v>
      </c>
      <c r="AJ107" s="4">
        <v>775804</v>
      </c>
      <c r="AK107" s="4">
        <v>904631</v>
      </c>
      <c r="AL107" s="4">
        <v>1033458</v>
      </c>
      <c r="AM107" s="4">
        <v>1162285</v>
      </c>
      <c r="AN107" s="4">
        <v>1291113</v>
      </c>
      <c r="AO107" s="150">
        <v>90518</v>
      </c>
    </row>
    <row r="108" spans="1:41" x14ac:dyDescent="0.2">
      <c r="A108" s="1">
        <v>2024</v>
      </c>
      <c r="B108" s="2" t="s">
        <v>127</v>
      </c>
      <c r="C108" s="2" t="s">
        <v>127</v>
      </c>
      <c r="D108" s="1" t="s">
        <v>480</v>
      </c>
      <c r="E108" s="3">
        <v>8959424</v>
      </c>
      <c r="F108" s="3">
        <v>1028</v>
      </c>
      <c r="G108" s="3">
        <v>0</v>
      </c>
      <c r="H108" s="3">
        <v>27610</v>
      </c>
      <c r="I108" s="1">
        <v>0</v>
      </c>
      <c r="J108" s="3">
        <v>8958396</v>
      </c>
      <c r="K108" s="3">
        <v>8930786</v>
      </c>
      <c r="L108" s="3">
        <v>8930786</v>
      </c>
      <c r="M108" s="3">
        <v>235657</v>
      </c>
      <c r="N108" s="3">
        <v>794738</v>
      </c>
      <c r="O108" s="3">
        <v>100812</v>
      </c>
      <c r="P108" s="3">
        <v>89152</v>
      </c>
      <c r="Q108" s="3">
        <v>442973</v>
      </c>
      <c r="R108" s="3">
        <v>7295064</v>
      </c>
      <c r="S108" s="3">
        <v>7267454</v>
      </c>
      <c r="T108" s="3">
        <v>7267454</v>
      </c>
      <c r="U108" s="3">
        <v>895840</v>
      </c>
      <c r="V108" s="3">
        <v>895840</v>
      </c>
      <c r="W108" s="3">
        <v>895840</v>
      </c>
      <c r="X108" s="3">
        <v>895840</v>
      </c>
      <c r="Y108" s="3">
        <v>891238</v>
      </c>
      <c r="Z108" s="3">
        <v>891238</v>
      </c>
      <c r="AA108" s="4">
        <v>891238</v>
      </c>
      <c r="AB108" s="4">
        <v>891238</v>
      </c>
      <c r="AC108" s="4">
        <v>891238</v>
      </c>
      <c r="AD108" s="4">
        <v>891236</v>
      </c>
      <c r="AE108" s="4">
        <v>895840</v>
      </c>
      <c r="AF108" s="4">
        <v>1791680</v>
      </c>
      <c r="AG108" s="4">
        <v>2687520</v>
      </c>
      <c r="AH108" s="4">
        <v>3583360</v>
      </c>
      <c r="AI108" s="4">
        <v>4474598</v>
      </c>
      <c r="AJ108" s="4">
        <v>5365836</v>
      </c>
      <c r="AK108" s="4">
        <v>6257074</v>
      </c>
      <c r="AL108" s="4">
        <v>7148312</v>
      </c>
      <c r="AM108" s="4">
        <v>8039550</v>
      </c>
      <c r="AN108" s="4">
        <v>8930786</v>
      </c>
      <c r="AO108" s="150">
        <v>588910</v>
      </c>
    </row>
    <row r="109" spans="1:41" x14ac:dyDescent="0.2">
      <c r="A109" s="1">
        <v>2024</v>
      </c>
      <c r="B109" s="2" t="s">
        <v>128</v>
      </c>
      <c r="C109" s="2" t="s">
        <v>128</v>
      </c>
      <c r="D109" s="1" t="s">
        <v>481</v>
      </c>
      <c r="E109" s="3">
        <v>2636680</v>
      </c>
      <c r="F109" s="1">
        <v>332</v>
      </c>
      <c r="G109" s="1">
        <v>0</v>
      </c>
      <c r="H109" s="3">
        <v>9797</v>
      </c>
      <c r="I109" s="1">
        <v>0</v>
      </c>
      <c r="J109" s="3">
        <v>2636348</v>
      </c>
      <c r="K109" s="3">
        <v>2626551</v>
      </c>
      <c r="L109" s="3">
        <v>2626551</v>
      </c>
      <c r="M109" s="3">
        <v>76018</v>
      </c>
      <c r="N109" s="3">
        <v>316327</v>
      </c>
      <c r="O109" s="3">
        <v>32653</v>
      </c>
      <c r="P109" s="3">
        <v>33595</v>
      </c>
      <c r="Q109" s="3">
        <v>157178</v>
      </c>
      <c r="R109" s="3">
        <v>2020577</v>
      </c>
      <c r="S109" s="3">
        <v>2010780</v>
      </c>
      <c r="T109" s="3">
        <v>2010780</v>
      </c>
      <c r="U109" s="3">
        <v>263635</v>
      </c>
      <c r="V109" s="3">
        <v>263635</v>
      </c>
      <c r="W109" s="3">
        <v>263635</v>
      </c>
      <c r="X109" s="3">
        <v>263635</v>
      </c>
      <c r="Y109" s="3">
        <v>262002</v>
      </c>
      <c r="Z109" s="3">
        <v>262002</v>
      </c>
      <c r="AA109" s="4">
        <v>262002</v>
      </c>
      <c r="AB109" s="4">
        <v>262002</v>
      </c>
      <c r="AC109" s="4">
        <v>262002</v>
      </c>
      <c r="AD109" s="4">
        <v>262001</v>
      </c>
      <c r="AE109" s="4">
        <v>263635</v>
      </c>
      <c r="AF109" s="4">
        <v>527270</v>
      </c>
      <c r="AG109" s="4">
        <v>790905</v>
      </c>
      <c r="AH109" s="4">
        <v>1054540</v>
      </c>
      <c r="AI109" s="4">
        <v>1316542</v>
      </c>
      <c r="AJ109" s="4">
        <v>1578544</v>
      </c>
      <c r="AK109" s="4">
        <v>1840546</v>
      </c>
      <c r="AL109" s="4">
        <v>2102548</v>
      </c>
      <c r="AM109" s="4">
        <v>2364550</v>
      </c>
      <c r="AN109" s="4">
        <v>2626551</v>
      </c>
      <c r="AO109" s="150">
        <v>189203</v>
      </c>
    </row>
    <row r="110" spans="1:41" x14ac:dyDescent="0.2">
      <c r="A110" s="1">
        <v>2024</v>
      </c>
      <c r="B110" s="2" t="s">
        <v>129</v>
      </c>
      <c r="C110" s="2" t="s">
        <v>129</v>
      </c>
      <c r="D110" s="1" t="s">
        <v>482</v>
      </c>
      <c r="E110" s="3">
        <v>9797966</v>
      </c>
      <c r="F110" s="3">
        <v>829</v>
      </c>
      <c r="G110" s="3">
        <v>15152</v>
      </c>
      <c r="H110" s="3">
        <v>36024</v>
      </c>
      <c r="I110" s="1">
        <v>0</v>
      </c>
      <c r="J110" s="3">
        <v>9781985</v>
      </c>
      <c r="K110" s="3">
        <v>9745961</v>
      </c>
      <c r="L110" s="3">
        <v>9745961</v>
      </c>
      <c r="M110" s="3">
        <v>190046</v>
      </c>
      <c r="N110" s="3">
        <v>1053129</v>
      </c>
      <c r="O110" s="3">
        <v>121951</v>
      </c>
      <c r="P110" s="3">
        <v>111224</v>
      </c>
      <c r="Q110" s="3">
        <v>577966</v>
      </c>
      <c r="R110" s="3">
        <v>7727669</v>
      </c>
      <c r="S110" s="3">
        <v>7691645</v>
      </c>
      <c r="T110" s="3">
        <v>7691645</v>
      </c>
      <c r="U110" s="3">
        <v>978199</v>
      </c>
      <c r="V110" s="3">
        <v>978199</v>
      </c>
      <c r="W110" s="3">
        <v>978199</v>
      </c>
      <c r="X110" s="3">
        <v>978199</v>
      </c>
      <c r="Y110" s="3">
        <v>972194</v>
      </c>
      <c r="Z110" s="3">
        <v>972194</v>
      </c>
      <c r="AA110" s="4">
        <v>972194</v>
      </c>
      <c r="AB110" s="4">
        <v>972194</v>
      </c>
      <c r="AC110" s="4">
        <v>972194</v>
      </c>
      <c r="AD110" s="4">
        <v>972195</v>
      </c>
      <c r="AE110" s="4">
        <v>978199</v>
      </c>
      <c r="AF110" s="4">
        <v>1956398</v>
      </c>
      <c r="AG110" s="4">
        <v>2934597</v>
      </c>
      <c r="AH110" s="4">
        <v>3912796</v>
      </c>
      <c r="AI110" s="4">
        <v>4884990</v>
      </c>
      <c r="AJ110" s="4">
        <v>5857184</v>
      </c>
      <c r="AK110" s="4">
        <v>6829378</v>
      </c>
      <c r="AL110" s="4">
        <v>7801572</v>
      </c>
      <c r="AM110" s="4">
        <v>8773766</v>
      </c>
      <c r="AN110" s="4">
        <v>9745961</v>
      </c>
      <c r="AO110" s="150">
        <v>775297</v>
      </c>
    </row>
    <row r="111" spans="1:41" x14ac:dyDescent="0.2">
      <c r="A111" s="1">
        <v>2024</v>
      </c>
      <c r="B111" s="2" t="s">
        <v>130</v>
      </c>
      <c r="C111" s="2" t="s">
        <v>130</v>
      </c>
      <c r="D111" s="1" t="s">
        <v>483</v>
      </c>
      <c r="E111" s="3">
        <v>7336047</v>
      </c>
      <c r="F111" s="3">
        <v>929</v>
      </c>
      <c r="G111" s="3">
        <v>7576</v>
      </c>
      <c r="H111" s="3">
        <v>24243</v>
      </c>
      <c r="I111" s="1">
        <v>0</v>
      </c>
      <c r="J111" s="3">
        <v>7327542</v>
      </c>
      <c r="K111" s="3">
        <v>7303299</v>
      </c>
      <c r="L111" s="3">
        <v>7303299</v>
      </c>
      <c r="M111" s="3">
        <v>212851</v>
      </c>
      <c r="N111" s="3">
        <v>726981</v>
      </c>
      <c r="O111" s="3">
        <v>82659</v>
      </c>
      <c r="P111" s="3">
        <v>84390</v>
      </c>
      <c r="Q111" s="3">
        <v>388947</v>
      </c>
      <c r="R111" s="3">
        <v>5831714</v>
      </c>
      <c r="S111" s="3">
        <v>5807471</v>
      </c>
      <c r="T111" s="3">
        <v>5807471</v>
      </c>
      <c r="U111" s="3">
        <v>732754</v>
      </c>
      <c r="V111" s="3">
        <v>732754</v>
      </c>
      <c r="W111" s="3">
        <v>732754</v>
      </c>
      <c r="X111" s="3">
        <v>732754</v>
      </c>
      <c r="Y111" s="3">
        <v>728714</v>
      </c>
      <c r="Z111" s="3">
        <v>728714</v>
      </c>
      <c r="AA111" s="4">
        <v>728714</v>
      </c>
      <c r="AB111" s="4">
        <v>728714</v>
      </c>
      <c r="AC111" s="4">
        <v>728714</v>
      </c>
      <c r="AD111" s="4">
        <v>728713</v>
      </c>
      <c r="AE111" s="4">
        <v>732754</v>
      </c>
      <c r="AF111" s="4">
        <v>1465508</v>
      </c>
      <c r="AG111" s="4">
        <v>2198262</v>
      </c>
      <c r="AH111" s="4">
        <v>2931016</v>
      </c>
      <c r="AI111" s="4">
        <v>3659730</v>
      </c>
      <c r="AJ111" s="4">
        <v>4388444</v>
      </c>
      <c r="AK111" s="4">
        <v>5117158</v>
      </c>
      <c r="AL111" s="4">
        <v>5845872</v>
      </c>
      <c r="AM111" s="4">
        <v>6574586</v>
      </c>
      <c r="AN111" s="4">
        <v>7303299</v>
      </c>
      <c r="AO111" s="150">
        <v>524367</v>
      </c>
    </row>
    <row r="112" spans="1:41" x14ac:dyDescent="0.2">
      <c r="A112" s="1">
        <v>2024</v>
      </c>
      <c r="B112" s="2" t="s">
        <v>131</v>
      </c>
      <c r="C112" s="2" t="s">
        <v>131</v>
      </c>
      <c r="D112" s="1" t="s">
        <v>484</v>
      </c>
      <c r="E112" s="3">
        <v>28075457</v>
      </c>
      <c r="F112" s="3">
        <v>3649</v>
      </c>
      <c r="G112" s="3">
        <v>5009</v>
      </c>
      <c r="H112" s="3">
        <v>81796</v>
      </c>
      <c r="I112" s="3">
        <v>0</v>
      </c>
      <c r="J112" s="3">
        <v>28066799</v>
      </c>
      <c r="K112" s="3">
        <v>27985003</v>
      </c>
      <c r="L112" s="3">
        <v>27985003</v>
      </c>
      <c r="M112" s="3">
        <v>832494</v>
      </c>
      <c r="N112" s="3">
        <v>2373727</v>
      </c>
      <c r="O112" s="3">
        <v>310982</v>
      </c>
      <c r="P112" s="3">
        <v>275408</v>
      </c>
      <c r="Q112" s="3">
        <v>1312335</v>
      </c>
      <c r="R112" s="3">
        <v>22961853</v>
      </c>
      <c r="S112" s="3">
        <v>22880057</v>
      </c>
      <c r="T112" s="3">
        <v>22880057</v>
      </c>
      <c r="U112" s="3">
        <v>2806680</v>
      </c>
      <c r="V112" s="3">
        <v>2806680</v>
      </c>
      <c r="W112" s="3">
        <v>2806680</v>
      </c>
      <c r="X112" s="3">
        <v>2806680</v>
      </c>
      <c r="Y112" s="3">
        <v>2793047</v>
      </c>
      <c r="Z112" s="3">
        <v>2793047</v>
      </c>
      <c r="AA112" s="4">
        <v>2793047</v>
      </c>
      <c r="AB112" s="4">
        <v>2793047</v>
      </c>
      <c r="AC112" s="4">
        <v>2793047</v>
      </c>
      <c r="AD112" s="4">
        <v>2793048</v>
      </c>
      <c r="AE112" s="4">
        <v>2806680</v>
      </c>
      <c r="AF112" s="4">
        <v>5613360</v>
      </c>
      <c r="AG112" s="4">
        <v>8420040</v>
      </c>
      <c r="AH112" s="4">
        <v>11226720</v>
      </c>
      <c r="AI112" s="4">
        <v>14019767</v>
      </c>
      <c r="AJ112" s="4">
        <v>16812814</v>
      </c>
      <c r="AK112" s="4">
        <v>19605861</v>
      </c>
      <c r="AL112" s="4">
        <v>22398908</v>
      </c>
      <c r="AM112" s="4">
        <v>25191955</v>
      </c>
      <c r="AN112" s="4">
        <v>27985003</v>
      </c>
      <c r="AO112" s="150">
        <v>1861501</v>
      </c>
    </row>
    <row r="113" spans="1:41" x14ac:dyDescent="0.2">
      <c r="A113" s="1">
        <v>2024</v>
      </c>
      <c r="B113" s="2" t="s">
        <v>132</v>
      </c>
      <c r="C113" s="2" t="s">
        <v>132</v>
      </c>
      <c r="D113" s="1" t="s">
        <v>485</v>
      </c>
      <c r="E113" s="3">
        <v>15153548</v>
      </c>
      <c r="F113" s="3">
        <v>962</v>
      </c>
      <c r="G113" s="3">
        <v>0</v>
      </c>
      <c r="H113" s="3">
        <v>48285</v>
      </c>
      <c r="I113" s="3">
        <v>0</v>
      </c>
      <c r="J113" s="3">
        <v>15152586</v>
      </c>
      <c r="K113" s="3">
        <v>15104301</v>
      </c>
      <c r="L113" s="3">
        <v>15104301</v>
      </c>
      <c r="M113" s="3">
        <v>220453</v>
      </c>
      <c r="N113" s="3">
        <v>1320960</v>
      </c>
      <c r="O113" s="3">
        <v>164847</v>
      </c>
      <c r="P113" s="3">
        <v>148240</v>
      </c>
      <c r="Q113" s="3">
        <v>774687</v>
      </c>
      <c r="R113" s="3">
        <v>12523399</v>
      </c>
      <c r="S113" s="3">
        <v>12475114</v>
      </c>
      <c r="T113" s="3">
        <v>12475114</v>
      </c>
      <c r="U113" s="3">
        <v>1515259</v>
      </c>
      <c r="V113" s="3">
        <v>1515259</v>
      </c>
      <c r="W113" s="3">
        <v>1515259</v>
      </c>
      <c r="X113" s="3">
        <v>1515259</v>
      </c>
      <c r="Y113" s="3">
        <v>1507211</v>
      </c>
      <c r="Z113" s="3">
        <v>1507211</v>
      </c>
      <c r="AA113" s="4">
        <v>1507211</v>
      </c>
      <c r="AB113" s="4">
        <v>1507211</v>
      </c>
      <c r="AC113" s="4">
        <v>1507211</v>
      </c>
      <c r="AD113" s="4">
        <v>1507210</v>
      </c>
      <c r="AE113" s="4">
        <v>1515259</v>
      </c>
      <c r="AF113" s="4">
        <v>3030518</v>
      </c>
      <c r="AG113" s="4">
        <v>4545777</v>
      </c>
      <c r="AH113" s="4">
        <v>6061036</v>
      </c>
      <c r="AI113" s="4">
        <v>7568247</v>
      </c>
      <c r="AJ113" s="4">
        <v>9075458</v>
      </c>
      <c r="AK113" s="4">
        <v>10582669</v>
      </c>
      <c r="AL113" s="4">
        <v>12089880</v>
      </c>
      <c r="AM113" s="4">
        <v>13597091</v>
      </c>
      <c r="AN113" s="4">
        <v>15104301</v>
      </c>
      <c r="AO113" s="150">
        <v>1057180</v>
      </c>
    </row>
    <row r="114" spans="1:41" x14ac:dyDescent="0.2">
      <c r="A114" s="1">
        <v>2024</v>
      </c>
      <c r="B114" s="2" t="s">
        <v>133</v>
      </c>
      <c r="C114" s="2" t="s">
        <v>133</v>
      </c>
      <c r="D114" s="1" t="s">
        <v>486</v>
      </c>
      <c r="E114" s="3">
        <v>3029627</v>
      </c>
      <c r="F114" s="3">
        <v>398</v>
      </c>
      <c r="G114" s="3">
        <v>0</v>
      </c>
      <c r="H114" s="3">
        <v>9969</v>
      </c>
      <c r="I114" s="3">
        <v>0</v>
      </c>
      <c r="J114" s="3">
        <v>3029229</v>
      </c>
      <c r="K114" s="3">
        <v>3019260</v>
      </c>
      <c r="L114" s="3">
        <v>3019260</v>
      </c>
      <c r="M114" s="3">
        <v>91222</v>
      </c>
      <c r="N114" s="3">
        <v>284635</v>
      </c>
      <c r="O114" s="3">
        <v>36465</v>
      </c>
      <c r="P114" s="3">
        <v>28180</v>
      </c>
      <c r="Q114" s="3">
        <v>159942</v>
      </c>
      <c r="R114" s="3">
        <v>2428785</v>
      </c>
      <c r="S114" s="3">
        <v>2418816</v>
      </c>
      <c r="T114" s="3">
        <v>2418816</v>
      </c>
      <c r="U114" s="3">
        <v>302923</v>
      </c>
      <c r="V114" s="3">
        <v>302923</v>
      </c>
      <c r="W114" s="3">
        <v>302923</v>
      </c>
      <c r="X114" s="3">
        <v>302923</v>
      </c>
      <c r="Y114" s="3">
        <v>301261</v>
      </c>
      <c r="Z114" s="3">
        <v>301261</v>
      </c>
      <c r="AA114" s="4">
        <v>301262</v>
      </c>
      <c r="AB114" s="4">
        <v>301262</v>
      </c>
      <c r="AC114" s="4">
        <v>301262</v>
      </c>
      <c r="AD114" s="4">
        <v>301260</v>
      </c>
      <c r="AE114" s="4">
        <v>302923</v>
      </c>
      <c r="AF114" s="4">
        <v>605846</v>
      </c>
      <c r="AG114" s="4">
        <v>908769</v>
      </c>
      <c r="AH114" s="4">
        <v>1211692</v>
      </c>
      <c r="AI114" s="4">
        <v>1512953</v>
      </c>
      <c r="AJ114" s="4">
        <v>1814214</v>
      </c>
      <c r="AK114" s="4">
        <v>2115476</v>
      </c>
      <c r="AL114" s="4">
        <v>2416738</v>
      </c>
      <c r="AM114" s="4">
        <v>2718000</v>
      </c>
      <c r="AN114" s="4">
        <v>3019260</v>
      </c>
      <c r="AO114" s="150">
        <v>215194</v>
      </c>
    </row>
    <row r="115" spans="1:41" x14ac:dyDescent="0.2">
      <c r="A115" s="1">
        <v>2024</v>
      </c>
      <c r="B115" s="2" t="s">
        <v>134</v>
      </c>
      <c r="C115" s="2" t="s">
        <v>134</v>
      </c>
      <c r="D115" s="1" t="s">
        <v>487</v>
      </c>
      <c r="E115" s="3">
        <v>2602082</v>
      </c>
      <c r="F115" s="3">
        <v>415</v>
      </c>
      <c r="G115" s="3">
        <v>0</v>
      </c>
      <c r="H115" s="3">
        <v>10658</v>
      </c>
      <c r="I115" s="1">
        <v>0</v>
      </c>
      <c r="J115" s="3">
        <v>2601667</v>
      </c>
      <c r="K115" s="3">
        <v>2591009</v>
      </c>
      <c r="L115" s="3">
        <v>2591009</v>
      </c>
      <c r="M115" s="3">
        <v>95023</v>
      </c>
      <c r="N115" s="3">
        <v>325988</v>
      </c>
      <c r="O115" s="3">
        <v>35881</v>
      </c>
      <c r="P115" s="3">
        <v>34206</v>
      </c>
      <c r="Q115" s="3">
        <v>170998</v>
      </c>
      <c r="R115" s="3">
        <v>1939571</v>
      </c>
      <c r="S115" s="3">
        <v>1928913</v>
      </c>
      <c r="T115" s="3">
        <v>1928913</v>
      </c>
      <c r="U115" s="3">
        <v>260167</v>
      </c>
      <c r="V115" s="3">
        <v>260167</v>
      </c>
      <c r="W115" s="3">
        <v>260167</v>
      </c>
      <c r="X115" s="3">
        <v>260167</v>
      </c>
      <c r="Y115" s="3">
        <v>258390</v>
      </c>
      <c r="Z115" s="3">
        <v>258390</v>
      </c>
      <c r="AA115" s="4">
        <v>258390</v>
      </c>
      <c r="AB115" s="4">
        <v>258390</v>
      </c>
      <c r="AC115" s="4">
        <v>258390</v>
      </c>
      <c r="AD115" s="4">
        <v>258391</v>
      </c>
      <c r="AE115" s="4">
        <v>260167</v>
      </c>
      <c r="AF115" s="4">
        <v>520334</v>
      </c>
      <c r="AG115" s="4">
        <v>780501</v>
      </c>
      <c r="AH115" s="4">
        <v>1040668</v>
      </c>
      <c r="AI115" s="4">
        <v>1299058</v>
      </c>
      <c r="AJ115" s="4">
        <v>1557448</v>
      </c>
      <c r="AK115" s="4">
        <v>1815838</v>
      </c>
      <c r="AL115" s="4">
        <v>2074228</v>
      </c>
      <c r="AM115" s="4">
        <v>2332618</v>
      </c>
      <c r="AN115" s="4">
        <v>2591009</v>
      </c>
      <c r="AO115" s="150">
        <v>218939</v>
      </c>
    </row>
    <row r="116" spans="1:41" x14ac:dyDescent="0.2">
      <c r="A116" s="1">
        <v>2024</v>
      </c>
      <c r="B116" s="2" t="s">
        <v>135</v>
      </c>
      <c r="C116" s="2" t="s">
        <v>135</v>
      </c>
      <c r="D116" s="1" t="s">
        <v>488</v>
      </c>
      <c r="E116" s="3">
        <v>4234778</v>
      </c>
      <c r="F116" s="3">
        <v>1227</v>
      </c>
      <c r="G116" s="3">
        <v>7576</v>
      </c>
      <c r="H116" s="3">
        <v>19525</v>
      </c>
      <c r="I116" s="1">
        <v>0</v>
      </c>
      <c r="J116" s="3">
        <v>4225975</v>
      </c>
      <c r="K116" s="3">
        <v>4206450</v>
      </c>
      <c r="L116" s="3">
        <v>4206450</v>
      </c>
      <c r="M116" s="3">
        <v>281268</v>
      </c>
      <c r="N116" s="3">
        <v>586721</v>
      </c>
      <c r="O116" s="3">
        <v>68026</v>
      </c>
      <c r="P116" s="3">
        <v>65272</v>
      </c>
      <c r="Q116" s="3">
        <v>313251</v>
      </c>
      <c r="R116" s="3">
        <v>2911437</v>
      </c>
      <c r="S116" s="3">
        <v>2891912</v>
      </c>
      <c r="T116" s="3">
        <v>2891912</v>
      </c>
      <c r="U116" s="3">
        <v>422598</v>
      </c>
      <c r="V116" s="3">
        <v>422598</v>
      </c>
      <c r="W116" s="3">
        <v>422598</v>
      </c>
      <c r="X116" s="3">
        <v>422598</v>
      </c>
      <c r="Y116" s="3">
        <v>419343</v>
      </c>
      <c r="Z116" s="3">
        <v>419343</v>
      </c>
      <c r="AA116" s="4">
        <v>419343</v>
      </c>
      <c r="AB116" s="4">
        <v>419343</v>
      </c>
      <c r="AC116" s="4">
        <v>419343</v>
      </c>
      <c r="AD116" s="4">
        <v>419343</v>
      </c>
      <c r="AE116" s="4">
        <v>422598</v>
      </c>
      <c r="AF116" s="4">
        <v>845196</v>
      </c>
      <c r="AG116" s="4">
        <v>1267794</v>
      </c>
      <c r="AH116" s="4">
        <v>1690392</v>
      </c>
      <c r="AI116" s="4">
        <v>2109735</v>
      </c>
      <c r="AJ116" s="4">
        <v>2529078</v>
      </c>
      <c r="AK116" s="4">
        <v>2948421</v>
      </c>
      <c r="AL116" s="4">
        <v>3367764</v>
      </c>
      <c r="AM116" s="4">
        <v>3787107</v>
      </c>
      <c r="AN116" s="4">
        <v>4206450</v>
      </c>
      <c r="AO116" s="150">
        <v>431803</v>
      </c>
    </row>
    <row r="117" spans="1:41" x14ac:dyDescent="0.2">
      <c r="A117" s="1">
        <v>2024</v>
      </c>
      <c r="B117" s="2" t="s">
        <v>136</v>
      </c>
      <c r="C117" s="2" t="s">
        <v>136</v>
      </c>
      <c r="D117" s="1" t="s">
        <v>489</v>
      </c>
      <c r="E117" s="3">
        <v>2742971</v>
      </c>
      <c r="F117" s="1">
        <v>381</v>
      </c>
      <c r="G117" s="1">
        <v>0</v>
      </c>
      <c r="H117" s="3">
        <v>10444</v>
      </c>
      <c r="I117" s="1">
        <v>0</v>
      </c>
      <c r="J117" s="3">
        <v>2742590</v>
      </c>
      <c r="K117" s="3">
        <v>2732146</v>
      </c>
      <c r="L117" s="3">
        <v>2732146</v>
      </c>
      <c r="M117" s="3">
        <v>87422</v>
      </c>
      <c r="N117" s="3">
        <v>308837</v>
      </c>
      <c r="O117" s="3">
        <v>35307</v>
      </c>
      <c r="P117" s="3">
        <v>34407</v>
      </c>
      <c r="Q117" s="3">
        <v>167571</v>
      </c>
      <c r="R117" s="3">
        <v>2109046</v>
      </c>
      <c r="S117" s="3">
        <v>2098602</v>
      </c>
      <c r="T117" s="3">
        <v>2098602</v>
      </c>
      <c r="U117" s="3">
        <v>274259</v>
      </c>
      <c r="V117" s="3">
        <v>274259</v>
      </c>
      <c r="W117" s="3">
        <v>274259</v>
      </c>
      <c r="X117" s="3">
        <v>274259</v>
      </c>
      <c r="Y117" s="3">
        <v>272518</v>
      </c>
      <c r="Z117" s="3">
        <v>272518</v>
      </c>
      <c r="AA117" s="4">
        <v>272519</v>
      </c>
      <c r="AB117" s="4">
        <v>272519</v>
      </c>
      <c r="AC117" s="4">
        <v>272519</v>
      </c>
      <c r="AD117" s="4">
        <v>272517</v>
      </c>
      <c r="AE117" s="4">
        <v>274259</v>
      </c>
      <c r="AF117" s="4">
        <v>548518</v>
      </c>
      <c r="AG117" s="4">
        <v>822777</v>
      </c>
      <c r="AH117" s="4">
        <v>1097036</v>
      </c>
      <c r="AI117" s="4">
        <v>1369554</v>
      </c>
      <c r="AJ117" s="4">
        <v>1642072</v>
      </c>
      <c r="AK117" s="4">
        <v>1914591</v>
      </c>
      <c r="AL117" s="4">
        <v>2187110</v>
      </c>
      <c r="AM117" s="4">
        <v>2459629</v>
      </c>
      <c r="AN117" s="4">
        <v>2732146</v>
      </c>
      <c r="AO117" s="150">
        <v>222346</v>
      </c>
    </row>
    <row r="118" spans="1:41" x14ac:dyDescent="0.2">
      <c r="A118" s="1">
        <v>2024</v>
      </c>
      <c r="B118" s="2" t="s">
        <v>137</v>
      </c>
      <c r="C118" s="2" t="s">
        <v>137</v>
      </c>
      <c r="D118" s="1" t="s">
        <v>490</v>
      </c>
      <c r="E118" s="3">
        <v>10016088</v>
      </c>
      <c r="F118" s="3">
        <v>1244</v>
      </c>
      <c r="G118" s="3">
        <v>0</v>
      </c>
      <c r="H118" s="3">
        <v>36447</v>
      </c>
      <c r="I118" s="1">
        <v>0</v>
      </c>
      <c r="J118" s="3">
        <v>10014844</v>
      </c>
      <c r="K118" s="3">
        <v>9978397</v>
      </c>
      <c r="L118" s="3">
        <v>9978397</v>
      </c>
      <c r="M118" s="3">
        <v>285069</v>
      </c>
      <c r="N118" s="3">
        <v>989879</v>
      </c>
      <c r="O118" s="3">
        <v>98693</v>
      </c>
      <c r="P118" s="3">
        <v>110022</v>
      </c>
      <c r="Q118" s="3">
        <v>584747</v>
      </c>
      <c r="R118" s="3">
        <v>7946434</v>
      </c>
      <c r="S118" s="3">
        <v>7909987</v>
      </c>
      <c r="T118" s="3">
        <v>7909987</v>
      </c>
      <c r="U118" s="3">
        <v>1001484</v>
      </c>
      <c r="V118" s="3">
        <v>1001484</v>
      </c>
      <c r="W118" s="3">
        <v>1001484</v>
      </c>
      <c r="X118" s="3">
        <v>1001484</v>
      </c>
      <c r="Y118" s="3">
        <v>995410</v>
      </c>
      <c r="Z118" s="3">
        <v>995410</v>
      </c>
      <c r="AA118" s="4">
        <v>995410</v>
      </c>
      <c r="AB118" s="4">
        <v>995410</v>
      </c>
      <c r="AC118" s="4">
        <v>995410</v>
      </c>
      <c r="AD118" s="4">
        <v>995411</v>
      </c>
      <c r="AE118" s="4">
        <v>1001484</v>
      </c>
      <c r="AF118" s="4">
        <v>2002968</v>
      </c>
      <c r="AG118" s="4">
        <v>3004452</v>
      </c>
      <c r="AH118" s="4">
        <v>4005936</v>
      </c>
      <c r="AI118" s="4">
        <v>5001346</v>
      </c>
      <c r="AJ118" s="4">
        <v>5996756</v>
      </c>
      <c r="AK118" s="4">
        <v>6992166</v>
      </c>
      <c r="AL118" s="4">
        <v>7987576</v>
      </c>
      <c r="AM118" s="4">
        <v>8982986</v>
      </c>
      <c r="AN118" s="4">
        <v>9978397</v>
      </c>
      <c r="AO118" s="150">
        <v>767752</v>
      </c>
    </row>
    <row r="119" spans="1:41" x14ac:dyDescent="0.2">
      <c r="A119" s="1">
        <v>2024</v>
      </c>
      <c r="B119" s="2" t="s">
        <v>138</v>
      </c>
      <c r="C119" s="2" t="s">
        <v>138</v>
      </c>
      <c r="D119" s="1" t="s">
        <v>491</v>
      </c>
      <c r="E119" s="3">
        <v>1212186</v>
      </c>
      <c r="F119" s="1">
        <v>265</v>
      </c>
      <c r="G119" s="1">
        <v>0</v>
      </c>
      <c r="H119" s="3">
        <v>3997</v>
      </c>
      <c r="I119" s="1">
        <v>0</v>
      </c>
      <c r="J119" s="3">
        <v>1211921</v>
      </c>
      <c r="K119" s="3">
        <v>1207924</v>
      </c>
      <c r="L119" s="3">
        <v>1207924</v>
      </c>
      <c r="M119" s="3">
        <v>60815</v>
      </c>
      <c r="N119" s="3">
        <v>126877</v>
      </c>
      <c r="O119" s="3">
        <v>10812</v>
      </c>
      <c r="P119" s="3">
        <v>14919</v>
      </c>
      <c r="Q119" s="3">
        <v>64124</v>
      </c>
      <c r="R119" s="3">
        <v>934374</v>
      </c>
      <c r="S119" s="3">
        <v>930377</v>
      </c>
      <c r="T119" s="3">
        <v>930377</v>
      </c>
      <c r="U119" s="3">
        <v>121192</v>
      </c>
      <c r="V119" s="3">
        <v>121192</v>
      </c>
      <c r="W119" s="3">
        <v>121192</v>
      </c>
      <c r="X119" s="3">
        <v>121192</v>
      </c>
      <c r="Y119" s="3">
        <v>120526</v>
      </c>
      <c r="Z119" s="3">
        <v>120526</v>
      </c>
      <c r="AA119" s="4">
        <v>120526</v>
      </c>
      <c r="AB119" s="4">
        <v>120526</v>
      </c>
      <c r="AC119" s="4">
        <v>120526</v>
      </c>
      <c r="AD119" s="4">
        <v>120526</v>
      </c>
      <c r="AE119" s="4">
        <v>121192</v>
      </c>
      <c r="AF119" s="4">
        <v>242384</v>
      </c>
      <c r="AG119" s="4">
        <v>363576</v>
      </c>
      <c r="AH119" s="4">
        <v>484768</v>
      </c>
      <c r="AI119" s="4">
        <v>605294</v>
      </c>
      <c r="AJ119" s="4">
        <v>725820</v>
      </c>
      <c r="AK119" s="4">
        <v>846346</v>
      </c>
      <c r="AL119" s="4">
        <v>966872</v>
      </c>
      <c r="AM119" s="4">
        <v>1087398</v>
      </c>
      <c r="AN119" s="4">
        <v>1207924</v>
      </c>
      <c r="AO119" s="150">
        <v>91424</v>
      </c>
    </row>
    <row r="120" spans="1:41" x14ac:dyDescent="0.2">
      <c r="A120" s="1">
        <v>2024</v>
      </c>
      <c r="B120" s="2" t="s">
        <v>139</v>
      </c>
      <c r="C120" s="2" t="s">
        <v>139</v>
      </c>
      <c r="D120" s="1" t="s">
        <v>492</v>
      </c>
      <c r="E120" s="3">
        <v>3830225</v>
      </c>
      <c r="F120" s="3">
        <v>464</v>
      </c>
      <c r="G120" s="3">
        <v>5472</v>
      </c>
      <c r="H120" s="3">
        <v>14179</v>
      </c>
      <c r="I120" s="1">
        <v>0</v>
      </c>
      <c r="J120" s="3">
        <v>3824289</v>
      </c>
      <c r="K120" s="3">
        <v>3810110</v>
      </c>
      <c r="L120" s="3">
        <v>3810110</v>
      </c>
      <c r="M120" s="3">
        <v>106426</v>
      </c>
      <c r="N120" s="3">
        <v>434789</v>
      </c>
      <c r="O120" s="3">
        <v>39871</v>
      </c>
      <c r="P120" s="3">
        <v>45273</v>
      </c>
      <c r="Q120" s="3">
        <v>227494</v>
      </c>
      <c r="R120" s="3">
        <v>2970436</v>
      </c>
      <c r="S120" s="3">
        <v>2956257</v>
      </c>
      <c r="T120" s="3">
        <v>2956257</v>
      </c>
      <c r="U120" s="3">
        <v>382429</v>
      </c>
      <c r="V120" s="3">
        <v>382429</v>
      </c>
      <c r="W120" s="3">
        <v>382429</v>
      </c>
      <c r="X120" s="3">
        <v>382429</v>
      </c>
      <c r="Y120" s="3">
        <v>380066</v>
      </c>
      <c r="Z120" s="3">
        <v>380066</v>
      </c>
      <c r="AA120" s="4">
        <v>380066</v>
      </c>
      <c r="AB120" s="4">
        <v>380066</v>
      </c>
      <c r="AC120" s="4">
        <v>380066</v>
      </c>
      <c r="AD120" s="4">
        <v>380064</v>
      </c>
      <c r="AE120" s="4">
        <v>382429</v>
      </c>
      <c r="AF120" s="4">
        <v>764858</v>
      </c>
      <c r="AG120" s="4">
        <v>1147287</v>
      </c>
      <c r="AH120" s="4">
        <v>1529716</v>
      </c>
      <c r="AI120" s="4">
        <v>1909782</v>
      </c>
      <c r="AJ120" s="4">
        <v>2289848</v>
      </c>
      <c r="AK120" s="4">
        <v>2669914</v>
      </c>
      <c r="AL120" s="4">
        <v>3049980</v>
      </c>
      <c r="AM120" s="4">
        <v>3430046</v>
      </c>
      <c r="AN120" s="4">
        <v>3810110</v>
      </c>
      <c r="AO120" s="150">
        <v>302976</v>
      </c>
    </row>
    <row r="121" spans="1:41" x14ac:dyDescent="0.2">
      <c r="A121" s="1">
        <v>2024</v>
      </c>
      <c r="B121" s="2" t="s">
        <v>140</v>
      </c>
      <c r="C121" s="2" t="s">
        <v>140</v>
      </c>
      <c r="D121" s="1" t="s">
        <v>493</v>
      </c>
      <c r="E121" s="3">
        <v>13490438</v>
      </c>
      <c r="F121" s="3">
        <v>796</v>
      </c>
      <c r="G121" s="3">
        <v>0</v>
      </c>
      <c r="H121" s="3">
        <v>44077</v>
      </c>
      <c r="I121" s="1">
        <v>0</v>
      </c>
      <c r="J121" s="3">
        <v>13489642</v>
      </c>
      <c r="K121" s="3">
        <v>13445565</v>
      </c>
      <c r="L121" s="3">
        <v>13445565</v>
      </c>
      <c r="M121" s="3">
        <v>182444</v>
      </c>
      <c r="N121" s="3">
        <v>1209540</v>
      </c>
      <c r="O121" s="3">
        <v>149655</v>
      </c>
      <c r="P121" s="3">
        <v>131617</v>
      </c>
      <c r="Q121" s="3">
        <v>707172</v>
      </c>
      <c r="R121" s="3">
        <v>11109214</v>
      </c>
      <c r="S121" s="3">
        <v>11065137</v>
      </c>
      <c r="T121" s="3">
        <v>11065137</v>
      </c>
      <c r="U121" s="3">
        <v>1348964</v>
      </c>
      <c r="V121" s="3">
        <v>1348964</v>
      </c>
      <c r="W121" s="3">
        <v>1348964</v>
      </c>
      <c r="X121" s="3">
        <v>1348964</v>
      </c>
      <c r="Y121" s="3">
        <v>1341618</v>
      </c>
      <c r="Z121" s="3">
        <v>1341618</v>
      </c>
      <c r="AA121" s="4">
        <v>1341618</v>
      </c>
      <c r="AB121" s="4">
        <v>1341618</v>
      </c>
      <c r="AC121" s="4">
        <v>1341618</v>
      </c>
      <c r="AD121" s="4">
        <v>1341619</v>
      </c>
      <c r="AE121" s="4">
        <v>1348964</v>
      </c>
      <c r="AF121" s="4">
        <v>2697928</v>
      </c>
      <c r="AG121" s="4">
        <v>4046892</v>
      </c>
      <c r="AH121" s="4">
        <v>5395856</v>
      </c>
      <c r="AI121" s="4">
        <v>6737474</v>
      </c>
      <c r="AJ121" s="4">
        <v>8079092</v>
      </c>
      <c r="AK121" s="4">
        <v>9420710</v>
      </c>
      <c r="AL121" s="4">
        <v>10762328</v>
      </c>
      <c r="AM121" s="4">
        <v>12103946</v>
      </c>
      <c r="AN121" s="4">
        <v>13445565</v>
      </c>
      <c r="AO121" s="150">
        <v>938499</v>
      </c>
    </row>
    <row r="122" spans="1:41" x14ac:dyDescent="0.2">
      <c r="A122" s="1">
        <v>2024</v>
      </c>
      <c r="B122" s="2" t="s">
        <v>141</v>
      </c>
      <c r="C122" s="2" t="s">
        <v>141</v>
      </c>
      <c r="D122" s="1" t="s">
        <v>494</v>
      </c>
      <c r="E122" s="3">
        <v>1847312</v>
      </c>
      <c r="F122" s="1">
        <v>580</v>
      </c>
      <c r="G122" s="1">
        <v>0</v>
      </c>
      <c r="H122" s="3">
        <v>6799</v>
      </c>
      <c r="I122" s="1">
        <v>0</v>
      </c>
      <c r="J122" s="3">
        <v>1846732</v>
      </c>
      <c r="K122" s="3">
        <v>1839933</v>
      </c>
      <c r="L122" s="3">
        <v>1839933</v>
      </c>
      <c r="M122" s="3">
        <v>133033</v>
      </c>
      <c r="N122" s="3">
        <v>209195</v>
      </c>
      <c r="O122" s="3">
        <v>22976</v>
      </c>
      <c r="P122" s="3">
        <v>22304</v>
      </c>
      <c r="Q122" s="3">
        <v>109085</v>
      </c>
      <c r="R122" s="3">
        <v>1350139</v>
      </c>
      <c r="S122" s="3">
        <v>1343340</v>
      </c>
      <c r="T122" s="3">
        <v>1343340</v>
      </c>
      <c r="U122" s="3">
        <v>184673</v>
      </c>
      <c r="V122" s="3">
        <v>184673</v>
      </c>
      <c r="W122" s="3">
        <v>184673</v>
      </c>
      <c r="X122" s="3">
        <v>184673</v>
      </c>
      <c r="Y122" s="3">
        <v>183540</v>
      </c>
      <c r="Z122" s="3">
        <v>183540</v>
      </c>
      <c r="AA122" s="4">
        <v>183540</v>
      </c>
      <c r="AB122" s="4">
        <v>183540</v>
      </c>
      <c r="AC122" s="4">
        <v>183540</v>
      </c>
      <c r="AD122" s="4">
        <v>183541</v>
      </c>
      <c r="AE122" s="4">
        <v>184673</v>
      </c>
      <c r="AF122" s="4">
        <v>369346</v>
      </c>
      <c r="AG122" s="4">
        <v>554019</v>
      </c>
      <c r="AH122" s="4">
        <v>738692</v>
      </c>
      <c r="AI122" s="4">
        <v>922232</v>
      </c>
      <c r="AJ122" s="4">
        <v>1105772</v>
      </c>
      <c r="AK122" s="4">
        <v>1289312</v>
      </c>
      <c r="AL122" s="4">
        <v>1472852</v>
      </c>
      <c r="AM122" s="4">
        <v>1656392</v>
      </c>
      <c r="AN122" s="4">
        <v>1839933</v>
      </c>
      <c r="AO122" s="150">
        <v>134906</v>
      </c>
    </row>
    <row r="123" spans="1:41" x14ac:dyDescent="0.2">
      <c r="A123" s="1">
        <v>2024</v>
      </c>
      <c r="B123" s="2" t="s">
        <v>142</v>
      </c>
      <c r="C123" s="2" t="s">
        <v>142</v>
      </c>
      <c r="D123" s="1" t="s">
        <v>495</v>
      </c>
      <c r="E123" s="3">
        <v>1997500</v>
      </c>
      <c r="F123" s="3">
        <v>431</v>
      </c>
      <c r="G123" s="3">
        <v>0</v>
      </c>
      <c r="H123" s="3">
        <v>8683</v>
      </c>
      <c r="I123" s="1">
        <v>0</v>
      </c>
      <c r="J123" s="3">
        <v>1997069</v>
      </c>
      <c r="K123" s="3">
        <v>1988386</v>
      </c>
      <c r="L123" s="3">
        <v>1988386</v>
      </c>
      <c r="M123" s="3">
        <v>98824</v>
      </c>
      <c r="N123" s="3">
        <v>260846</v>
      </c>
      <c r="O123" s="3">
        <v>30471</v>
      </c>
      <c r="P123" s="3">
        <v>25228</v>
      </c>
      <c r="Q123" s="3">
        <v>139304</v>
      </c>
      <c r="R123" s="3">
        <v>1442396</v>
      </c>
      <c r="S123" s="3">
        <v>1433713</v>
      </c>
      <c r="T123" s="3">
        <v>1433713</v>
      </c>
      <c r="U123" s="3">
        <v>199707</v>
      </c>
      <c r="V123" s="3">
        <v>199707</v>
      </c>
      <c r="W123" s="3">
        <v>199707</v>
      </c>
      <c r="X123" s="3">
        <v>199707</v>
      </c>
      <c r="Y123" s="3">
        <v>198260</v>
      </c>
      <c r="Z123" s="3">
        <v>198260</v>
      </c>
      <c r="AA123" s="4">
        <v>198260</v>
      </c>
      <c r="AB123" s="4">
        <v>198260</v>
      </c>
      <c r="AC123" s="4">
        <v>198260</v>
      </c>
      <c r="AD123" s="4">
        <v>198258</v>
      </c>
      <c r="AE123" s="4">
        <v>199707</v>
      </c>
      <c r="AF123" s="4">
        <v>399414</v>
      </c>
      <c r="AG123" s="4">
        <v>599121</v>
      </c>
      <c r="AH123" s="4">
        <v>798828</v>
      </c>
      <c r="AI123" s="4">
        <v>997088</v>
      </c>
      <c r="AJ123" s="4">
        <v>1195348</v>
      </c>
      <c r="AK123" s="4">
        <v>1393608</v>
      </c>
      <c r="AL123" s="4">
        <v>1591868</v>
      </c>
      <c r="AM123" s="4">
        <v>1790128</v>
      </c>
      <c r="AN123" s="4">
        <v>1988386</v>
      </c>
      <c r="AO123" s="150">
        <v>180134</v>
      </c>
    </row>
    <row r="124" spans="1:41" x14ac:dyDescent="0.2">
      <c r="A124" s="1">
        <v>2024</v>
      </c>
      <c r="B124" s="2" t="s">
        <v>143</v>
      </c>
      <c r="C124" s="2" t="s">
        <v>143</v>
      </c>
      <c r="D124" s="1" t="s">
        <v>496</v>
      </c>
      <c r="E124" s="3">
        <v>4128135</v>
      </c>
      <c r="F124" s="3">
        <v>365</v>
      </c>
      <c r="G124" s="3">
        <v>0</v>
      </c>
      <c r="H124" s="3">
        <v>14391</v>
      </c>
      <c r="I124" s="1">
        <v>0</v>
      </c>
      <c r="J124" s="3">
        <v>4127770</v>
      </c>
      <c r="K124" s="3">
        <v>4113379</v>
      </c>
      <c r="L124" s="3">
        <v>4113379</v>
      </c>
      <c r="M124" s="3">
        <v>83620</v>
      </c>
      <c r="N124" s="3">
        <v>434196</v>
      </c>
      <c r="O124" s="3">
        <v>49412</v>
      </c>
      <c r="P124" s="3">
        <v>49669</v>
      </c>
      <c r="Q124" s="3">
        <v>230884</v>
      </c>
      <c r="R124" s="3">
        <v>3279989</v>
      </c>
      <c r="S124" s="3">
        <v>3265598</v>
      </c>
      <c r="T124" s="3">
        <v>3265598</v>
      </c>
      <c r="U124" s="3">
        <v>412777</v>
      </c>
      <c r="V124" s="3">
        <v>412777</v>
      </c>
      <c r="W124" s="3">
        <v>412777</v>
      </c>
      <c r="X124" s="3">
        <v>412777</v>
      </c>
      <c r="Y124" s="3">
        <v>410379</v>
      </c>
      <c r="Z124" s="3">
        <v>410379</v>
      </c>
      <c r="AA124" s="4">
        <v>410378</v>
      </c>
      <c r="AB124" s="4">
        <v>410378</v>
      </c>
      <c r="AC124" s="4">
        <v>410378</v>
      </c>
      <c r="AD124" s="4">
        <v>410379</v>
      </c>
      <c r="AE124" s="4">
        <v>412777</v>
      </c>
      <c r="AF124" s="4">
        <v>825554</v>
      </c>
      <c r="AG124" s="4">
        <v>1238331</v>
      </c>
      <c r="AH124" s="4">
        <v>1651108</v>
      </c>
      <c r="AI124" s="4">
        <v>2061487</v>
      </c>
      <c r="AJ124" s="4">
        <v>2471866</v>
      </c>
      <c r="AK124" s="4">
        <v>2882244</v>
      </c>
      <c r="AL124" s="4">
        <v>3292622</v>
      </c>
      <c r="AM124" s="4">
        <v>3703000</v>
      </c>
      <c r="AN124" s="4">
        <v>4113379</v>
      </c>
      <c r="AO124" s="150">
        <v>294231</v>
      </c>
    </row>
    <row r="125" spans="1:41" x14ac:dyDescent="0.2">
      <c r="A125" s="1">
        <v>2024</v>
      </c>
      <c r="B125" s="2" t="s">
        <v>144</v>
      </c>
      <c r="C125" s="2" t="s">
        <v>144</v>
      </c>
      <c r="D125" s="1" t="s">
        <v>4</v>
      </c>
      <c r="E125" s="3">
        <v>1345830</v>
      </c>
      <c r="F125" s="3">
        <v>415</v>
      </c>
      <c r="G125" s="3">
        <v>7576</v>
      </c>
      <c r="H125" s="3">
        <v>5846</v>
      </c>
      <c r="I125" s="1">
        <v>0</v>
      </c>
      <c r="J125" s="3">
        <v>1337839</v>
      </c>
      <c r="K125" s="3">
        <v>1331993</v>
      </c>
      <c r="L125" s="3">
        <v>1331993</v>
      </c>
      <c r="M125" s="3">
        <v>95023</v>
      </c>
      <c r="N125" s="3">
        <v>191547</v>
      </c>
      <c r="O125" s="3">
        <v>22834</v>
      </c>
      <c r="P125" s="3">
        <v>22561</v>
      </c>
      <c r="Q125" s="3">
        <v>93791</v>
      </c>
      <c r="R125" s="3">
        <v>912083</v>
      </c>
      <c r="S125" s="3">
        <v>906237</v>
      </c>
      <c r="T125" s="3">
        <v>906237</v>
      </c>
      <c r="U125" s="3">
        <v>133784</v>
      </c>
      <c r="V125" s="3">
        <v>133784</v>
      </c>
      <c r="W125" s="3">
        <v>133784</v>
      </c>
      <c r="X125" s="3">
        <v>133784</v>
      </c>
      <c r="Y125" s="3">
        <v>132810</v>
      </c>
      <c r="Z125" s="3">
        <v>132810</v>
      </c>
      <c r="AA125" s="4">
        <v>132809</v>
      </c>
      <c r="AB125" s="4">
        <v>132809</v>
      </c>
      <c r="AC125" s="4">
        <v>132809</v>
      </c>
      <c r="AD125" s="4">
        <v>132810</v>
      </c>
      <c r="AE125" s="4">
        <v>133784</v>
      </c>
      <c r="AF125" s="4">
        <v>267568</v>
      </c>
      <c r="AG125" s="4">
        <v>401352</v>
      </c>
      <c r="AH125" s="4">
        <v>535136</v>
      </c>
      <c r="AI125" s="4">
        <v>667946</v>
      </c>
      <c r="AJ125" s="4">
        <v>800756</v>
      </c>
      <c r="AK125" s="4">
        <v>933565</v>
      </c>
      <c r="AL125" s="4">
        <v>1066374</v>
      </c>
      <c r="AM125" s="4">
        <v>1199183</v>
      </c>
      <c r="AN125" s="4">
        <v>1331993</v>
      </c>
      <c r="AO125" s="150">
        <v>129568</v>
      </c>
    </row>
    <row r="126" spans="1:41" x14ac:dyDescent="0.2">
      <c r="A126" s="1">
        <v>2024</v>
      </c>
      <c r="B126" s="2" t="s">
        <v>145</v>
      </c>
      <c r="C126" s="2" t="s">
        <v>145</v>
      </c>
      <c r="D126" s="1" t="s">
        <v>497</v>
      </c>
      <c r="E126" s="3">
        <v>10076772</v>
      </c>
      <c r="F126" s="3">
        <v>1194</v>
      </c>
      <c r="G126" s="3">
        <v>0</v>
      </c>
      <c r="H126" s="3">
        <v>34416</v>
      </c>
      <c r="I126" s="1">
        <v>0</v>
      </c>
      <c r="J126" s="3">
        <v>10075578</v>
      </c>
      <c r="K126" s="3">
        <v>10041162</v>
      </c>
      <c r="L126" s="3">
        <v>10041162</v>
      </c>
      <c r="M126" s="3">
        <v>273666</v>
      </c>
      <c r="N126" s="3">
        <v>967048</v>
      </c>
      <c r="O126" s="3">
        <v>117886</v>
      </c>
      <c r="P126" s="3">
        <v>106229</v>
      </c>
      <c r="Q126" s="3">
        <v>552168</v>
      </c>
      <c r="R126" s="3">
        <v>8058581</v>
      </c>
      <c r="S126" s="3">
        <v>8024165</v>
      </c>
      <c r="T126" s="3">
        <v>8024165</v>
      </c>
      <c r="U126" s="3">
        <v>1007558</v>
      </c>
      <c r="V126" s="3">
        <v>1007558</v>
      </c>
      <c r="W126" s="3">
        <v>1007558</v>
      </c>
      <c r="X126" s="3">
        <v>1007558</v>
      </c>
      <c r="Y126" s="3">
        <v>1001822</v>
      </c>
      <c r="Z126" s="3">
        <v>1001822</v>
      </c>
      <c r="AA126" s="4">
        <v>1001822</v>
      </c>
      <c r="AB126" s="4">
        <v>1001822</v>
      </c>
      <c r="AC126" s="4">
        <v>1001822</v>
      </c>
      <c r="AD126" s="4">
        <v>1001820</v>
      </c>
      <c r="AE126" s="4">
        <v>1007558</v>
      </c>
      <c r="AF126" s="4">
        <v>2015116</v>
      </c>
      <c r="AG126" s="4">
        <v>3022674</v>
      </c>
      <c r="AH126" s="4">
        <v>4030232</v>
      </c>
      <c r="AI126" s="4">
        <v>5032054</v>
      </c>
      <c r="AJ126" s="4">
        <v>6033876</v>
      </c>
      <c r="AK126" s="4">
        <v>7035698</v>
      </c>
      <c r="AL126" s="4">
        <v>8037520</v>
      </c>
      <c r="AM126" s="4">
        <v>9039342</v>
      </c>
      <c r="AN126" s="4">
        <v>10041162</v>
      </c>
      <c r="AO126" s="150">
        <v>764428</v>
      </c>
    </row>
    <row r="127" spans="1:41" x14ac:dyDescent="0.2">
      <c r="A127" s="1">
        <v>2024</v>
      </c>
      <c r="B127" s="2" t="s">
        <v>146</v>
      </c>
      <c r="C127" s="2" t="s">
        <v>146</v>
      </c>
      <c r="D127" s="1" t="s">
        <v>498</v>
      </c>
      <c r="E127" s="3">
        <v>2791296</v>
      </c>
      <c r="F127" s="1">
        <v>498</v>
      </c>
      <c r="G127" s="1">
        <v>0</v>
      </c>
      <c r="H127" s="3">
        <v>10286</v>
      </c>
      <c r="I127" s="1">
        <v>0</v>
      </c>
      <c r="J127" s="3">
        <v>2790798</v>
      </c>
      <c r="K127" s="3">
        <v>2780512</v>
      </c>
      <c r="L127" s="3">
        <v>2780512</v>
      </c>
      <c r="M127" s="3">
        <v>114027</v>
      </c>
      <c r="N127" s="3">
        <v>288137</v>
      </c>
      <c r="O127" s="3">
        <v>30880</v>
      </c>
      <c r="P127" s="3">
        <v>30289</v>
      </c>
      <c r="Q127" s="3">
        <v>165028</v>
      </c>
      <c r="R127" s="3">
        <v>2162437</v>
      </c>
      <c r="S127" s="3">
        <v>2152151</v>
      </c>
      <c r="T127" s="3">
        <v>2152151</v>
      </c>
      <c r="U127" s="3">
        <v>279080</v>
      </c>
      <c r="V127" s="3">
        <v>279080</v>
      </c>
      <c r="W127" s="3">
        <v>279080</v>
      </c>
      <c r="X127" s="3">
        <v>279080</v>
      </c>
      <c r="Y127" s="3">
        <v>277365</v>
      </c>
      <c r="Z127" s="3">
        <v>277365</v>
      </c>
      <c r="AA127" s="4">
        <v>277366</v>
      </c>
      <c r="AB127" s="4">
        <v>277366</v>
      </c>
      <c r="AC127" s="4">
        <v>277366</v>
      </c>
      <c r="AD127" s="4">
        <v>277364</v>
      </c>
      <c r="AE127" s="4">
        <v>279080</v>
      </c>
      <c r="AF127" s="4">
        <v>558160</v>
      </c>
      <c r="AG127" s="4">
        <v>837240</v>
      </c>
      <c r="AH127" s="4">
        <v>1116320</v>
      </c>
      <c r="AI127" s="4">
        <v>1393685</v>
      </c>
      <c r="AJ127" s="4">
        <v>1671050</v>
      </c>
      <c r="AK127" s="4">
        <v>1948416</v>
      </c>
      <c r="AL127" s="4">
        <v>2225782</v>
      </c>
      <c r="AM127" s="4">
        <v>2503148</v>
      </c>
      <c r="AN127" s="4">
        <v>2780512</v>
      </c>
      <c r="AO127" s="150">
        <v>220717</v>
      </c>
    </row>
    <row r="128" spans="1:41" x14ac:dyDescent="0.2">
      <c r="A128" s="1">
        <v>2024</v>
      </c>
      <c r="B128" s="2" t="s">
        <v>147</v>
      </c>
      <c r="C128" s="2" t="s">
        <v>147</v>
      </c>
      <c r="D128" s="1" t="s">
        <v>499</v>
      </c>
      <c r="E128" s="3">
        <v>4817705</v>
      </c>
      <c r="F128" s="3">
        <v>779</v>
      </c>
      <c r="G128" s="3">
        <v>0</v>
      </c>
      <c r="H128" s="3">
        <v>15604</v>
      </c>
      <c r="I128" s="1">
        <v>0</v>
      </c>
      <c r="J128" s="3">
        <v>4816926</v>
      </c>
      <c r="K128" s="3">
        <v>4801322</v>
      </c>
      <c r="L128" s="3">
        <v>4801322</v>
      </c>
      <c r="M128" s="3">
        <v>178644</v>
      </c>
      <c r="N128" s="3">
        <v>480523</v>
      </c>
      <c r="O128" s="3">
        <v>47707</v>
      </c>
      <c r="P128" s="3">
        <v>51722</v>
      </c>
      <c r="Q128" s="3">
        <v>250342</v>
      </c>
      <c r="R128" s="3">
        <v>3807988</v>
      </c>
      <c r="S128" s="3">
        <v>3792384</v>
      </c>
      <c r="T128" s="3">
        <v>3792384</v>
      </c>
      <c r="U128" s="3">
        <v>481693</v>
      </c>
      <c r="V128" s="3">
        <v>481693</v>
      </c>
      <c r="W128" s="3">
        <v>481693</v>
      </c>
      <c r="X128" s="3">
        <v>481693</v>
      </c>
      <c r="Y128" s="3">
        <v>479092</v>
      </c>
      <c r="Z128" s="3">
        <v>479092</v>
      </c>
      <c r="AA128" s="4">
        <v>479092</v>
      </c>
      <c r="AB128" s="4">
        <v>479092</v>
      </c>
      <c r="AC128" s="4">
        <v>479092</v>
      </c>
      <c r="AD128" s="4">
        <v>479090</v>
      </c>
      <c r="AE128" s="4">
        <v>481693</v>
      </c>
      <c r="AF128" s="4">
        <v>963386</v>
      </c>
      <c r="AG128" s="4">
        <v>1445079</v>
      </c>
      <c r="AH128" s="4">
        <v>1926772</v>
      </c>
      <c r="AI128" s="4">
        <v>2405864</v>
      </c>
      <c r="AJ128" s="4">
        <v>2884956</v>
      </c>
      <c r="AK128" s="4">
        <v>3364048</v>
      </c>
      <c r="AL128" s="4">
        <v>3843140</v>
      </c>
      <c r="AM128" s="4">
        <v>4322232</v>
      </c>
      <c r="AN128" s="4">
        <v>4801322</v>
      </c>
      <c r="AO128" s="150">
        <v>346878</v>
      </c>
    </row>
    <row r="129" spans="1:41" x14ac:dyDescent="0.2">
      <c r="A129" s="1">
        <v>2024</v>
      </c>
      <c r="B129" s="2" t="s">
        <v>148</v>
      </c>
      <c r="C129" s="2" t="s">
        <v>148</v>
      </c>
      <c r="D129" s="1" t="s">
        <v>500</v>
      </c>
      <c r="E129" s="3">
        <v>2548789</v>
      </c>
      <c r="F129" s="1">
        <v>564</v>
      </c>
      <c r="G129" s="1">
        <v>0</v>
      </c>
      <c r="H129" s="3">
        <v>9190</v>
      </c>
      <c r="I129" s="1">
        <v>0</v>
      </c>
      <c r="J129" s="3">
        <v>2548225</v>
      </c>
      <c r="K129" s="3">
        <v>2539035</v>
      </c>
      <c r="L129" s="3">
        <v>2539035</v>
      </c>
      <c r="M129" s="3">
        <v>129231</v>
      </c>
      <c r="N129" s="3">
        <v>273060</v>
      </c>
      <c r="O129" s="3">
        <v>33276</v>
      </c>
      <c r="P129" s="3">
        <v>28219</v>
      </c>
      <c r="Q129" s="3">
        <v>147449</v>
      </c>
      <c r="R129" s="3">
        <v>1936990</v>
      </c>
      <c r="S129" s="3">
        <v>1927800</v>
      </c>
      <c r="T129" s="3">
        <v>1927800</v>
      </c>
      <c r="U129" s="3">
        <v>254823</v>
      </c>
      <c r="V129" s="3">
        <v>254823</v>
      </c>
      <c r="W129" s="3">
        <v>254823</v>
      </c>
      <c r="X129" s="3">
        <v>254823</v>
      </c>
      <c r="Y129" s="3">
        <v>253291</v>
      </c>
      <c r="Z129" s="3">
        <v>253291</v>
      </c>
      <c r="AA129" s="4">
        <v>253290</v>
      </c>
      <c r="AB129" s="4">
        <v>253290</v>
      </c>
      <c r="AC129" s="4">
        <v>253290</v>
      </c>
      <c r="AD129" s="4">
        <v>253291</v>
      </c>
      <c r="AE129" s="4">
        <v>254823</v>
      </c>
      <c r="AF129" s="4">
        <v>509646</v>
      </c>
      <c r="AG129" s="4">
        <v>764469</v>
      </c>
      <c r="AH129" s="4">
        <v>1019292</v>
      </c>
      <c r="AI129" s="4">
        <v>1272583</v>
      </c>
      <c r="AJ129" s="4">
        <v>1525874</v>
      </c>
      <c r="AK129" s="4">
        <v>1779164</v>
      </c>
      <c r="AL129" s="4">
        <v>2032454</v>
      </c>
      <c r="AM129" s="4">
        <v>2285744</v>
      </c>
      <c r="AN129" s="4">
        <v>2539035</v>
      </c>
      <c r="AO129" s="150">
        <v>187143</v>
      </c>
    </row>
    <row r="130" spans="1:41" x14ac:dyDescent="0.2">
      <c r="A130" s="1">
        <v>2024</v>
      </c>
      <c r="B130" s="2" t="s">
        <v>149</v>
      </c>
      <c r="C130" s="2" t="s">
        <v>149</v>
      </c>
      <c r="D130" s="1" t="s">
        <v>501</v>
      </c>
      <c r="E130" s="3">
        <v>3591223</v>
      </c>
      <c r="F130" s="1">
        <v>398</v>
      </c>
      <c r="G130" s="1">
        <v>0</v>
      </c>
      <c r="H130" s="3">
        <v>14744</v>
      </c>
      <c r="I130" s="1">
        <v>0</v>
      </c>
      <c r="J130" s="3">
        <v>3590825</v>
      </c>
      <c r="K130" s="3">
        <v>3576081</v>
      </c>
      <c r="L130" s="3">
        <v>3576081</v>
      </c>
      <c r="M130" s="3">
        <v>91222</v>
      </c>
      <c r="N130" s="3">
        <v>422999</v>
      </c>
      <c r="O130" s="3">
        <v>44028</v>
      </c>
      <c r="P130" s="3">
        <v>47879</v>
      </c>
      <c r="Q130" s="3">
        <v>236559</v>
      </c>
      <c r="R130" s="3">
        <v>2748138</v>
      </c>
      <c r="S130" s="3">
        <v>2733394</v>
      </c>
      <c r="T130" s="3">
        <v>2733394</v>
      </c>
      <c r="U130" s="3">
        <v>359083</v>
      </c>
      <c r="V130" s="3">
        <v>359083</v>
      </c>
      <c r="W130" s="3">
        <v>359083</v>
      </c>
      <c r="X130" s="3">
        <v>359083</v>
      </c>
      <c r="Y130" s="3">
        <v>356625</v>
      </c>
      <c r="Z130" s="3">
        <v>356625</v>
      </c>
      <c r="AA130" s="4">
        <v>356625</v>
      </c>
      <c r="AB130" s="4">
        <v>356625</v>
      </c>
      <c r="AC130" s="4">
        <v>356625</v>
      </c>
      <c r="AD130" s="4">
        <v>356624</v>
      </c>
      <c r="AE130" s="4">
        <v>359083</v>
      </c>
      <c r="AF130" s="4">
        <v>718166</v>
      </c>
      <c r="AG130" s="4">
        <v>1077249</v>
      </c>
      <c r="AH130" s="4">
        <v>1436332</v>
      </c>
      <c r="AI130" s="4">
        <v>1792957</v>
      </c>
      <c r="AJ130" s="4">
        <v>2149582</v>
      </c>
      <c r="AK130" s="4">
        <v>2506207</v>
      </c>
      <c r="AL130" s="4">
        <v>2862832</v>
      </c>
      <c r="AM130" s="4">
        <v>3219457</v>
      </c>
      <c r="AN130" s="4">
        <v>3576081</v>
      </c>
      <c r="AO130" s="150">
        <v>311854</v>
      </c>
    </row>
    <row r="131" spans="1:41" x14ac:dyDescent="0.2">
      <c r="A131" s="1">
        <v>2024</v>
      </c>
      <c r="B131" s="2" t="s">
        <v>150</v>
      </c>
      <c r="C131" s="2" t="s">
        <v>150</v>
      </c>
      <c r="D131" s="1" t="s">
        <v>5</v>
      </c>
      <c r="E131" s="3">
        <v>1951253</v>
      </c>
      <c r="F131" s="3">
        <v>282</v>
      </c>
      <c r="G131" s="3">
        <v>0</v>
      </c>
      <c r="H131" s="3">
        <v>7197</v>
      </c>
      <c r="I131" s="1">
        <v>0</v>
      </c>
      <c r="J131" s="3">
        <v>1950971</v>
      </c>
      <c r="K131" s="3">
        <v>1943774</v>
      </c>
      <c r="L131" s="3">
        <v>1943774</v>
      </c>
      <c r="M131" s="3">
        <v>64616</v>
      </c>
      <c r="N131" s="3">
        <v>215688</v>
      </c>
      <c r="O131" s="3">
        <v>22943</v>
      </c>
      <c r="P131" s="3">
        <v>22440</v>
      </c>
      <c r="Q131" s="3">
        <v>116786</v>
      </c>
      <c r="R131" s="3">
        <v>1508498</v>
      </c>
      <c r="S131" s="3">
        <v>1501301</v>
      </c>
      <c r="T131" s="3">
        <v>1501301</v>
      </c>
      <c r="U131" s="3">
        <v>195097</v>
      </c>
      <c r="V131" s="3">
        <v>195097</v>
      </c>
      <c r="W131" s="3">
        <v>195097</v>
      </c>
      <c r="X131" s="3">
        <v>195097</v>
      </c>
      <c r="Y131" s="3">
        <v>193898</v>
      </c>
      <c r="Z131" s="3">
        <v>193898</v>
      </c>
      <c r="AA131" s="4">
        <v>193898</v>
      </c>
      <c r="AB131" s="4">
        <v>193898</v>
      </c>
      <c r="AC131" s="4">
        <v>193898</v>
      </c>
      <c r="AD131" s="4">
        <v>193896</v>
      </c>
      <c r="AE131" s="4">
        <v>195097</v>
      </c>
      <c r="AF131" s="4">
        <v>390194</v>
      </c>
      <c r="AG131" s="4">
        <v>585291</v>
      </c>
      <c r="AH131" s="4">
        <v>780388</v>
      </c>
      <c r="AI131" s="4">
        <v>974286</v>
      </c>
      <c r="AJ131" s="4">
        <v>1168184</v>
      </c>
      <c r="AK131" s="4">
        <v>1362082</v>
      </c>
      <c r="AL131" s="4">
        <v>1555980</v>
      </c>
      <c r="AM131" s="4">
        <v>1749878</v>
      </c>
      <c r="AN131" s="4">
        <v>1943774</v>
      </c>
      <c r="AO131" s="150">
        <v>149095</v>
      </c>
    </row>
    <row r="132" spans="1:41" x14ac:dyDescent="0.2">
      <c r="A132" s="1">
        <v>2024</v>
      </c>
      <c r="B132" s="2" t="s">
        <v>151</v>
      </c>
      <c r="C132" s="2" t="s">
        <v>151</v>
      </c>
      <c r="D132" s="1" t="s">
        <v>502</v>
      </c>
      <c r="E132" s="3">
        <v>1426448</v>
      </c>
      <c r="F132" s="1">
        <v>182</v>
      </c>
      <c r="G132" s="3">
        <v>204343</v>
      </c>
      <c r="H132" s="3">
        <v>5191</v>
      </c>
      <c r="I132" s="1">
        <v>0</v>
      </c>
      <c r="J132" s="3">
        <v>1221923</v>
      </c>
      <c r="K132" s="3">
        <v>1216732</v>
      </c>
      <c r="L132" s="3">
        <v>1216732</v>
      </c>
      <c r="M132" s="3">
        <v>41811</v>
      </c>
      <c r="N132" s="3">
        <v>151036</v>
      </c>
      <c r="O132" s="3">
        <v>17736</v>
      </c>
      <c r="P132" s="3">
        <v>15761</v>
      </c>
      <c r="Q132" s="3">
        <v>83288</v>
      </c>
      <c r="R132" s="3">
        <v>912291</v>
      </c>
      <c r="S132" s="3">
        <v>907100</v>
      </c>
      <c r="T132" s="3">
        <v>907100</v>
      </c>
      <c r="U132" s="3">
        <v>122192</v>
      </c>
      <c r="V132" s="3">
        <v>122192</v>
      </c>
      <c r="W132" s="3">
        <v>122192</v>
      </c>
      <c r="X132" s="3">
        <v>122192</v>
      </c>
      <c r="Y132" s="3">
        <v>121327</v>
      </c>
      <c r="Z132" s="3">
        <v>121327</v>
      </c>
      <c r="AA132" s="4">
        <v>121328</v>
      </c>
      <c r="AB132" s="4">
        <v>121328</v>
      </c>
      <c r="AC132" s="4">
        <v>121328</v>
      </c>
      <c r="AD132" s="4">
        <v>121326</v>
      </c>
      <c r="AE132" s="4">
        <v>122192</v>
      </c>
      <c r="AF132" s="4">
        <v>244384</v>
      </c>
      <c r="AG132" s="4">
        <v>366576</v>
      </c>
      <c r="AH132" s="4">
        <v>488768</v>
      </c>
      <c r="AI132" s="4">
        <v>610095</v>
      </c>
      <c r="AJ132" s="4">
        <v>731422</v>
      </c>
      <c r="AK132" s="4">
        <v>852750</v>
      </c>
      <c r="AL132" s="4">
        <v>974078</v>
      </c>
      <c r="AM132" s="4">
        <v>1095406</v>
      </c>
      <c r="AN132" s="4">
        <v>1216732</v>
      </c>
      <c r="AO132" s="150">
        <v>105549</v>
      </c>
    </row>
    <row r="133" spans="1:41" x14ac:dyDescent="0.2">
      <c r="A133" s="1">
        <v>2024</v>
      </c>
      <c r="B133" s="2" t="s">
        <v>152</v>
      </c>
      <c r="C133" s="2" t="s">
        <v>152</v>
      </c>
      <c r="D133" s="1" t="s">
        <v>503</v>
      </c>
      <c r="E133" s="3">
        <v>8008227</v>
      </c>
      <c r="F133" s="3">
        <v>896</v>
      </c>
      <c r="G133" s="3">
        <v>0</v>
      </c>
      <c r="H133" s="3">
        <v>25715</v>
      </c>
      <c r="I133" s="1">
        <v>0</v>
      </c>
      <c r="J133" s="3">
        <v>8007331</v>
      </c>
      <c r="K133" s="3">
        <v>7981616</v>
      </c>
      <c r="L133" s="3">
        <v>7981616</v>
      </c>
      <c r="M133" s="3">
        <v>205249</v>
      </c>
      <c r="N133" s="3">
        <v>760599</v>
      </c>
      <c r="O133" s="3">
        <v>97598</v>
      </c>
      <c r="P133" s="3">
        <v>82798</v>
      </c>
      <c r="Q133" s="3">
        <v>412569</v>
      </c>
      <c r="R133" s="3">
        <v>6448518</v>
      </c>
      <c r="S133" s="3">
        <v>6422803</v>
      </c>
      <c r="T133" s="3">
        <v>6422803</v>
      </c>
      <c r="U133" s="3">
        <v>800733</v>
      </c>
      <c r="V133" s="3">
        <v>800733</v>
      </c>
      <c r="W133" s="3">
        <v>800733</v>
      </c>
      <c r="X133" s="3">
        <v>800733</v>
      </c>
      <c r="Y133" s="3">
        <v>796447</v>
      </c>
      <c r="Z133" s="3">
        <v>796447</v>
      </c>
      <c r="AA133" s="4">
        <v>796448</v>
      </c>
      <c r="AB133" s="4">
        <v>796448</v>
      </c>
      <c r="AC133" s="4">
        <v>796448</v>
      </c>
      <c r="AD133" s="4">
        <v>796446</v>
      </c>
      <c r="AE133" s="4">
        <v>800733</v>
      </c>
      <c r="AF133" s="4">
        <v>1601466</v>
      </c>
      <c r="AG133" s="4">
        <v>2402199</v>
      </c>
      <c r="AH133" s="4">
        <v>3202932</v>
      </c>
      <c r="AI133" s="4">
        <v>3999379</v>
      </c>
      <c r="AJ133" s="4">
        <v>4795826</v>
      </c>
      <c r="AK133" s="4">
        <v>5592274</v>
      </c>
      <c r="AL133" s="4">
        <v>6388722</v>
      </c>
      <c r="AM133" s="4">
        <v>7185170</v>
      </c>
      <c r="AN133" s="4">
        <v>7981616</v>
      </c>
      <c r="AO133" s="150">
        <v>560399</v>
      </c>
    </row>
    <row r="134" spans="1:41" x14ac:dyDescent="0.2">
      <c r="A134" s="1">
        <v>2024</v>
      </c>
      <c r="B134" s="2" t="s">
        <v>153</v>
      </c>
      <c r="C134" s="2" t="s">
        <v>153</v>
      </c>
      <c r="D134" s="1" t="s">
        <v>504</v>
      </c>
      <c r="E134" s="3">
        <v>9523192</v>
      </c>
      <c r="F134" s="3">
        <v>1360</v>
      </c>
      <c r="G134" s="3">
        <v>0</v>
      </c>
      <c r="H134" s="3">
        <v>31591</v>
      </c>
      <c r="I134" s="1">
        <v>0</v>
      </c>
      <c r="J134" s="3">
        <v>9521832</v>
      </c>
      <c r="K134" s="3">
        <v>9490241</v>
      </c>
      <c r="L134" s="3">
        <v>9490241</v>
      </c>
      <c r="M134" s="3">
        <v>311675</v>
      </c>
      <c r="N134" s="3">
        <v>900643</v>
      </c>
      <c r="O134" s="3">
        <v>105472</v>
      </c>
      <c r="P134" s="3">
        <v>105334</v>
      </c>
      <c r="Q134" s="3">
        <v>506839</v>
      </c>
      <c r="R134" s="3">
        <v>7591869</v>
      </c>
      <c r="S134" s="3">
        <v>7560278</v>
      </c>
      <c r="T134" s="3">
        <v>7560278</v>
      </c>
      <c r="U134" s="3">
        <v>952183</v>
      </c>
      <c r="V134" s="3">
        <v>952183</v>
      </c>
      <c r="W134" s="3">
        <v>952183</v>
      </c>
      <c r="X134" s="3">
        <v>952183</v>
      </c>
      <c r="Y134" s="3">
        <v>946918</v>
      </c>
      <c r="Z134" s="3">
        <v>946918</v>
      </c>
      <c r="AA134" s="4">
        <v>946918</v>
      </c>
      <c r="AB134" s="4">
        <v>946918</v>
      </c>
      <c r="AC134" s="4">
        <v>946918</v>
      </c>
      <c r="AD134" s="4">
        <v>946919</v>
      </c>
      <c r="AE134" s="4">
        <v>952183</v>
      </c>
      <c r="AF134" s="4">
        <v>1904366</v>
      </c>
      <c r="AG134" s="4">
        <v>2856549</v>
      </c>
      <c r="AH134" s="4">
        <v>3808732</v>
      </c>
      <c r="AI134" s="4">
        <v>4755650</v>
      </c>
      <c r="AJ134" s="4">
        <v>5702568</v>
      </c>
      <c r="AK134" s="4">
        <v>6649486</v>
      </c>
      <c r="AL134" s="4">
        <v>7596404</v>
      </c>
      <c r="AM134" s="4">
        <v>8543322</v>
      </c>
      <c r="AN134" s="4">
        <v>9490241</v>
      </c>
      <c r="AO134" s="150">
        <v>672008</v>
      </c>
    </row>
    <row r="135" spans="1:41" x14ac:dyDescent="0.2">
      <c r="A135" s="1">
        <v>2024</v>
      </c>
      <c r="B135" s="2" t="s">
        <v>155</v>
      </c>
      <c r="C135" s="2" t="s">
        <v>155</v>
      </c>
      <c r="D135" s="1" t="s">
        <v>505</v>
      </c>
      <c r="E135" s="3">
        <v>1141706</v>
      </c>
      <c r="F135" s="3">
        <v>249</v>
      </c>
      <c r="G135" s="3">
        <v>0</v>
      </c>
      <c r="H135" s="3">
        <v>6753</v>
      </c>
      <c r="I135" s="1">
        <v>0</v>
      </c>
      <c r="J135" s="3">
        <v>1141457</v>
      </c>
      <c r="K135" s="3">
        <v>1134704</v>
      </c>
      <c r="L135" s="3">
        <v>1134704</v>
      </c>
      <c r="M135" s="3">
        <v>57014</v>
      </c>
      <c r="N135" s="3">
        <v>200490</v>
      </c>
      <c r="O135" s="3">
        <v>26863</v>
      </c>
      <c r="P135" s="3">
        <v>21103</v>
      </c>
      <c r="Q135" s="3">
        <v>108348</v>
      </c>
      <c r="R135" s="3">
        <v>727639</v>
      </c>
      <c r="S135" s="3">
        <v>720886</v>
      </c>
      <c r="T135" s="3">
        <v>720886</v>
      </c>
      <c r="U135" s="3">
        <v>114146</v>
      </c>
      <c r="V135" s="3">
        <v>114146</v>
      </c>
      <c r="W135" s="3">
        <v>114146</v>
      </c>
      <c r="X135" s="3">
        <v>114146</v>
      </c>
      <c r="Y135" s="3">
        <v>113020</v>
      </c>
      <c r="Z135" s="3">
        <v>113020</v>
      </c>
      <c r="AA135" s="4">
        <v>113020</v>
      </c>
      <c r="AB135" s="4">
        <v>113020</v>
      </c>
      <c r="AC135" s="4">
        <v>113020</v>
      </c>
      <c r="AD135" s="4">
        <v>113020</v>
      </c>
      <c r="AE135" s="4">
        <v>114146</v>
      </c>
      <c r="AF135" s="4">
        <v>228292</v>
      </c>
      <c r="AG135" s="4">
        <v>342438</v>
      </c>
      <c r="AH135" s="4">
        <v>456584</v>
      </c>
      <c r="AI135" s="4">
        <v>569604</v>
      </c>
      <c r="AJ135" s="4">
        <v>682624</v>
      </c>
      <c r="AK135" s="4">
        <v>795644</v>
      </c>
      <c r="AL135" s="4">
        <v>908664</v>
      </c>
      <c r="AM135" s="4">
        <v>1021684</v>
      </c>
      <c r="AN135" s="4">
        <v>1134704</v>
      </c>
      <c r="AO135" s="150">
        <v>143930</v>
      </c>
    </row>
    <row r="136" spans="1:41" x14ac:dyDescent="0.2">
      <c r="A136" s="1">
        <v>2024</v>
      </c>
      <c r="B136" s="2" t="s">
        <v>156</v>
      </c>
      <c r="C136" s="2" t="s">
        <v>156</v>
      </c>
      <c r="D136" s="1" t="s">
        <v>506</v>
      </c>
      <c r="E136" s="3">
        <v>3254577</v>
      </c>
      <c r="F136" s="3">
        <v>614</v>
      </c>
      <c r="G136" s="3">
        <v>0</v>
      </c>
      <c r="H136" s="3">
        <v>14740</v>
      </c>
      <c r="I136" s="1">
        <v>0</v>
      </c>
      <c r="J136" s="3">
        <v>3253963</v>
      </c>
      <c r="K136" s="3">
        <v>3239223</v>
      </c>
      <c r="L136" s="3">
        <v>3239223</v>
      </c>
      <c r="M136" s="3">
        <v>140634</v>
      </c>
      <c r="N136" s="3">
        <v>441977</v>
      </c>
      <c r="O136" s="3">
        <v>45548</v>
      </c>
      <c r="P136" s="3">
        <v>47941</v>
      </c>
      <c r="Q136" s="3">
        <v>236486</v>
      </c>
      <c r="R136" s="3">
        <v>2341377</v>
      </c>
      <c r="S136" s="3">
        <v>2326637</v>
      </c>
      <c r="T136" s="3">
        <v>2326637</v>
      </c>
      <c r="U136" s="3">
        <v>325396</v>
      </c>
      <c r="V136" s="3">
        <v>325396</v>
      </c>
      <c r="W136" s="3">
        <v>325396</v>
      </c>
      <c r="X136" s="3">
        <v>325396</v>
      </c>
      <c r="Y136" s="3">
        <v>322940</v>
      </c>
      <c r="Z136" s="3">
        <v>322940</v>
      </c>
      <c r="AA136" s="4">
        <v>322940</v>
      </c>
      <c r="AB136" s="4">
        <v>322940</v>
      </c>
      <c r="AC136" s="4">
        <v>322940</v>
      </c>
      <c r="AD136" s="4">
        <v>322939</v>
      </c>
      <c r="AE136" s="4">
        <v>325396</v>
      </c>
      <c r="AF136" s="4">
        <v>650792</v>
      </c>
      <c r="AG136" s="4">
        <v>976188</v>
      </c>
      <c r="AH136" s="4">
        <v>1301584</v>
      </c>
      <c r="AI136" s="4">
        <v>1624524</v>
      </c>
      <c r="AJ136" s="4">
        <v>1947464</v>
      </c>
      <c r="AK136" s="4">
        <v>2270404</v>
      </c>
      <c r="AL136" s="4">
        <v>2593344</v>
      </c>
      <c r="AM136" s="4">
        <v>2916284</v>
      </c>
      <c r="AN136" s="4">
        <v>3239223</v>
      </c>
      <c r="AO136" s="150">
        <v>331550</v>
      </c>
    </row>
    <row r="137" spans="1:41" x14ac:dyDescent="0.2">
      <c r="A137" s="1">
        <v>2024</v>
      </c>
      <c r="B137" s="2" t="s">
        <v>157</v>
      </c>
      <c r="C137" s="2" t="s">
        <v>157</v>
      </c>
      <c r="D137" s="1" t="s">
        <v>507</v>
      </c>
      <c r="E137" s="3">
        <v>3481668</v>
      </c>
      <c r="F137" s="1">
        <v>580</v>
      </c>
      <c r="G137" s="1">
        <v>0</v>
      </c>
      <c r="H137" s="3">
        <v>13392</v>
      </c>
      <c r="I137" s="1">
        <v>0</v>
      </c>
      <c r="J137" s="3">
        <v>3481088</v>
      </c>
      <c r="K137" s="3">
        <v>3467696</v>
      </c>
      <c r="L137" s="3">
        <v>3467696</v>
      </c>
      <c r="M137" s="3">
        <v>129326</v>
      </c>
      <c r="N137" s="3">
        <v>400643</v>
      </c>
      <c r="O137" s="3">
        <v>47485</v>
      </c>
      <c r="P137" s="3">
        <v>42681</v>
      </c>
      <c r="Q137" s="3">
        <v>214853</v>
      </c>
      <c r="R137" s="3">
        <v>2646100</v>
      </c>
      <c r="S137" s="3">
        <v>2632708</v>
      </c>
      <c r="T137" s="3">
        <v>2632708</v>
      </c>
      <c r="U137" s="3">
        <v>348109</v>
      </c>
      <c r="V137" s="3">
        <v>348109</v>
      </c>
      <c r="W137" s="3">
        <v>348109</v>
      </c>
      <c r="X137" s="3">
        <v>348109</v>
      </c>
      <c r="Y137" s="3">
        <v>345877</v>
      </c>
      <c r="Z137" s="3">
        <v>345877</v>
      </c>
      <c r="AA137" s="4">
        <v>345877</v>
      </c>
      <c r="AB137" s="4">
        <v>345877</v>
      </c>
      <c r="AC137" s="4">
        <v>345877</v>
      </c>
      <c r="AD137" s="4">
        <v>345875</v>
      </c>
      <c r="AE137" s="4">
        <v>348109</v>
      </c>
      <c r="AF137" s="4">
        <v>696218</v>
      </c>
      <c r="AG137" s="4">
        <v>1044327</v>
      </c>
      <c r="AH137" s="4">
        <v>1392436</v>
      </c>
      <c r="AI137" s="4">
        <v>1738313</v>
      </c>
      <c r="AJ137" s="4">
        <v>2084190</v>
      </c>
      <c r="AK137" s="4">
        <v>2430067</v>
      </c>
      <c r="AL137" s="4">
        <v>2775944</v>
      </c>
      <c r="AM137" s="4">
        <v>3121821</v>
      </c>
      <c r="AN137" s="4">
        <v>3467696</v>
      </c>
      <c r="AO137" s="150">
        <v>276573</v>
      </c>
    </row>
    <row r="138" spans="1:41" x14ac:dyDescent="0.2">
      <c r="A138" s="1">
        <v>2024</v>
      </c>
      <c r="B138" s="2" t="s">
        <v>158</v>
      </c>
      <c r="C138" s="2" t="s">
        <v>158</v>
      </c>
      <c r="D138" s="1" t="s">
        <v>508</v>
      </c>
      <c r="E138" s="3">
        <v>3695278</v>
      </c>
      <c r="F138" s="1">
        <v>580</v>
      </c>
      <c r="G138" s="1">
        <v>0</v>
      </c>
      <c r="H138" s="3">
        <v>12797</v>
      </c>
      <c r="I138" s="3">
        <v>0</v>
      </c>
      <c r="J138" s="3">
        <v>3694698</v>
      </c>
      <c r="K138" s="3">
        <v>3681901</v>
      </c>
      <c r="L138" s="3">
        <v>3681901</v>
      </c>
      <c r="M138" s="3">
        <v>133033</v>
      </c>
      <c r="N138" s="3">
        <v>377708</v>
      </c>
      <c r="O138" s="3">
        <v>45760</v>
      </c>
      <c r="P138" s="3">
        <v>42451</v>
      </c>
      <c r="Q138" s="3">
        <v>205308</v>
      </c>
      <c r="R138" s="3">
        <v>2890438</v>
      </c>
      <c r="S138" s="3">
        <v>2877641</v>
      </c>
      <c r="T138" s="3">
        <v>2877641</v>
      </c>
      <c r="U138" s="3">
        <v>369470</v>
      </c>
      <c r="V138" s="3">
        <v>369470</v>
      </c>
      <c r="W138" s="3">
        <v>369470</v>
      </c>
      <c r="X138" s="3">
        <v>369470</v>
      </c>
      <c r="Y138" s="3">
        <v>367337</v>
      </c>
      <c r="Z138" s="3">
        <v>367337</v>
      </c>
      <c r="AA138" s="4">
        <v>367337</v>
      </c>
      <c r="AB138" s="4">
        <v>367337</v>
      </c>
      <c r="AC138" s="4">
        <v>367337</v>
      </c>
      <c r="AD138" s="4">
        <v>367336</v>
      </c>
      <c r="AE138" s="4">
        <v>369470</v>
      </c>
      <c r="AF138" s="4">
        <v>738940</v>
      </c>
      <c r="AG138" s="4">
        <v>1108410</v>
      </c>
      <c r="AH138" s="4">
        <v>1477880</v>
      </c>
      <c r="AI138" s="4">
        <v>1845217</v>
      </c>
      <c r="AJ138" s="4">
        <v>2212554</v>
      </c>
      <c r="AK138" s="4">
        <v>2579891</v>
      </c>
      <c r="AL138" s="4">
        <v>2947228</v>
      </c>
      <c r="AM138" s="4">
        <v>3314565</v>
      </c>
      <c r="AN138" s="4">
        <v>3681901</v>
      </c>
      <c r="AO138" s="150">
        <v>271440</v>
      </c>
    </row>
    <row r="139" spans="1:41" x14ac:dyDescent="0.2">
      <c r="A139" s="1">
        <v>2024</v>
      </c>
      <c r="B139" s="2" t="s">
        <v>159</v>
      </c>
      <c r="C139" s="2" t="s">
        <v>159</v>
      </c>
      <c r="D139" s="1" t="s">
        <v>509</v>
      </c>
      <c r="E139" s="3">
        <v>7475304</v>
      </c>
      <c r="F139" s="3">
        <v>1045</v>
      </c>
      <c r="G139" s="3">
        <v>0</v>
      </c>
      <c r="H139" s="3">
        <v>26455</v>
      </c>
      <c r="I139" s="1">
        <v>0</v>
      </c>
      <c r="J139" s="3">
        <v>7474259</v>
      </c>
      <c r="K139" s="3">
        <v>7447804</v>
      </c>
      <c r="L139" s="3">
        <v>7447804</v>
      </c>
      <c r="M139" s="3">
        <v>239458</v>
      </c>
      <c r="N139" s="3">
        <v>779655</v>
      </c>
      <c r="O139" s="3">
        <v>83982</v>
      </c>
      <c r="P139" s="3">
        <v>84408</v>
      </c>
      <c r="Q139" s="3">
        <v>424436</v>
      </c>
      <c r="R139" s="3">
        <v>5862320</v>
      </c>
      <c r="S139" s="3">
        <v>5835865</v>
      </c>
      <c r="T139" s="3">
        <v>5835865</v>
      </c>
      <c r="U139" s="3">
        <v>747426</v>
      </c>
      <c r="V139" s="3">
        <v>747426</v>
      </c>
      <c r="W139" s="3">
        <v>747426</v>
      </c>
      <c r="X139" s="3">
        <v>747426</v>
      </c>
      <c r="Y139" s="3">
        <v>743017</v>
      </c>
      <c r="Z139" s="3">
        <v>743017</v>
      </c>
      <c r="AA139" s="4">
        <v>743017</v>
      </c>
      <c r="AB139" s="4">
        <v>743017</v>
      </c>
      <c r="AC139" s="4">
        <v>743017</v>
      </c>
      <c r="AD139" s="4">
        <v>743015</v>
      </c>
      <c r="AE139" s="4">
        <v>747426</v>
      </c>
      <c r="AF139" s="4">
        <v>1494852</v>
      </c>
      <c r="AG139" s="4">
        <v>2242278</v>
      </c>
      <c r="AH139" s="4">
        <v>2989704</v>
      </c>
      <c r="AI139" s="4">
        <v>3732721</v>
      </c>
      <c r="AJ139" s="4">
        <v>4475738</v>
      </c>
      <c r="AK139" s="4">
        <v>5218755</v>
      </c>
      <c r="AL139" s="4">
        <v>5961772</v>
      </c>
      <c r="AM139" s="4">
        <v>6704789</v>
      </c>
      <c r="AN139" s="4">
        <v>7447804</v>
      </c>
      <c r="AO139" s="150">
        <v>581221</v>
      </c>
    </row>
    <row r="140" spans="1:41" x14ac:dyDescent="0.2">
      <c r="A140" s="1">
        <v>2024</v>
      </c>
      <c r="B140" s="2" t="s">
        <v>160</v>
      </c>
      <c r="C140" s="2" t="s">
        <v>160</v>
      </c>
      <c r="D140" s="1" t="s">
        <v>510</v>
      </c>
      <c r="E140" s="3">
        <v>1963037</v>
      </c>
      <c r="F140" s="1">
        <v>431</v>
      </c>
      <c r="G140" s="1">
        <v>0</v>
      </c>
      <c r="H140" s="3">
        <v>9459</v>
      </c>
      <c r="I140" s="1">
        <v>0</v>
      </c>
      <c r="J140" s="3">
        <v>1962606</v>
      </c>
      <c r="K140" s="3">
        <v>1953147</v>
      </c>
      <c r="L140" s="3">
        <v>1953147</v>
      </c>
      <c r="M140" s="3">
        <v>98824</v>
      </c>
      <c r="N140" s="3">
        <v>267526</v>
      </c>
      <c r="O140" s="3">
        <v>27294</v>
      </c>
      <c r="P140" s="3">
        <v>23732</v>
      </c>
      <c r="Q140" s="3">
        <v>151761</v>
      </c>
      <c r="R140" s="3">
        <v>1393469</v>
      </c>
      <c r="S140" s="3">
        <v>1384010</v>
      </c>
      <c r="T140" s="3">
        <v>1384010</v>
      </c>
      <c r="U140" s="3">
        <v>196261</v>
      </c>
      <c r="V140" s="3">
        <v>196261</v>
      </c>
      <c r="W140" s="3">
        <v>196261</v>
      </c>
      <c r="X140" s="3">
        <v>196261</v>
      </c>
      <c r="Y140" s="3">
        <v>194684</v>
      </c>
      <c r="Z140" s="3">
        <v>194684</v>
      </c>
      <c r="AA140" s="4">
        <v>194684</v>
      </c>
      <c r="AB140" s="4">
        <v>194684</v>
      </c>
      <c r="AC140" s="4">
        <v>194684</v>
      </c>
      <c r="AD140" s="4">
        <v>194683</v>
      </c>
      <c r="AE140" s="4">
        <v>196261</v>
      </c>
      <c r="AF140" s="4">
        <v>392522</v>
      </c>
      <c r="AG140" s="4">
        <v>588783</v>
      </c>
      <c r="AH140" s="4">
        <v>785044</v>
      </c>
      <c r="AI140" s="4">
        <v>979728</v>
      </c>
      <c r="AJ140" s="4">
        <v>1174412</v>
      </c>
      <c r="AK140" s="4">
        <v>1369096</v>
      </c>
      <c r="AL140" s="4">
        <v>1563780</v>
      </c>
      <c r="AM140" s="4">
        <v>1758464</v>
      </c>
      <c r="AN140" s="4">
        <v>1953147</v>
      </c>
      <c r="AO140" s="150">
        <v>197508</v>
      </c>
    </row>
    <row r="141" spans="1:41" x14ac:dyDescent="0.2">
      <c r="A141" s="1">
        <v>2024</v>
      </c>
      <c r="B141" s="2" t="s">
        <v>161</v>
      </c>
      <c r="C141" s="2" t="s">
        <v>161</v>
      </c>
      <c r="D141" s="1" t="s">
        <v>511</v>
      </c>
      <c r="E141" s="3">
        <v>5590895</v>
      </c>
      <c r="F141" s="3">
        <v>680</v>
      </c>
      <c r="G141" s="3">
        <v>0</v>
      </c>
      <c r="H141" s="3">
        <v>16417</v>
      </c>
      <c r="I141" s="1">
        <v>0</v>
      </c>
      <c r="J141" s="3">
        <v>5590215</v>
      </c>
      <c r="K141" s="3">
        <v>5573798</v>
      </c>
      <c r="L141" s="3">
        <v>5573798</v>
      </c>
      <c r="M141" s="3">
        <v>155838</v>
      </c>
      <c r="N141" s="3">
        <v>501291</v>
      </c>
      <c r="O141" s="3">
        <v>46062</v>
      </c>
      <c r="P141" s="3">
        <v>56747</v>
      </c>
      <c r="Q141" s="3">
        <v>263388</v>
      </c>
      <c r="R141" s="3">
        <v>4566889</v>
      </c>
      <c r="S141" s="3">
        <v>4550472</v>
      </c>
      <c r="T141" s="3">
        <v>4550472</v>
      </c>
      <c r="U141" s="3">
        <v>559022</v>
      </c>
      <c r="V141" s="3">
        <v>559022</v>
      </c>
      <c r="W141" s="3">
        <v>559022</v>
      </c>
      <c r="X141" s="3">
        <v>559022</v>
      </c>
      <c r="Y141" s="3">
        <v>556285</v>
      </c>
      <c r="Z141" s="3">
        <v>556285</v>
      </c>
      <c r="AA141" s="4">
        <v>556285</v>
      </c>
      <c r="AB141" s="4">
        <v>556285</v>
      </c>
      <c r="AC141" s="4">
        <v>556285</v>
      </c>
      <c r="AD141" s="4">
        <v>556285</v>
      </c>
      <c r="AE141" s="4">
        <v>559022</v>
      </c>
      <c r="AF141" s="4">
        <v>1118044</v>
      </c>
      <c r="AG141" s="4">
        <v>1677066</v>
      </c>
      <c r="AH141" s="4">
        <v>2236088</v>
      </c>
      <c r="AI141" s="4">
        <v>2792373</v>
      </c>
      <c r="AJ141" s="4">
        <v>3348658</v>
      </c>
      <c r="AK141" s="4">
        <v>3904943</v>
      </c>
      <c r="AL141" s="4">
        <v>4461228</v>
      </c>
      <c r="AM141" s="4">
        <v>5017513</v>
      </c>
      <c r="AN141" s="4">
        <v>5573798</v>
      </c>
      <c r="AO141" s="150">
        <v>358533</v>
      </c>
    </row>
    <row r="142" spans="1:41" x14ac:dyDescent="0.2">
      <c r="A142" s="1">
        <v>2024</v>
      </c>
      <c r="B142" s="2" t="s">
        <v>162</v>
      </c>
      <c r="C142" s="2" t="s">
        <v>162</v>
      </c>
      <c r="D142" s="1" t="s">
        <v>512</v>
      </c>
      <c r="E142" s="3">
        <v>8380694</v>
      </c>
      <c r="F142" s="3">
        <v>1194</v>
      </c>
      <c r="G142" s="3">
        <v>0</v>
      </c>
      <c r="H142" s="3">
        <v>28639</v>
      </c>
      <c r="I142" s="1">
        <v>0</v>
      </c>
      <c r="J142" s="3">
        <v>8379500</v>
      </c>
      <c r="K142" s="3">
        <v>8350861</v>
      </c>
      <c r="L142" s="3">
        <v>8350861</v>
      </c>
      <c r="M142" s="3">
        <v>273666</v>
      </c>
      <c r="N142" s="3">
        <v>835094</v>
      </c>
      <c r="O142" s="3">
        <v>101677</v>
      </c>
      <c r="P142" s="3">
        <v>91764</v>
      </c>
      <c r="Q142" s="3">
        <v>459483</v>
      </c>
      <c r="R142" s="3">
        <v>6617816</v>
      </c>
      <c r="S142" s="3">
        <v>6589177</v>
      </c>
      <c r="T142" s="3">
        <v>6589177</v>
      </c>
      <c r="U142" s="3">
        <v>837950</v>
      </c>
      <c r="V142" s="3">
        <v>837950</v>
      </c>
      <c r="W142" s="3">
        <v>837950</v>
      </c>
      <c r="X142" s="3">
        <v>837950</v>
      </c>
      <c r="Y142" s="3">
        <v>833177</v>
      </c>
      <c r="Z142" s="3">
        <v>833177</v>
      </c>
      <c r="AA142" s="4">
        <v>833177</v>
      </c>
      <c r="AB142" s="4">
        <v>833177</v>
      </c>
      <c r="AC142" s="4">
        <v>833177</v>
      </c>
      <c r="AD142" s="4">
        <v>833176</v>
      </c>
      <c r="AE142" s="4">
        <v>837950</v>
      </c>
      <c r="AF142" s="4">
        <v>1675900</v>
      </c>
      <c r="AG142" s="4">
        <v>2513850</v>
      </c>
      <c r="AH142" s="4">
        <v>3351800</v>
      </c>
      <c r="AI142" s="4">
        <v>4184977</v>
      </c>
      <c r="AJ142" s="4">
        <v>5018154</v>
      </c>
      <c r="AK142" s="4">
        <v>5851331</v>
      </c>
      <c r="AL142" s="4">
        <v>6684508</v>
      </c>
      <c r="AM142" s="4">
        <v>7517685</v>
      </c>
      <c r="AN142" s="4">
        <v>8350861</v>
      </c>
      <c r="AO142" s="150">
        <v>631606</v>
      </c>
    </row>
    <row r="143" spans="1:41" x14ac:dyDescent="0.2">
      <c r="A143" s="1">
        <v>2024</v>
      </c>
      <c r="B143" s="2" t="s">
        <v>163</v>
      </c>
      <c r="C143" s="2" t="s">
        <v>163</v>
      </c>
      <c r="D143" s="1" t="s">
        <v>513</v>
      </c>
      <c r="E143" s="3">
        <v>10232469</v>
      </c>
      <c r="F143" s="3">
        <v>1725</v>
      </c>
      <c r="G143" s="3">
        <v>0</v>
      </c>
      <c r="H143" s="3">
        <v>31784</v>
      </c>
      <c r="I143" s="1">
        <v>0</v>
      </c>
      <c r="J143" s="3">
        <v>10230744</v>
      </c>
      <c r="K143" s="3">
        <v>10198960</v>
      </c>
      <c r="L143" s="3">
        <v>10198960</v>
      </c>
      <c r="M143" s="3">
        <v>395295</v>
      </c>
      <c r="N143" s="3">
        <v>942922</v>
      </c>
      <c r="O143" s="3">
        <v>106254</v>
      </c>
      <c r="P143" s="3">
        <v>110530</v>
      </c>
      <c r="Q143" s="3">
        <v>509935</v>
      </c>
      <c r="R143" s="3">
        <v>8165808</v>
      </c>
      <c r="S143" s="3">
        <v>8134024</v>
      </c>
      <c r="T143" s="3">
        <v>8134024</v>
      </c>
      <c r="U143" s="3">
        <v>1023074</v>
      </c>
      <c r="V143" s="3">
        <v>1023074</v>
      </c>
      <c r="W143" s="3">
        <v>1023074</v>
      </c>
      <c r="X143" s="3">
        <v>1023074</v>
      </c>
      <c r="Y143" s="3">
        <v>1017777</v>
      </c>
      <c r="Z143" s="3">
        <v>1017777</v>
      </c>
      <c r="AA143" s="4">
        <v>1017778</v>
      </c>
      <c r="AB143" s="4">
        <v>1017778</v>
      </c>
      <c r="AC143" s="4">
        <v>1017778</v>
      </c>
      <c r="AD143" s="4">
        <v>1017776</v>
      </c>
      <c r="AE143" s="4">
        <v>1023074</v>
      </c>
      <c r="AF143" s="4">
        <v>2046148</v>
      </c>
      <c r="AG143" s="4">
        <v>3069222</v>
      </c>
      <c r="AH143" s="4">
        <v>4092296</v>
      </c>
      <c r="AI143" s="4">
        <v>5110073</v>
      </c>
      <c r="AJ143" s="4">
        <v>6127850</v>
      </c>
      <c r="AK143" s="4">
        <v>7145628</v>
      </c>
      <c r="AL143" s="4">
        <v>8163406</v>
      </c>
      <c r="AM143" s="4">
        <v>9181184</v>
      </c>
      <c r="AN143" s="4">
        <v>10198960</v>
      </c>
      <c r="AO143" s="150">
        <v>705608</v>
      </c>
    </row>
    <row r="144" spans="1:41" x14ac:dyDescent="0.2">
      <c r="A144" s="1">
        <v>2024</v>
      </c>
      <c r="B144" s="2" t="s">
        <v>164</v>
      </c>
      <c r="C144" s="2" t="s">
        <v>164</v>
      </c>
      <c r="D144" s="1" t="s">
        <v>514</v>
      </c>
      <c r="E144" s="3">
        <v>26123950</v>
      </c>
      <c r="F144" s="3">
        <v>2007</v>
      </c>
      <c r="G144" s="3">
        <v>6608</v>
      </c>
      <c r="H144" s="3">
        <v>78939</v>
      </c>
      <c r="I144" s="1">
        <v>0</v>
      </c>
      <c r="J144" s="3">
        <v>26115335</v>
      </c>
      <c r="K144" s="3">
        <v>26036396</v>
      </c>
      <c r="L144" s="3">
        <v>26036396</v>
      </c>
      <c r="M144" s="3">
        <v>459911</v>
      </c>
      <c r="N144" s="3">
        <v>2106636</v>
      </c>
      <c r="O144" s="3">
        <v>241765</v>
      </c>
      <c r="P144" s="3">
        <v>248363</v>
      </c>
      <c r="Q144" s="3">
        <v>1266490</v>
      </c>
      <c r="R144" s="3">
        <v>21792170</v>
      </c>
      <c r="S144" s="3">
        <v>21713231</v>
      </c>
      <c r="T144" s="3">
        <v>21713231</v>
      </c>
      <c r="U144" s="3">
        <v>2611534</v>
      </c>
      <c r="V144" s="3">
        <v>2611534</v>
      </c>
      <c r="W144" s="3">
        <v>2611534</v>
      </c>
      <c r="X144" s="3">
        <v>2611534</v>
      </c>
      <c r="Y144" s="3">
        <v>2598377</v>
      </c>
      <c r="Z144" s="3">
        <v>2598377</v>
      </c>
      <c r="AA144" s="4">
        <v>2598377</v>
      </c>
      <c r="AB144" s="4">
        <v>2598377</v>
      </c>
      <c r="AC144" s="4">
        <v>2598377</v>
      </c>
      <c r="AD144" s="4">
        <v>2598375</v>
      </c>
      <c r="AE144" s="4">
        <v>2611534</v>
      </c>
      <c r="AF144" s="4">
        <v>5223068</v>
      </c>
      <c r="AG144" s="4">
        <v>7834602</v>
      </c>
      <c r="AH144" s="4">
        <v>10446136</v>
      </c>
      <c r="AI144" s="4">
        <v>13044513</v>
      </c>
      <c r="AJ144" s="4">
        <v>15642890</v>
      </c>
      <c r="AK144" s="4">
        <v>18241267</v>
      </c>
      <c r="AL144" s="4">
        <v>20839644</v>
      </c>
      <c r="AM144" s="4">
        <v>23438021</v>
      </c>
      <c r="AN144" s="4">
        <v>26036396</v>
      </c>
      <c r="AO144" s="150">
        <v>1664541</v>
      </c>
    </row>
    <row r="145" spans="1:41" x14ac:dyDescent="0.2">
      <c r="A145" s="1">
        <v>2024</v>
      </c>
      <c r="B145" s="2" t="s">
        <v>165</v>
      </c>
      <c r="C145" s="2" t="s">
        <v>165</v>
      </c>
      <c r="D145" s="1" t="s">
        <v>515</v>
      </c>
      <c r="E145" s="3">
        <v>6014722</v>
      </c>
      <c r="F145" s="3">
        <v>647</v>
      </c>
      <c r="G145" s="3">
        <v>0</v>
      </c>
      <c r="H145" s="3">
        <v>19267</v>
      </c>
      <c r="I145" s="1">
        <v>0</v>
      </c>
      <c r="J145" s="3">
        <v>6014075</v>
      </c>
      <c r="K145" s="3">
        <v>5994808</v>
      </c>
      <c r="L145" s="3">
        <v>5994808</v>
      </c>
      <c r="M145" s="3">
        <v>148236</v>
      </c>
      <c r="N145" s="3">
        <v>557643</v>
      </c>
      <c r="O145" s="3">
        <v>60050</v>
      </c>
      <c r="P145" s="3">
        <v>52953</v>
      </c>
      <c r="Q145" s="3">
        <v>309123</v>
      </c>
      <c r="R145" s="3">
        <v>4886070</v>
      </c>
      <c r="S145" s="3">
        <v>4866803</v>
      </c>
      <c r="T145" s="3">
        <v>4866803</v>
      </c>
      <c r="U145" s="3">
        <v>601408</v>
      </c>
      <c r="V145" s="3">
        <v>601408</v>
      </c>
      <c r="W145" s="3">
        <v>601408</v>
      </c>
      <c r="X145" s="3">
        <v>601408</v>
      </c>
      <c r="Y145" s="3">
        <v>598196</v>
      </c>
      <c r="Z145" s="3">
        <v>598196</v>
      </c>
      <c r="AA145" s="4">
        <v>598196</v>
      </c>
      <c r="AB145" s="4">
        <v>598196</v>
      </c>
      <c r="AC145" s="4">
        <v>598196</v>
      </c>
      <c r="AD145" s="4">
        <v>598196</v>
      </c>
      <c r="AE145" s="4">
        <v>601408</v>
      </c>
      <c r="AF145" s="4">
        <v>1202816</v>
      </c>
      <c r="AG145" s="4">
        <v>1804224</v>
      </c>
      <c r="AH145" s="4">
        <v>2405632</v>
      </c>
      <c r="AI145" s="4">
        <v>3003828</v>
      </c>
      <c r="AJ145" s="4">
        <v>3602024</v>
      </c>
      <c r="AK145" s="4">
        <v>4200220</v>
      </c>
      <c r="AL145" s="4">
        <v>4798416</v>
      </c>
      <c r="AM145" s="4">
        <v>5396612</v>
      </c>
      <c r="AN145" s="4">
        <v>5994808</v>
      </c>
      <c r="AO145" s="150">
        <v>397729</v>
      </c>
    </row>
    <row r="146" spans="1:41" x14ac:dyDescent="0.2">
      <c r="A146" s="1">
        <v>2024</v>
      </c>
      <c r="B146" s="2" t="s">
        <v>166</v>
      </c>
      <c r="C146" s="2" t="s">
        <v>166</v>
      </c>
      <c r="D146" s="1" t="s">
        <v>516</v>
      </c>
      <c r="E146" s="3">
        <v>91830657</v>
      </c>
      <c r="F146" s="3">
        <v>7695</v>
      </c>
      <c r="G146" s="3">
        <v>8712</v>
      </c>
      <c r="H146" s="3">
        <v>331683</v>
      </c>
      <c r="I146" s="1">
        <v>0</v>
      </c>
      <c r="J146" s="3">
        <v>91814250</v>
      </c>
      <c r="K146" s="3">
        <v>91482567</v>
      </c>
      <c r="L146" s="3">
        <v>91482567</v>
      </c>
      <c r="M146" s="3">
        <v>1748799</v>
      </c>
      <c r="N146" s="3">
        <v>9132885</v>
      </c>
      <c r="O146" s="3">
        <v>1153740</v>
      </c>
      <c r="P146" s="3">
        <v>1117641</v>
      </c>
      <c r="Q146" s="3">
        <v>5321499</v>
      </c>
      <c r="R146" s="3">
        <v>73339686</v>
      </c>
      <c r="S146" s="3">
        <v>73008003</v>
      </c>
      <c r="T146" s="3">
        <v>73008003</v>
      </c>
      <c r="U146" s="3">
        <v>9181425</v>
      </c>
      <c r="V146" s="3">
        <v>9181425</v>
      </c>
      <c r="W146" s="3">
        <v>9181425</v>
      </c>
      <c r="X146" s="3">
        <v>9181425</v>
      </c>
      <c r="Y146" s="3">
        <v>9126145</v>
      </c>
      <c r="Z146" s="3">
        <v>9126145</v>
      </c>
      <c r="AA146" s="4">
        <v>9126144</v>
      </c>
      <c r="AB146" s="4">
        <v>9126144</v>
      </c>
      <c r="AC146" s="4">
        <v>9126144</v>
      </c>
      <c r="AD146" s="4">
        <v>9126145</v>
      </c>
      <c r="AE146" s="4">
        <v>9181425</v>
      </c>
      <c r="AF146" s="4">
        <v>18362850</v>
      </c>
      <c r="AG146" s="4">
        <v>27544275</v>
      </c>
      <c r="AH146" s="4">
        <v>36725700</v>
      </c>
      <c r="AI146" s="4">
        <v>45851845</v>
      </c>
      <c r="AJ146" s="4">
        <v>54977990</v>
      </c>
      <c r="AK146" s="4">
        <v>64104134</v>
      </c>
      <c r="AL146" s="4">
        <v>73230278</v>
      </c>
      <c r="AM146" s="4">
        <v>82356422</v>
      </c>
      <c r="AN146" s="4">
        <v>91482567</v>
      </c>
      <c r="AO146" s="150">
        <v>7299380</v>
      </c>
    </row>
    <row r="147" spans="1:41" x14ac:dyDescent="0.2">
      <c r="A147" s="1">
        <v>2024</v>
      </c>
      <c r="B147" s="2" t="s">
        <v>167</v>
      </c>
      <c r="C147" s="2" t="s">
        <v>167</v>
      </c>
      <c r="D147" s="1" t="s">
        <v>517</v>
      </c>
      <c r="E147" s="3">
        <v>6993269</v>
      </c>
      <c r="F147" s="3">
        <v>1028</v>
      </c>
      <c r="G147" s="3">
        <v>0</v>
      </c>
      <c r="H147" s="3">
        <v>23023</v>
      </c>
      <c r="I147" s="1">
        <v>0</v>
      </c>
      <c r="J147" s="3">
        <v>6992241</v>
      </c>
      <c r="K147" s="3">
        <v>6969218</v>
      </c>
      <c r="L147" s="3">
        <v>6969218</v>
      </c>
      <c r="M147" s="3">
        <v>235657</v>
      </c>
      <c r="N147" s="3">
        <v>665908</v>
      </c>
      <c r="O147" s="3">
        <v>83361</v>
      </c>
      <c r="P147" s="3">
        <v>77207</v>
      </c>
      <c r="Q147" s="3">
        <v>369378</v>
      </c>
      <c r="R147" s="3">
        <v>5560730</v>
      </c>
      <c r="S147" s="3">
        <v>5537707</v>
      </c>
      <c r="T147" s="3">
        <v>5537707</v>
      </c>
      <c r="U147" s="3">
        <v>699224</v>
      </c>
      <c r="V147" s="3">
        <v>699224</v>
      </c>
      <c r="W147" s="3">
        <v>699224</v>
      </c>
      <c r="X147" s="3">
        <v>699224</v>
      </c>
      <c r="Y147" s="3">
        <v>695387</v>
      </c>
      <c r="Z147" s="3">
        <v>695387</v>
      </c>
      <c r="AA147" s="4">
        <v>695387</v>
      </c>
      <c r="AB147" s="4">
        <v>695387</v>
      </c>
      <c r="AC147" s="4">
        <v>695387</v>
      </c>
      <c r="AD147" s="4">
        <v>695387</v>
      </c>
      <c r="AE147" s="4">
        <v>699224</v>
      </c>
      <c r="AF147" s="4">
        <v>1398448</v>
      </c>
      <c r="AG147" s="4">
        <v>2097672</v>
      </c>
      <c r="AH147" s="4">
        <v>2796896</v>
      </c>
      <c r="AI147" s="4">
        <v>3492283</v>
      </c>
      <c r="AJ147" s="4">
        <v>4187670</v>
      </c>
      <c r="AK147" s="4">
        <v>4883057</v>
      </c>
      <c r="AL147" s="4">
        <v>5578444</v>
      </c>
      <c r="AM147" s="4">
        <v>6273831</v>
      </c>
      <c r="AN147" s="4">
        <v>6969218</v>
      </c>
      <c r="AO147" s="150">
        <v>500411</v>
      </c>
    </row>
    <row r="148" spans="1:41" x14ac:dyDescent="0.2">
      <c r="A148" s="1">
        <v>2024</v>
      </c>
      <c r="B148" s="2" t="s">
        <v>168</v>
      </c>
      <c r="C148" s="2" t="s">
        <v>168</v>
      </c>
      <c r="D148" s="1" t="s">
        <v>518</v>
      </c>
      <c r="E148" s="3">
        <v>3602176</v>
      </c>
      <c r="F148" s="1">
        <v>514</v>
      </c>
      <c r="G148" s="1">
        <v>0</v>
      </c>
      <c r="H148" s="3">
        <v>11485</v>
      </c>
      <c r="I148" s="1">
        <v>0</v>
      </c>
      <c r="J148" s="3">
        <v>3601662</v>
      </c>
      <c r="K148" s="3">
        <v>3590177</v>
      </c>
      <c r="L148" s="3">
        <v>3590177</v>
      </c>
      <c r="M148" s="3">
        <v>117829</v>
      </c>
      <c r="N148" s="3">
        <v>313770</v>
      </c>
      <c r="O148" s="3">
        <v>31905</v>
      </c>
      <c r="P148" s="3">
        <v>36460</v>
      </c>
      <c r="Q148" s="3">
        <v>184265</v>
      </c>
      <c r="R148" s="3">
        <v>2917433</v>
      </c>
      <c r="S148" s="3">
        <v>2905948</v>
      </c>
      <c r="T148" s="3">
        <v>2905948</v>
      </c>
      <c r="U148" s="3">
        <v>360166</v>
      </c>
      <c r="V148" s="3">
        <v>360166</v>
      </c>
      <c r="W148" s="3">
        <v>360166</v>
      </c>
      <c r="X148" s="3">
        <v>360166</v>
      </c>
      <c r="Y148" s="3">
        <v>358252</v>
      </c>
      <c r="Z148" s="3">
        <v>358252</v>
      </c>
      <c r="AA148" s="4">
        <v>358252</v>
      </c>
      <c r="AB148" s="4">
        <v>358252</v>
      </c>
      <c r="AC148" s="4">
        <v>358252</v>
      </c>
      <c r="AD148" s="4">
        <v>358253</v>
      </c>
      <c r="AE148" s="4">
        <v>360166</v>
      </c>
      <c r="AF148" s="4">
        <v>720332</v>
      </c>
      <c r="AG148" s="4">
        <v>1080498</v>
      </c>
      <c r="AH148" s="4">
        <v>1440664</v>
      </c>
      <c r="AI148" s="4">
        <v>1798916</v>
      </c>
      <c r="AJ148" s="4">
        <v>2157168</v>
      </c>
      <c r="AK148" s="4">
        <v>2515420</v>
      </c>
      <c r="AL148" s="4">
        <v>2873672</v>
      </c>
      <c r="AM148" s="4">
        <v>3231924</v>
      </c>
      <c r="AN148" s="4">
        <v>3590177</v>
      </c>
      <c r="AO148" s="150">
        <v>232347</v>
      </c>
    </row>
    <row r="149" spans="1:41" x14ac:dyDescent="0.2">
      <c r="A149" s="1">
        <v>2024</v>
      </c>
      <c r="B149" s="2" t="s">
        <v>169</v>
      </c>
      <c r="C149" s="2" t="s">
        <v>169</v>
      </c>
      <c r="D149" s="1" t="s">
        <v>519</v>
      </c>
      <c r="E149" s="3">
        <v>3845428</v>
      </c>
      <c r="F149" s="3">
        <v>796</v>
      </c>
      <c r="G149" s="3">
        <v>0</v>
      </c>
      <c r="H149" s="3">
        <v>15300</v>
      </c>
      <c r="I149" s="1">
        <v>0</v>
      </c>
      <c r="J149" s="3">
        <v>3844632</v>
      </c>
      <c r="K149" s="3">
        <v>3829332</v>
      </c>
      <c r="L149" s="3">
        <v>3829332</v>
      </c>
      <c r="M149" s="3">
        <v>182444</v>
      </c>
      <c r="N149" s="3">
        <v>470353</v>
      </c>
      <c r="O149" s="3">
        <v>49525</v>
      </c>
      <c r="P149" s="3">
        <v>53801</v>
      </c>
      <c r="Q149" s="3">
        <v>245478</v>
      </c>
      <c r="R149" s="3">
        <v>2843031</v>
      </c>
      <c r="S149" s="3">
        <v>2827731</v>
      </c>
      <c r="T149" s="3">
        <v>2827731</v>
      </c>
      <c r="U149" s="3">
        <v>384463</v>
      </c>
      <c r="V149" s="3">
        <v>384463</v>
      </c>
      <c r="W149" s="3">
        <v>384463</v>
      </c>
      <c r="X149" s="3">
        <v>384463</v>
      </c>
      <c r="Y149" s="3">
        <v>381913</v>
      </c>
      <c r="Z149" s="3">
        <v>381913</v>
      </c>
      <c r="AA149" s="4">
        <v>381914</v>
      </c>
      <c r="AB149" s="4">
        <v>381914</v>
      </c>
      <c r="AC149" s="4">
        <v>381914</v>
      </c>
      <c r="AD149" s="4">
        <v>381912</v>
      </c>
      <c r="AE149" s="4">
        <v>384463</v>
      </c>
      <c r="AF149" s="4">
        <v>768926</v>
      </c>
      <c r="AG149" s="4">
        <v>1153389</v>
      </c>
      <c r="AH149" s="4">
        <v>1537852</v>
      </c>
      <c r="AI149" s="4">
        <v>1919765</v>
      </c>
      <c r="AJ149" s="4">
        <v>2301678</v>
      </c>
      <c r="AK149" s="4">
        <v>2683592</v>
      </c>
      <c r="AL149" s="4">
        <v>3065506</v>
      </c>
      <c r="AM149" s="4">
        <v>3447420</v>
      </c>
      <c r="AN149" s="4">
        <v>3829332</v>
      </c>
      <c r="AO149" s="150">
        <v>311001</v>
      </c>
    </row>
    <row r="150" spans="1:41" x14ac:dyDescent="0.2">
      <c r="A150" s="1">
        <v>2024</v>
      </c>
      <c r="B150" s="2" t="s">
        <v>170</v>
      </c>
      <c r="C150" s="2" t="s">
        <v>170</v>
      </c>
      <c r="D150" s="1" t="s">
        <v>520</v>
      </c>
      <c r="E150" s="3">
        <v>3278191</v>
      </c>
      <c r="F150" s="1">
        <v>647</v>
      </c>
      <c r="G150" s="1">
        <v>0</v>
      </c>
      <c r="H150" s="3">
        <v>10127</v>
      </c>
      <c r="I150" s="1">
        <v>0</v>
      </c>
      <c r="J150" s="3">
        <v>3277544</v>
      </c>
      <c r="K150" s="3">
        <v>3267417</v>
      </c>
      <c r="L150" s="3">
        <v>3267417</v>
      </c>
      <c r="M150" s="3">
        <v>148236</v>
      </c>
      <c r="N150" s="3">
        <v>284116</v>
      </c>
      <c r="O150" s="3">
        <v>25383</v>
      </c>
      <c r="P150" s="3">
        <v>27825</v>
      </c>
      <c r="Q150" s="3">
        <v>162485</v>
      </c>
      <c r="R150" s="3">
        <v>2629499</v>
      </c>
      <c r="S150" s="3">
        <v>2619372</v>
      </c>
      <c r="T150" s="3">
        <v>2619372</v>
      </c>
      <c r="U150" s="3">
        <v>327754</v>
      </c>
      <c r="V150" s="3">
        <v>327754</v>
      </c>
      <c r="W150" s="3">
        <v>327754</v>
      </c>
      <c r="X150" s="3">
        <v>327754</v>
      </c>
      <c r="Y150" s="3">
        <v>326067</v>
      </c>
      <c r="Z150" s="3">
        <v>326067</v>
      </c>
      <c r="AA150" s="4">
        <v>326067</v>
      </c>
      <c r="AB150" s="4">
        <v>326067</v>
      </c>
      <c r="AC150" s="4">
        <v>326067</v>
      </c>
      <c r="AD150" s="4">
        <v>326066</v>
      </c>
      <c r="AE150" s="4">
        <v>327754</v>
      </c>
      <c r="AF150" s="4">
        <v>655508</v>
      </c>
      <c r="AG150" s="4">
        <v>983262</v>
      </c>
      <c r="AH150" s="4">
        <v>1311016</v>
      </c>
      <c r="AI150" s="4">
        <v>1637083</v>
      </c>
      <c r="AJ150" s="4">
        <v>1963150</v>
      </c>
      <c r="AK150" s="4">
        <v>2289217</v>
      </c>
      <c r="AL150" s="4">
        <v>2615284</v>
      </c>
      <c r="AM150" s="4">
        <v>2941351</v>
      </c>
      <c r="AN150" s="4">
        <v>3267417</v>
      </c>
      <c r="AO150" s="150">
        <v>229694</v>
      </c>
    </row>
    <row r="151" spans="1:41" x14ac:dyDescent="0.2">
      <c r="A151" s="1">
        <v>2024</v>
      </c>
      <c r="B151" s="2" t="s">
        <v>171</v>
      </c>
      <c r="C151" s="2" t="s">
        <v>171</v>
      </c>
      <c r="D151" s="1" t="s">
        <v>521</v>
      </c>
      <c r="E151" s="3">
        <v>7618874</v>
      </c>
      <c r="F151" s="3">
        <v>1294</v>
      </c>
      <c r="G151" s="3">
        <v>0</v>
      </c>
      <c r="H151" s="3">
        <v>27220</v>
      </c>
      <c r="I151" s="1">
        <v>0</v>
      </c>
      <c r="J151" s="3">
        <v>7617580</v>
      </c>
      <c r="K151" s="3">
        <v>7590360</v>
      </c>
      <c r="L151" s="3">
        <v>7590360</v>
      </c>
      <c r="M151" s="3">
        <v>296471</v>
      </c>
      <c r="N151" s="3">
        <v>787350</v>
      </c>
      <c r="O151" s="3">
        <v>97004</v>
      </c>
      <c r="P151" s="3">
        <v>89527</v>
      </c>
      <c r="Q151" s="3">
        <v>436708</v>
      </c>
      <c r="R151" s="3">
        <v>5910520</v>
      </c>
      <c r="S151" s="3">
        <v>5883300</v>
      </c>
      <c r="T151" s="3">
        <v>5883300</v>
      </c>
      <c r="U151" s="3">
        <v>761758</v>
      </c>
      <c r="V151" s="3">
        <v>761758</v>
      </c>
      <c r="W151" s="3">
        <v>761758</v>
      </c>
      <c r="X151" s="3">
        <v>761758</v>
      </c>
      <c r="Y151" s="3">
        <v>757221</v>
      </c>
      <c r="Z151" s="3">
        <v>757221</v>
      </c>
      <c r="AA151" s="4">
        <v>757222</v>
      </c>
      <c r="AB151" s="4">
        <v>757222</v>
      </c>
      <c r="AC151" s="4">
        <v>757222</v>
      </c>
      <c r="AD151" s="4">
        <v>757220</v>
      </c>
      <c r="AE151" s="4">
        <v>761758</v>
      </c>
      <c r="AF151" s="4">
        <v>1523516</v>
      </c>
      <c r="AG151" s="4">
        <v>2285274</v>
      </c>
      <c r="AH151" s="4">
        <v>3047032</v>
      </c>
      <c r="AI151" s="4">
        <v>3804253</v>
      </c>
      <c r="AJ151" s="4">
        <v>4561474</v>
      </c>
      <c r="AK151" s="4">
        <v>5318696</v>
      </c>
      <c r="AL151" s="4">
        <v>6075918</v>
      </c>
      <c r="AM151" s="4">
        <v>6833140</v>
      </c>
      <c r="AN151" s="4">
        <v>7590360</v>
      </c>
      <c r="AO151" s="150">
        <v>572190</v>
      </c>
    </row>
    <row r="152" spans="1:41" x14ac:dyDescent="0.2">
      <c r="A152" s="1">
        <v>2024</v>
      </c>
      <c r="B152" s="2" t="s">
        <v>172</v>
      </c>
      <c r="C152" s="2" t="s">
        <v>172</v>
      </c>
      <c r="D152" s="1" t="s">
        <v>522</v>
      </c>
      <c r="E152" s="3">
        <v>6491414</v>
      </c>
      <c r="F152" s="3">
        <v>1012</v>
      </c>
      <c r="G152" s="3">
        <v>0</v>
      </c>
      <c r="H152" s="3">
        <v>20538</v>
      </c>
      <c r="I152" s="1">
        <v>0</v>
      </c>
      <c r="J152" s="3">
        <v>6490402</v>
      </c>
      <c r="K152" s="3">
        <v>6469864</v>
      </c>
      <c r="L152" s="3">
        <v>6469864</v>
      </c>
      <c r="M152" s="3">
        <v>231856</v>
      </c>
      <c r="N152" s="3">
        <v>538043</v>
      </c>
      <c r="O152" s="3">
        <v>70634</v>
      </c>
      <c r="P152" s="3">
        <v>58671</v>
      </c>
      <c r="Q152" s="3">
        <v>329503</v>
      </c>
      <c r="R152" s="3">
        <v>5261695</v>
      </c>
      <c r="S152" s="3">
        <v>5241157</v>
      </c>
      <c r="T152" s="3">
        <v>5241157</v>
      </c>
      <c r="U152" s="3">
        <v>649040</v>
      </c>
      <c r="V152" s="3">
        <v>649040</v>
      </c>
      <c r="W152" s="3">
        <v>649040</v>
      </c>
      <c r="X152" s="3">
        <v>649040</v>
      </c>
      <c r="Y152" s="3">
        <v>645617</v>
      </c>
      <c r="Z152" s="3">
        <v>645617</v>
      </c>
      <c r="AA152" s="4">
        <v>645618</v>
      </c>
      <c r="AB152" s="4">
        <v>645618</v>
      </c>
      <c r="AC152" s="4">
        <v>645618</v>
      </c>
      <c r="AD152" s="4">
        <v>645616</v>
      </c>
      <c r="AE152" s="4">
        <v>649040</v>
      </c>
      <c r="AF152" s="4">
        <v>1298080</v>
      </c>
      <c r="AG152" s="4">
        <v>1947120</v>
      </c>
      <c r="AH152" s="4">
        <v>2596160</v>
      </c>
      <c r="AI152" s="4">
        <v>3241777</v>
      </c>
      <c r="AJ152" s="4">
        <v>3887394</v>
      </c>
      <c r="AK152" s="4">
        <v>4533012</v>
      </c>
      <c r="AL152" s="4">
        <v>5178630</v>
      </c>
      <c r="AM152" s="4">
        <v>5824248</v>
      </c>
      <c r="AN152" s="4">
        <v>6469864</v>
      </c>
      <c r="AO152" s="150">
        <v>468598</v>
      </c>
    </row>
    <row r="153" spans="1:41" x14ac:dyDescent="0.2">
      <c r="A153" s="1">
        <v>2024</v>
      </c>
      <c r="B153" s="2" t="s">
        <v>173</v>
      </c>
      <c r="C153" s="2" t="s">
        <v>173</v>
      </c>
      <c r="D153" s="1" t="s">
        <v>523</v>
      </c>
      <c r="E153" s="3">
        <v>48327267</v>
      </c>
      <c r="F153" s="3">
        <v>4030</v>
      </c>
      <c r="G153" s="3">
        <v>3830</v>
      </c>
      <c r="H153" s="3">
        <v>160441</v>
      </c>
      <c r="I153" s="1">
        <v>0</v>
      </c>
      <c r="J153" s="3">
        <v>48319407</v>
      </c>
      <c r="K153" s="3">
        <v>48158966</v>
      </c>
      <c r="L153" s="3">
        <v>48158966</v>
      </c>
      <c r="M153" s="3">
        <v>923623</v>
      </c>
      <c r="N153" s="3">
        <v>4296490</v>
      </c>
      <c r="O153" s="3">
        <v>474966</v>
      </c>
      <c r="P153" s="3">
        <v>477970</v>
      </c>
      <c r="Q153" s="3">
        <v>2574108</v>
      </c>
      <c r="R153" s="3">
        <v>39572250</v>
      </c>
      <c r="S153" s="3">
        <v>39411809</v>
      </c>
      <c r="T153" s="3">
        <v>39411809</v>
      </c>
      <c r="U153" s="3">
        <v>4831941</v>
      </c>
      <c r="V153" s="3">
        <v>4831941</v>
      </c>
      <c r="W153" s="3">
        <v>4831941</v>
      </c>
      <c r="X153" s="3">
        <v>4831941</v>
      </c>
      <c r="Y153" s="3">
        <v>4805200</v>
      </c>
      <c r="Z153" s="3">
        <v>4805200</v>
      </c>
      <c r="AA153" s="4">
        <v>4805201</v>
      </c>
      <c r="AB153" s="4">
        <v>4805201</v>
      </c>
      <c r="AC153" s="4">
        <v>4805201</v>
      </c>
      <c r="AD153" s="4">
        <v>4805199</v>
      </c>
      <c r="AE153" s="4">
        <v>4831941</v>
      </c>
      <c r="AF153" s="4">
        <v>9663882</v>
      </c>
      <c r="AG153" s="4">
        <v>14495823</v>
      </c>
      <c r="AH153" s="4">
        <v>19327764</v>
      </c>
      <c r="AI153" s="4">
        <v>24132964</v>
      </c>
      <c r="AJ153" s="4">
        <v>28938164</v>
      </c>
      <c r="AK153" s="4">
        <v>33743365</v>
      </c>
      <c r="AL153" s="4">
        <v>38548566</v>
      </c>
      <c r="AM153" s="4">
        <v>43353767</v>
      </c>
      <c r="AN153" s="4">
        <v>48158966</v>
      </c>
      <c r="AO153" s="150">
        <v>3508434</v>
      </c>
    </row>
    <row r="154" spans="1:41" x14ac:dyDescent="0.2">
      <c r="A154" s="1">
        <v>2024</v>
      </c>
      <c r="B154" s="2" t="s">
        <v>174</v>
      </c>
      <c r="C154" s="2" t="s">
        <v>174</v>
      </c>
      <c r="D154" s="1" t="s">
        <v>524</v>
      </c>
      <c r="E154" s="3">
        <v>16016553</v>
      </c>
      <c r="F154" s="3">
        <v>1542</v>
      </c>
      <c r="G154" s="3">
        <v>0</v>
      </c>
      <c r="H154" s="3">
        <v>42495</v>
      </c>
      <c r="I154" s="3">
        <v>0</v>
      </c>
      <c r="J154" s="3">
        <v>16015011</v>
      </c>
      <c r="K154" s="3">
        <v>15972516</v>
      </c>
      <c r="L154" s="3">
        <v>15972516</v>
      </c>
      <c r="M154" s="3">
        <v>353486</v>
      </c>
      <c r="N154" s="3">
        <v>1191900</v>
      </c>
      <c r="O154" s="3">
        <v>152237</v>
      </c>
      <c r="P154" s="3">
        <v>140933</v>
      </c>
      <c r="Q154" s="3">
        <v>681781</v>
      </c>
      <c r="R154" s="3">
        <v>13494674</v>
      </c>
      <c r="S154" s="3">
        <v>13452179</v>
      </c>
      <c r="T154" s="3">
        <v>13452179</v>
      </c>
      <c r="U154" s="3">
        <v>1601501</v>
      </c>
      <c r="V154" s="3">
        <v>1601501</v>
      </c>
      <c r="W154" s="3">
        <v>1601501</v>
      </c>
      <c r="X154" s="3">
        <v>1601501</v>
      </c>
      <c r="Y154" s="3">
        <v>1594419</v>
      </c>
      <c r="Z154" s="3">
        <v>1594419</v>
      </c>
      <c r="AA154" s="4">
        <v>1594419</v>
      </c>
      <c r="AB154" s="4">
        <v>1594419</v>
      </c>
      <c r="AC154" s="4">
        <v>1594419</v>
      </c>
      <c r="AD154" s="4">
        <v>1594417</v>
      </c>
      <c r="AE154" s="4">
        <v>1601501</v>
      </c>
      <c r="AF154" s="4">
        <v>3203002</v>
      </c>
      <c r="AG154" s="4">
        <v>4804503</v>
      </c>
      <c r="AH154" s="4">
        <v>6406004</v>
      </c>
      <c r="AI154" s="4">
        <v>8000423</v>
      </c>
      <c r="AJ154" s="4">
        <v>9594842</v>
      </c>
      <c r="AK154" s="4">
        <v>11189261</v>
      </c>
      <c r="AL154" s="4">
        <v>12783680</v>
      </c>
      <c r="AM154" s="4">
        <v>14378099</v>
      </c>
      <c r="AN154" s="4">
        <v>15972516</v>
      </c>
      <c r="AO154" s="150">
        <v>918870</v>
      </c>
    </row>
    <row r="155" spans="1:41" x14ac:dyDescent="0.2">
      <c r="A155" s="1">
        <v>2024</v>
      </c>
      <c r="B155" s="2" t="s">
        <v>175</v>
      </c>
      <c r="C155" s="2" t="s">
        <v>175</v>
      </c>
      <c r="D155" s="1" t="s">
        <v>525</v>
      </c>
      <c r="E155" s="3">
        <v>2258489</v>
      </c>
      <c r="F155" s="3">
        <v>315</v>
      </c>
      <c r="G155" s="3">
        <v>0</v>
      </c>
      <c r="H155" s="3">
        <v>8285</v>
      </c>
      <c r="I155" s="1">
        <v>0</v>
      </c>
      <c r="J155" s="3">
        <v>2258174</v>
      </c>
      <c r="K155" s="3">
        <v>2249889</v>
      </c>
      <c r="L155" s="3">
        <v>2249889</v>
      </c>
      <c r="M155" s="3">
        <v>72218</v>
      </c>
      <c r="N155" s="3">
        <v>251419</v>
      </c>
      <c r="O155" s="3">
        <v>24953</v>
      </c>
      <c r="P155" s="3">
        <v>26566</v>
      </c>
      <c r="Q155" s="3">
        <v>132929</v>
      </c>
      <c r="R155" s="3">
        <v>1750089</v>
      </c>
      <c r="S155" s="3">
        <v>1741804</v>
      </c>
      <c r="T155" s="3">
        <v>1741804</v>
      </c>
      <c r="U155" s="3">
        <v>225817</v>
      </c>
      <c r="V155" s="3">
        <v>225817</v>
      </c>
      <c r="W155" s="3">
        <v>225817</v>
      </c>
      <c r="X155" s="3">
        <v>225817</v>
      </c>
      <c r="Y155" s="3">
        <v>224437</v>
      </c>
      <c r="Z155" s="3">
        <v>224437</v>
      </c>
      <c r="AA155" s="4">
        <v>224437</v>
      </c>
      <c r="AB155" s="4">
        <v>224437</v>
      </c>
      <c r="AC155" s="4">
        <v>224437</v>
      </c>
      <c r="AD155" s="4">
        <v>224436</v>
      </c>
      <c r="AE155" s="4">
        <v>225817</v>
      </c>
      <c r="AF155" s="4">
        <v>451634</v>
      </c>
      <c r="AG155" s="4">
        <v>677451</v>
      </c>
      <c r="AH155" s="4">
        <v>903268</v>
      </c>
      <c r="AI155" s="4">
        <v>1127705</v>
      </c>
      <c r="AJ155" s="4">
        <v>1352142</v>
      </c>
      <c r="AK155" s="4">
        <v>1576579</v>
      </c>
      <c r="AL155" s="4">
        <v>1801016</v>
      </c>
      <c r="AM155" s="4">
        <v>2025453</v>
      </c>
      <c r="AN155" s="4">
        <v>2249889</v>
      </c>
      <c r="AO155" s="150">
        <v>172532</v>
      </c>
    </row>
    <row r="156" spans="1:41" x14ac:dyDescent="0.2">
      <c r="A156" s="1">
        <v>2024</v>
      </c>
      <c r="B156" s="2" t="s">
        <v>176</v>
      </c>
      <c r="C156" s="2" t="s">
        <v>176</v>
      </c>
      <c r="D156" s="1" t="s">
        <v>526</v>
      </c>
      <c r="E156" s="3">
        <v>3173129</v>
      </c>
      <c r="F156" s="3">
        <v>0</v>
      </c>
      <c r="G156" s="3">
        <v>0</v>
      </c>
      <c r="H156" s="3">
        <v>10821</v>
      </c>
      <c r="I156" s="1">
        <v>0</v>
      </c>
      <c r="J156" s="3">
        <v>3173129</v>
      </c>
      <c r="K156" s="3">
        <v>3162308</v>
      </c>
      <c r="L156" s="3">
        <v>3162308</v>
      </c>
      <c r="M156" s="3">
        <v>0</v>
      </c>
      <c r="N156" s="3">
        <v>327033</v>
      </c>
      <c r="O156" s="3">
        <v>41226</v>
      </c>
      <c r="P156" s="3">
        <v>37815</v>
      </c>
      <c r="Q156" s="3">
        <v>173614</v>
      </c>
      <c r="R156" s="3">
        <v>2593441</v>
      </c>
      <c r="S156" s="3">
        <v>2582620</v>
      </c>
      <c r="T156" s="3">
        <v>2582620</v>
      </c>
      <c r="U156" s="3">
        <v>317313</v>
      </c>
      <c r="V156" s="3">
        <v>317313</v>
      </c>
      <c r="W156" s="3">
        <v>317313</v>
      </c>
      <c r="X156" s="3">
        <v>317313</v>
      </c>
      <c r="Y156" s="3">
        <v>315509</v>
      </c>
      <c r="Z156" s="3">
        <v>315509</v>
      </c>
      <c r="AA156" s="4">
        <v>315510</v>
      </c>
      <c r="AB156" s="4">
        <v>315510</v>
      </c>
      <c r="AC156" s="4">
        <v>315510</v>
      </c>
      <c r="AD156" s="4">
        <v>315508</v>
      </c>
      <c r="AE156" s="4">
        <v>317313</v>
      </c>
      <c r="AF156" s="4">
        <v>634626</v>
      </c>
      <c r="AG156" s="4">
        <v>951939</v>
      </c>
      <c r="AH156" s="4">
        <v>1269252</v>
      </c>
      <c r="AI156" s="4">
        <v>1584761</v>
      </c>
      <c r="AJ156" s="4">
        <v>1900270</v>
      </c>
      <c r="AK156" s="4">
        <v>2215780</v>
      </c>
      <c r="AL156" s="4">
        <v>2531290</v>
      </c>
      <c r="AM156" s="4">
        <v>2846800</v>
      </c>
      <c r="AN156" s="4">
        <v>3162308</v>
      </c>
      <c r="AO156" s="150">
        <v>239926</v>
      </c>
    </row>
    <row r="157" spans="1:41" x14ac:dyDescent="0.2">
      <c r="A157" s="1">
        <v>2024</v>
      </c>
      <c r="B157" s="2" t="s">
        <v>177</v>
      </c>
      <c r="C157" s="2" t="s">
        <v>177</v>
      </c>
      <c r="D157" s="1" t="s">
        <v>527</v>
      </c>
      <c r="E157" s="3">
        <v>13665947</v>
      </c>
      <c r="F157" s="3">
        <v>1211</v>
      </c>
      <c r="G157" s="3">
        <v>3409</v>
      </c>
      <c r="H157" s="3">
        <v>40455</v>
      </c>
      <c r="I157" s="1">
        <v>0</v>
      </c>
      <c r="J157" s="3">
        <v>13661327</v>
      </c>
      <c r="K157" s="3">
        <v>13620872</v>
      </c>
      <c r="L157" s="3">
        <v>13620872</v>
      </c>
      <c r="M157" s="3">
        <v>273760</v>
      </c>
      <c r="N157" s="3">
        <v>1158500</v>
      </c>
      <c r="O157" s="3">
        <v>137726</v>
      </c>
      <c r="P157" s="3">
        <v>124763</v>
      </c>
      <c r="Q157" s="3">
        <v>649055</v>
      </c>
      <c r="R157" s="3">
        <v>11317523</v>
      </c>
      <c r="S157" s="3">
        <v>11277068</v>
      </c>
      <c r="T157" s="3">
        <v>11277068</v>
      </c>
      <c r="U157" s="3">
        <v>1366133</v>
      </c>
      <c r="V157" s="3">
        <v>1366133</v>
      </c>
      <c r="W157" s="3">
        <v>1366133</v>
      </c>
      <c r="X157" s="3">
        <v>1366133</v>
      </c>
      <c r="Y157" s="3">
        <v>1359390</v>
      </c>
      <c r="Z157" s="3">
        <v>1359390</v>
      </c>
      <c r="AA157" s="4">
        <v>1359390</v>
      </c>
      <c r="AB157" s="4">
        <v>1359390</v>
      </c>
      <c r="AC157" s="4">
        <v>1359390</v>
      </c>
      <c r="AD157" s="4">
        <v>1359390</v>
      </c>
      <c r="AE157" s="4">
        <v>1366133</v>
      </c>
      <c r="AF157" s="4">
        <v>2732266</v>
      </c>
      <c r="AG157" s="4">
        <v>4098399</v>
      </c>
      <c r="AH157" s="4">
        <v>5464532</v>
      </c>
      <c r="AI157" s="4">
        <v>6823922</v>
      </c>
      <c r="AJ157" s="4">
        <v>8183312</v>
      </c>
      <c r="AK157" s="4">
        <v>9542702</v>
      </c>
      <c r="AL157" s="4">
        <v>10902092</v>
      </c>
      <c r="AM157" s="4">
        <v>12261482</v>
      </c>
      <c r="AN157" s="4">
        <v>13620872</v>
      </c>
      <c r="AO157" s="150">
        <v>822512</v>
      </c>
    </row>
    <row r="158" spans="1:41" x14ac:dyDescent="0.2">
      <c r="A158" s="1">
        <v>2024</v>
      </c>
      <c r="B158" s="2" t="s">
        <v>178</v>
      </c>
      <c r="C158" s="2" t="s">
        <v>178</v>
      </c>
      <c r="D158" s="1" t="s">
        <v>528</v>
      </c>
      <c r="E158" s="3">
        <v>3460838</v>
      </c>
      <c r="F158" s="3">
        <v>464</v>
      </c>
      <c r="G158" s="3">
        <v>0</v>
      </c>
      <c r="H158" s="3">
        <v>12980</v>
      </c>
      <c r="I158" s="1">
        <v>0</v>
      </c>
      <c r="J158" s="3">
        <v>3460374</v>
      </c>
      <c r="K158" s="3">
        <v>3447394</v>
      </c>
      <c r="L158" s="3">
        <v>3447394</v>
      </c>
      <c r="M158" s="3">
        <v>106426</v>
      </c>
      <c r="N158" s="3">
        <v>390473</v>
      </c>
      <c r="O158" s="3">
        <v>46203</v>
      </c>
      <c r="P158" s="3">
        <v>40563</v>
      </c>
      <c r="Q158" s="3">
        <v>208256</v>
      </c>
      <c r="R158" s="3">
        <v>2668453</v>
      </c>
      <c r="S158" s="3">
        <v>2655473</v>
      </c>
      <c r="T158" s="3">
        <v>2655473</v>
      </c>
      <c r="U158" s="3">
        <v>346037</v>
      </c>
      <c r="V158" s="3">
        <v>346037</v>
      </c>
      <c r="W158" s="3">
        <v>346037</v>
      </c>
      <c r="X158" s="3">
        <v>346037</v>
      </c>
      <c r="Y158" s="3">
        <v>343874</v>
      </c>
      <c r="Z158" s="3">
        <v>343874</v>
      </c>
      <c r="AA158" s="4">
        <v>343875</v>
      </c>
      <c r="AB158" s="4">
        <v>343875</v>
      </c>
      <c r="AC158" s="4">
        <v>343875</v>
      </c>
      <c r="AD158" s="4">
        <v>343873</v>
      </c>
      <c r="AE158" s="4">
        <v>346037</v>
      </c>
      <c r="AF158" s="4">
        <v>692074</v>
      </c>
      <c r="AG158" s="4">
        <v>1038111</v>
      </c>
      <c r="AH158" s="4">
        <v>1384148</v>
      </c>
      <c r="AI158" s="4">
        <v>1728022</v>
      </c>
      <c r="AJ158" s="4">
        <v>2071896</v>
      </c>
      <c r="AK158" s="4">
        <v>2415771</v>
      </c>
      <c r="AL158" s="4">
        <v>2759646</v>
      </c>
      <c r="AM158" s="4">
        <v>3103521</v>
      </c>
      <c r="AN158" s="4">
        <v>3447394</v>
      </c>
      <c r="AO158" s="150">
        <v>277281</v>
      </c>
    </row>
    <row r="159" spans="1:41" x14ac:dyDescent="0.2">
      <c r="A159" s="1">
        <v>2024</v>
      </c>
      <c r="B159" s="2" t="s">
        <v>179</v>
      </c>
      <c r="C159" s="2" t="s">
        <v>179</v>
      </c>
      <c r="D159" s="1" t="s">
        <v>529</v>
      </c>
      <c r="E159" s="3">
        <v>2954902</v>
      </c>
      <c r="F159" s="1">
        <v>398</v>
      </c>
      <c r="G159" s="1">
        <v>0</v>
      </c>
      <c r="H159" s="3">
        <v>7736</v>
      </c>
      <c r="I159" s="3">
        <v>0</v>
      </c>
      <c r="J159" s="3">
        <v>2954504</v>
      </c>
      <c r="K159" s="3">
        <v>2946768</v>
      </c>
      <c r="L159" s="3">
        <v>2946768</v>
      </c>
      <c r="M159" s="3">
        <v>91222</v>
      </c>
      <c r="N159" s="3">
        <v>247639</v>
      </c>
      <c r="O159" s="3">
        <v>27190</v>
      </c>
      <c r="P159" s="3">
        <v>26823</v>
      </c>
      <c r="Q159" s="3">
        <v>124121</v>
      </c>
      <c r="R159" s="3">
        <v>2437509</v>
      </c>
      <c r="S159" s="3">
        <v>2429773</v>
      </c>
      <c r="T159" s="3">
        <v>2429773</v>
      </c>
      <c r="U159" s="3">
        <v>295450</v>
      </c>
      <c r="V159" s="3">
        <v>295450</v>
      </c>
      <c r="W159" s="3">
        <v>295450</v>
      </c>
      <c r="X159" s="3">
        <v>295450</v>
      </c>
      <c r="Y159" s="3">
        <v>294161</v>
      </c>
      <c r="Z159" s="3">
        <v>294161</v>
      </c>
      <c r="AA159" s="4">
        <v>294162</v>
      </c>
      <c r="AB159" s="4">
        <v>294162</v>
      </c>
      <c r="AC159" s="4">
        <v>294162</v>
      </c>
      <c r="AD159" s="4">
        <v>294160</v>
      </c>
      <c r="AE159" s="4">
        <v>295450</v>
      </c>
      <c r="AF159" s="4">
        <v>590900</v>
      </c>
      <c r="AG159" s="4">
        <v>886350</v>
      </c>
      <c r="AH159" s="4">
        <v>1181800</v>
      </c>
      <c r="AI159" s="4">
        <v>1475961</v>
      </c>
      <c r="AJ159" s="4">
        <v>1770122</v>
      </c>
      <c r="AK159" s="4">
        <v>2064284</v>
      </c>
      <c r="AL159" s="4">
        <v>2358446</v>
      </c>
      <c r="AM159" s="4">
        <v>2652608</v>
      </c>
      <c r="AN159" s="4">
        <v>2946768</v>
      </c>
      <c r="AO159" s="150">
        <v>168351</v>
      </c>
    </row>
    <row r="160" spans="1:41" x14ac:dyDescent="0.2">
      <c r="A160" s="1">
        <v>2024</v>
      </c>
      <c r="B160" s="2" t="s">
        <v>180</v>
      </c>
      <c r="C160" s="2" t="s">
        <v>180</v>
      </c>
      <c r="D160" s="1" t="s">
        <v>530</v>
      </c>
      <c r="E160" s="3">
        <v>1965733</v>
      </c>
      <c r="F160" s="3">
        <v>332</v>
      </c>
      <c r="G160" s="3">
        <v>0</v>
      </c>
      <c r="H160" s="3">
        <v>6875</v>
      </c>
      <c r="I160" s="1">
        <v>0</v>
      </c>
      <c r="J160" s="3">
        <v>1965401</v>
      </c>
      <c r="K160" s="3">
        <v>1958526</v>
      </c>
      <c r="L160" s="3">
        <v>1958526</v>
      </c>
      <c r="M160" s="3">
        <v>76018</v>
      </c>
      <c r="N160" s="3">
        <v>216101</v>
      </c>
      <c r="O160" s="3">
        <v>22660</v>
      </c>
      <c r="P160" s="3">
        <v>23666</v>
      </c>
      <c r="Q160" s="3">
        <v>110301</v>
      </c>
      <c r="R160" s="3">
        <v>1516655</v>
      </c>
      <c r="S160" s="3">
        <v>1509780</v>
      </c>
      <c r="T160" s="3">
        <v>1509780</v>
      </c>
      <c r="U160" s="3">
        <v>196540</v>
      </c>
      <c r="V160" s="3">
        <v>196540</v>
      </c>
      <c r="W160" s="3">
        <v>196540</v>
      </c>
      <c r="X160" s="3">
        <v>196540</v>
      </c>
      <c r="Y160" s="3">
        <v>195394</v>
      </c>
      <c r="Z160" s="3">
        <v>195394</v>
      </c>
      <c r="AA160" s="4">
        <v>195395</v>
      </c>
      <c r="AB160" s="4">
        <v>195395</v>
      </c>
      <c r="AC160" s="4">
        <v>195395</v>
      </c>
      <c r="AD160" s="4">
        <v>195393</v>
      </c>
      <c r="AE160" s="4">
        <v>196540</v>
      </c>
      <c r="AF160" s="4">
        <v>393080</v>
      </c>
      <c r="AG160" s="4">
        <v>589620</v>
      </c>
      <c r="AH160" s="4">
        <v>786160</v>
      </c>
      <c r="AI160" s="4">
        <v>981554</v>
      </c>
      <c r="AJ160" s="4">
        <v>1176948</v>
      </c>
      <c r="AK160" s="4">
        <v>1372343</v>
      </c>
      <c r="AL160" s="4">
        <v>1567738</v>
      </c>
      <c r="AM160" s="4">
        <v>1763133</v>
      </c>
      <c r="AN160" s="4">
        <v>1958526</v>
      </c>
      <c r="AO160" s="150">
        <v>148082</v>
      </c>
    </row>
    <row r="161" spans="1:41" x14ac:dyDescent="0.2">
      <c r="A161" s="1">
        <v>2024</v>
      </c>
      <c r="B161" s="2" t="s">
        <v>181</v>
      </c>
      <c r="C161" s="2" t="s">
        <v>181</v>
      </c>
      <c r="D161" s="1" t="s">
        <v>531</v>
      </c>
      <c r="E161" s="3">
        <v>4001088</v>
      </c>
      <c r="F161" s="1">
        <v>514</v>
      </c>
      <c r="G161" s="1">
        <v>0</v>
      </c>
      <c r="H161" s="3">
        <v>14046</v>
      </c>
      <c r="I161" s="1">
        <v>0</v>
      </c>
      <c r="J161" s="3">
        <v>4000574</v>
      </c>
      <c r="K161" s="3">
        <v>3986528</v>
      </c>
      <c r="L161" s="3">
        <v>3986528</v>
      </c>
      <c r="M161" s="3">
        <v>117829</v>
      </c>
      <c r="N161" s="3">
        <v>394858</v>
      </c>
      <c r="O161" s="3">
        <v>41295</v>
      </c>
      <c r="P161" s="3">
        <v>42224</v>
      </c>
      <c r="Q161" s="3">
        <v>225356</v>
      </c>
      <c r="R161" s="3">
        <v>3179012</v>
      </c>
      <c r="S161" s="3">
        <v>3164966</v>
      </c>
      <c r="T161" s="3">
        <v>3164966</v>
      </c>
      <c r="U161" s="3">
        <v>400057</v>
      </c>
      <c r="V161" s="3">
        <v>400057</v>
      </c>
      <c r="W161" s="3">
        <v>400057</v>
      </c>
      <c r="X161" s="3">
        <v>400057</v>
      </c>
      <c r="Y161" s="3">
        <v>397717</v>
      </c>
      <c r="Z161" s="3">
        <v>397717</v>
      </c>
      <c r="AA161" s="4">
        <v>397717</v>
      </c>
      <c r="AB161" s="4">
        <v>397717</v>
      </c>
      <c r="AC161" s="4">
        <v>397717</v>
      </c>
      <c r="AD161" s="4">
        <v>397715</v>
      </c>
      <c r="AE161" s="4">
        <v>400057</v>
      </c>
      <c r="AF161" s="4">
        <v>800114</v>
      </c>
      <c r="AG161" s="4">
        <v>1200171</v>
      </c>
      <c r="AH161" s="4">
        <v>1600228</v>
      </c>
      <c r="AI161" s="4">
        <v>1997945</v>
      </c>
      <c r="AJ161" s="4">
        <v>2395662</v>
      </c>
      <c r="AK161" s="4">
        <v>2793379</v>
      </c>
      <c r="AL161" s="4">
        <v>3191096</v>
      </c>
      <c r="AM161" s="4">
        <v>3588813</v>
      </c>
      <c r="AN161" s="4">
        <v>3986528</v>
      </c>
      <c r="AO161" s="150">
        <v>300952</v>
      </c>
    </row>
    <row r="162" spans="1:41" x14ac:dyDescent="0.2">
      <c r="A162" s="1">
        <v>2024</v>
      </c>
      <c r="B162" s="2" t="s">
        <v>182</v>
      </c>
      <c r="C162" s="2" t="s">
        <v>696</v>
      </c>
      <c r="D162" s="1" t="s">
        <v>532</v>
      </c>
      <c r="E162" s="3">
        <v>3126662</v>
      </c>
      <c r="F162" s="1">
        <v>381</v>
      </c>
      <c r="G162" s="1">
        <v>0</v>
      </c>
      <c r="H162" s="3">
        <v>12064</v>
      </c>
      <c r="I162" s="3">
        <v>0</v>
      </c>
      <c r="J162" s="3">
        <v>3126281</v>
      </c>
      <c r="K162" s="3">
        <v>3114217</v>
      </c>
      <c r="L162" s="3">
        <v>3114217</v>
      </c>
      <c r="M162" s="3">
        <v>87422</v>
      </c>
      <c r="N162" s="3">
        <v>388186</v>
      </c>
      <c r="O162" s="3">
        <v>44707</v>
      </c>
      <c r="P162" s="3">
        <v>44111</v>
      </c>
      <c r="Q162" s="3">
        <v>202944</v>
      </c>
      <c r="R162" s="3">
        <v>2358911</v>
      </c>
      <c r="S162" s="3">
        <v>2346847</v>
      </c>
      <c r="T162" s="3">
        <v>2346847</v>
      </c>
      <c r="U162" s="3">
        <v>312628</v>
      </c>
      <c r="V162" s="3">
        <v>312628</v>
      </c>
      <c r="W162" s="3">
        <v>312628</v>
      </c>
      <c r="X162" s="3">
        <v>312628</v>
      </c>
      <c r="Y162" s="3">
        <v>310618</v>
      </c>
      <c r="Z162" s="3">
        <v>310618</v>
      </c>
      <c r="AA162" s="4">
        <v>310617</v>
      </c>
      <c r="AB162" s="4">
        <v>310617</v>
      </c>
      <c r="AC162" s="4">
        <v>310617</v>
      </c>
      <c r="AD162" s="4">
        <v>310618</v>
      </c>
      <c r="AE162" s="4">
        <v>312628</v>
      </c>
      <c r="AF162" s="4">
        <v>625256</v>
      </c>
      <c r="AG162" s="4">
        <v>937884</v>
      </c>
      <c r="AH162" s="4">
        <v>1250512</v>
      </c>
      <c r="AI162" s="4">
        <v>1561130</v>
      </c>
      <c r="AJ162" s="4">
        <v>1871748</v>
      </c>
      <c r="AK162" s="4">
        <v>2182365</v>
      </c>
      <c r="AL162" s="4">
        <v>2492982</v>
      </c>
      <c r="AM162" s="4">
        <v>2803599</v>
      </c>
      <c r="AN162" s="4">
        <v>3114217</v>
      </c>
      <c r="AO162" s="150">
        <v>266868</v>
      </c>
    </row>
    <row r="163" spans="1:41" x14ac:dyDescent="0.2">
      <c r="A163" s="1">
        <v>2024</v>
      </c>
      <c r="B163" s="2" t="s">
        <v>183</v>
      </c>
      <c r="C163" s="2" t="s">
        <v>183</v>
      </c>
      <c r="D163" s="1" t="s">
        <v>533</v>
      </c>
      <c r="E163" s="3">
        <v>15573722</v>
      </c>
      <c r="F163" s="3">
        <v>1741</v>
      </c>
      <c r="G163" s="3">
        <v>0</v>
      </c>
      <c r="H163" s="3">
        <v>51345</v>
      </c>
      <c r="I163" s="3">
        <v>0</v>
      </c>
      <c r="J163" s="3">
        <v>15571981</v>
      </c>
      <c r="K163" s="3">
        <v>15520636</v>
      </c>
      <c r="L163" s="3">
        <v>15520636</v>
      </c>
      <c r="M163" s="3">
        <v>399097</v>
      </c>
      <c r="N163" s="3">
        <v>1414610</v>
      </c>
      <c r="O163" s="3">
        <v>157320</v>
      </c>
      <c r="P163" s="3">
        <v>163892</v>
      </c>
      <c r="Q163" s="3">
        <v>823775</v>
      </c>
      <c r="R163" s="3">
        <v>12613287</v>
      </c>
      <c r="S163" s="3">
        <v>12561942</v>
      </c>
      <c r="T163" s="3">
        <v>12561942</v>
      </c>
      <c r="U163" s="3">
        <v>1557198</v>
      </c>
      <c r="V163" s="3">
        <v>1557198</v>
      </c>
      <c r="W163" s="3">
        <v>1557198</v>
      </c>
      <c r="X163" s="3">
        <v>1557198</v>
      </c>
      <c r="Y163" s="3">
        <v>1548641</v>
      </c>
      <c r="Z163" s="3">
        <v>1548641</v>
      </c>
      <c r="AA163" s="4">
        <v>1548641</v>
      </c>
      <c r="AB163" s="4">
        <v>1548641</v>
      </c>
      <c r="AC163" s="4">
        <v>1548641</v>
      </c>
      <c r="AD163" s="4">
        <v>1548639</v>
      </c>
      <c r="AE163" s="4">
        <v>1557198</v>
      </c>
      <c r="AF163" s="4">
        <v>3114396</v>
      </c>
      <c r="AG163" s="4">
        <v>4671594</v>
      </c>
      <c r="AH163" s="4">
        <v>6228792</v>
      </c>
      <c r="AI163" s="4">
        <v>7777433</v>
      </c>
      <c r="AJ163" s="4">
        <v>9326074</v>
      </c>
      <c r="AK163" s="4">
        <v>10874715</v>
      </c>
      <c r="AL163" s="4">
        <v>12423356</v>
      </c>
      <c r="AM163" s="4">
        <v>13971997</v>
      </c>
      <c r="AN163" s="4">
        <v>15520636</v>
      </c>
      <c r="AO163" s="150">
        <v>1195193</v>
      </c>
    </row>
    <row r="164" spans="1:41" x14ac:dyDescent="0.2">
      <c r="A164" s="1">
        <v>2024</v>
      </c>
      <c r="B164" s="2" t="s">
        <v>184</v>
      </c>
      <c r="C164" s="2" t="s">
        <v>184</v>
      </c>
      <c r="D164" s="1" t="s">
        <v>534</v>
      </c>
      <c r="E164" s="3">
        <v>3299434</v>
      </c>
      <c r="F164" s="3">
        <v>564</v>
      </c>
      <c r="G164" s="3">
        <v>0</v>
      </c>
      <c r="H164" s="3">
        <v>10346</v>
      </c>
      <c r="I164" s="1">
        <v>0</v>
      </c>
      <c r="J164" s="3">
        <v>3298870</v>
      </c>
      <c r="K164" s="3">
        <v>3288524</v>
      </c>
      <c r="L164" s="3">
        <v>3288524</v>
      </c>
      <c r="M164" s="3">
        <v>129231</v>
      </c>
      <c r="N164" s="3">
        <v>322437</v>
      </c>
      <c r="O164" s="3">
        <v>42360</v>
      </c>
      <c r="P164" s="3">
        <v>37140</v>
      </c>
      <c r="Q164" s="3">
        <v>165986</v>
      </c>
      <c r="R164" s="3">
        <v>2601716</v>
      </c>
      <c r="S164" s="3">
        <v>2591370</v>
      </c>
      <c r="T164" s="3">
        <v>2591370</v>
      </c>
      <c r="U164" s="3">
        <v>329887</v>
      </c>
      <c r="V164" s="3">
        <v>329887</v>
      </c>
      <c r="W164" s="3">
        <v>329887</v>
      </c>
      <c r="X164" s="3">
        <v>329887</v>
      </c>
      <c r="Y164" s="3">
        <v>328163</v>
      </c>
      <c r="Z164" s="3">
        <v>328163</v>
      </c>
      <c r="AA164" s="4">
        <v>328163</v>
      </c>
      <c r="AB164" s="4">
        <v>328163</v>
      </c>
      <c r="AC164" s="4">
        <v>328163</v>
      </c>
      <c r="AD164" s="4">
        <v>328161</v>
      </c>
      <c r="AE164" s="4">
        <v>329887</v>
      </c>
      <c r="AF164" s="4">
        <v>659774</v>
      </c>
      <c r="AG164" s="4">
        <v>989661</v>
      </c>
      <c r="AH164" s="4">
        <v>1319548</v>
      </c>
      <c r="AI164" s="4">
        <v>1647711</v>
      </c>
      <c r="AJ164" s="4">
        <v>1975874</v>
      </c>
      <c r="AK164" s="4">
        <v>2304037</v>
      </c>
      <c r="AL164" s="4">
        <v>2632200</v>
      </c>
      <c r="AM164" s="4">
        <v>2960363</v>
      </c>
      <c r="AN164" s="4">
        <v>3288524</v>
      </c>
      <c r="AO164" s="150">
        <v>214753</v>
      </c>
    </row>
    <row r="165" spans="1:41" x14ac:dyDescent="0.2">
      <c r="A165" s="1">
        <v>2024</v>
      </c>
      <c r="B165" s="2" t="s">
        <v>185</v>
      </c>
      <c r="C165" s="2" t="s">
        <v>185</v>
      </c>
      <c r="D165" s="1" t="s">
        <v>535</v>
      </c>
      <c r="E165" s="3">
        <v>15707993</v>
      </c>
      <c r="F165" s="3">
        <v>1045</v>
      </c>
      <c r="G165" s="3">
        <v>0</v>
      </c>
      <c r="H165" s="3">
        <v>60999</v>
      </c>
      <c r="I165" s="3">
        <v>0</v>
      </c>
      <c r="J165" s="3">
        <v>15706948</v>
      </c>
      <c r="K165" s="3">
        <v>15645949</v>
      </c>
      <c r="L165" s="3">
        <v>15645949</v>
      </c>
      <c r="M165" s="3">
        <v>243165</v>
      </c>
      <c r="N165" s="3">
        <v>1692281</v>
      </c>
      <c r="O165" s="3">
        <v>247475</v>
      </c>
      <c r="P165" s="3">
        <v>197470</v>
      </c>
      <c r="Q165" s="3">
        <v>978668</v>
      </c>
      <c r="R165" s="3">
        <v>12347889</v>
      </c>
      <c r="S165" s="3">
        <v>12286890</v>
      </c>
      <c r="T165" s="3">
        <v>12286890</v>
      </c>
      <c r="U165" s="3">
        <v>1570695</v>
      </c>
      <c r="V165" s="3">
        <v>1570695</v>
      </c>
      <c r="W165" s="3">
        <v>1570695</v>
      </c>
      <c r="X165" s="3">
        <v>1570695</v>
      </c>
      <c r="Y165" s="3">
        <v>1560528</v>
      </c>
      <c r="Z165" s="3">
        <v>1560528</v>
      </c>
      <c r="AA165" s="4">
        <v>1560528</v>
      </c>
      <c r="AB165" s="4">
        <v>1560528</v>
      </c>
      <c r="AC165" s="4">
        <v>1560528</v>
      </c>
      <c r="AD165" s="4">
        <v>1560529</v>
      </c>
      <c r="AE165" s="4">
        <v>1570695</v>
      </c>
      <c r="AF165" s="4">
        <v>3141390</v>
      </c>
      <c r="AG165" s="4">
        <v>4712085</v>
      </c>
      <c r="AH165" s="4">
        <v>6282780</v>
      </c>
      <c r="AI165" s="4">
        <v>7843308</v>
      </c>
      <c r="AJ165" s="4">
        <v>9403836</v>
      </c>
      <c r="AK165" s="4">
        <v>10964364</v>
      </c>
      <c r="AL165" s="4">
        <v>12524892</v>
      </c>
      <c r="AM165" s="4">
        <v>14085420</v>
      </c>
      <c r="AN165" s="4">
        <v>15645949</v>
      </c>
      <c r="AO165" s="150">
        <v>1365127</v>
      </c>
    </row>
    <row r="166" spans="1:41" x14ac:dyDescent="0.2">
      <c r="A166" s="1">
        <v>2024</v>
      </c>
      <c r="B166" s="2" t="s">
        <v>186</v>
      </c>
      <c r="C166" s="2" t="s">
        <v>186</v>
      </c>
      <c r="D166" s="1" t="s">
        <v>536</v>
      </c>
      <c r="E166" s="3">
        <v>4779848</v>
      </c>
      <c r="F166" s="3">
        <v>614</v>
      </c>
      <c r="G166" s="3">
        <v>0</v>
      </c>
      <c r="H166" s="3">
        <v>16672</v>
      </c>
      <c r="I166" s="3">
        <v>0</v>
      </c>
      <c r="J166" s="3">
        <v>4779234</v>
      </c>
      <c r="K166" s="3">
        <v>4762562</v>
      </c>
      <c r="L166" s="3">
        <v>4762562</v>
      </c>
      <c r="M166" s="3">
        <v>140634</v>
      </c>
      <c r="N166" s="3">
        <v>473875</v>
      </c>
      <c r="O166" s="3">
        <v>50537</v>
      </c>
      <c r="P166" s="3">
        <v>51089</v>
      </c>
      <c r="Q166" s="3">
        <v>267479</v>
      </c>
      <c r="R166" s="3">
        <v>3795620</v>
      </c>
      <c r="S166" s="3">
        <v>3778948</v>
      </c>
      <c r="T166" s="3">
        <v>3778948</v>
      </c>
      <c r="U166" s="3">
        <v>477923</v>
      </c>
      <c r="V166" s="3">
        <v>477923</v>
      </c>
      <c r="W166" s="3">
        <v>477923</v>
      </c>
      <c r="X166" s="3">
        <v>477923</v>
      </c>
      <c r="Y166" s="3">
        <v>475145</v>
      </c>
      <c r="Z166" s="3">
        <v>475145</v>
      </c>
      <c r="AA166" s="4">
        <v>475145</v>
      </c>
      <c r="AB166" s="4">
        <v>475145</v>
      </c>
      <c r="AC166" s="4">
        <v>475145</v>
      </c>
      <c r="AD166" s="4">
        <v>475145</v>
      </c>
      <c r="AE166" s="4">
        <v>477923</v>
      </c>
      <c r="AF166" s="4">
        <v>955846</v>
      </c>
      <c r="AG166" s="4">
        <v>1433769</v>
      </c>
      <c r="AH166" s="4">
        <v>1911692</v>
      </c>
      <c r="AI166" s="4">
        <v>2386837</v>
      </c>
      <c r="AJ166" s="4">
        <v>2861982</v>
      </c>
      <c r="AK166" s="4">
        <v>3337127</v>
      </c>
      <c r="AL166" s="4">
        <v>3812272</v>
      </c>
      <c r="AM166" s="4">
        <v>4287417</v>
      </c>
      <c r="AN166" s="4">
        <v>4762562</v>
      </c>
      <c r="AO166" s="150">
        <v>347378</v>
      </c>
    </row>
    <row r="167" spans="1:41" x14ac:dyDescent="0.2">
      <c r="A167" s="1">
        <v>2024</v>
      </c>
      <c r="B167" s="2" t="s">
        <v>187</v>
      </c>
      <c r="C167" s="2" t="s">
        <v>187</v>
      </c>
      <c r="D167" s="1" t="s">
        <v>537</v>
      </c>
      <c r="E167" s="3">
        <v>55020275</v>
      </c>
      <c r="F167" s="3">
        <v>4146</v>
      </c>
      <c r="G167" s="3">
        <v>0</v>
      </c>
      <c r="H167" s="3">
        <v>176536</v>
      </c>
      <c r="I167" s="1">
        <v>0</v>
      </c>
      <c r="J167" s="3">
        <v>55016129</v>
      </c>
      <c r="K167" s="3">
        <v>54839593</v>
      </c>
      <c r="L167" s="3">
        <v>54839593</v>
      </c>
      <c r="M167" s="3">
        <v>976175</v>
      </c>
      <c r="N167" s="3">
        <v>4745335</v>
      </c>
      <c r="O167" s="3">
        <v>530300</v>
      </c>
      <c r="P167" s="3">
        <v>531145</v>
      </c>
      <c r="Q167" s="3">
        <v>2832337</v>
      </c>
      <c r="R167" s="3">
        <v>45400837</v>
      </c>
      <c r="S167" s="3">
        <v>45224301</v>
      </c>
      <c r="T167" s="3">
        <v>45224301</v>
      </c>
      <c r="U167" s="3">
        <v>5501613</v>
      </c>
      <c r="V167" s="3">
        <v>5501613</v>
      </c>
      <c r="W167" s="3">
        <v>5501613</v>
      </c>
      <c r="X167" s="3">
        <v>5501613</v>
      </c>
      <c r="Y167" s="3">
        <v>5472190</v>
      </c>
      <c r="Z167" s="3">
        <v>5472190</v>
      </c>
      <c r="AA167" s="4">
        <v>5472190</v>
      </c>
      <c r="AB167" s="4">
        <v>5472190</v>
      </c>
      <c r="AC167" s="4">
        <v>5472190</v>
      </c>
      <c r="AD167" s="4">
        <v>5472191</v>
      </c>
      <c r="AE167" s="4">
        <v>5501613</v>
      </c>
      <c r="AF167" s="4">
        <v>11003226</v>
      </c>
      <c r="AG167" s="4">
        <v>16504839</v>
      </c>
      <c r="AH167" s="4">
        <v>22006452</v>
      </c>
      <c r="AI167" s="4">
        <v>27478642</v>
      </c>
      <c r="AJ167" s="4">
        <v>32950832</v>
      </c>
      <c r="AK167" s="4">
        <v>38423022</v>
      </c>
      <c r="AL167" s="4">
        <v>43895212</v>
      </c>
      <c r="AM167" s="4">
        <v>49367402</v>
      </c>
      <c r="AN167" s="4">
        <v>54839593</v>
      </c>
      <c r="AO167" s="150">
        <v>3893683</v>
      </c>
    </row>
    <row r="168" spans="1:41" x14ac:dyDescent="0.2">
      <c r="A168" s="1">
        <v>2024</v>
      </c>
      <c r="B168" s="2" t="s">
        <v>188</v>
      </c>
      <c r="C168" s="2" t="s">
        <v>188</v>
      </c>
      <c r="D168" s="1" t="s">
        <v>538</v>
      </c>
      <c r="E168" s="3">
        <v>5086267</v>
      </c>
      <c r="F168" s="3">
        <v>796</v>
      </c>
      <c r="G168" s="3">
        <v>0</v>
      </c>
      <c r="H168" s="3">
        <v>15415</v>
      </c>
      <c r="I168" s="3">
        <v>0</v>
      </c>
      <c r="J168" s="3">
        <v>5085471</v>
      </c>
      <c r="K168" s="3">
        <v>5070056</v>
      </c>
      <c r="L168" s="3">
        <v>5070056</v>
      </c>
      <c r="M168" s="3">
        <v>182444</v>
      </c>
      <c r="N168" s="3">
        <v>417847</v>
      </c>
      <c r="O168" s="3">
        <v>42044</v>
      </c>
      <c r="P168" s="3">
        <v>42159</v>
      </c>
      <c r="Q168" s="3">
        <v>247320</v>
      </c>
      <c r="R168" s="3">
        <v>4153657</v>
      </c>
      <c r="S168" s="3">
        <v>4138242</v>
      </c>
      <c r="T168" s="3">
        <v>4138242</v>
      </c>
      <c r="U168" s="3">
        <v>508547</v>
      </c>
      <c r="V168" s="3">
        <v>508547</v>
      </c>
      <c r="W168" s="3">
        <v>508547</v>
      </c>
      <c r="X168" s="3">
        <v>508547</v>
      </c>
      <c r="Y168" s="3">
        <v>505978</v>
      </c>
      <c r="Z168" s="3">
        <v>505978</v>
      </c>
      <c r="AA168" s="4">
        <v>505978</v>
      </c>
      <c r="AB168" s="4">
        <v>505978</v>
      </c>
      <c r="AC168" s="4">
        <v>505978</v>
      </c>
      <c r="AD168" s="4">
        <v>505978</v>
      </c>
      <c r="AE168" s="4">
        <v>508547</v>
      </c>
      <c r="AF168" s="4">
        <v>1017094</v>
      </c>
      <c r="AG168" s="4">
        <v>1525641</v>
      </c>
      <c r="AH168" s="4">
        <v>2034188</v>
      </c>
      <c r="AI168" s="4">
        <v>2540166</v>
      </c>
      <c r="AJ168" s="4">
        <v>3046144</v>
      </c>
      <c r="AK168" s="4">
        <v>3552122</v>
      </c>
      <c r="AL168" s="4">
        <v>4058100</v>
      </c>
      <c r="AM168" s="4">
        <v>4564078</v>
      </c>
      <c r="AN168" s="4">
        <v>5070056</v>
      </c>
      <c r="AO168" s="150">
        <v>323545</v>
      </c>
    </row>
    <row r="169" spans="1:41" x14ac:dyDescent="0.2">
      <c r="A169" s="1">
        <v>2024</v>
      </c>
      <c r="B169" s="2" t="s">
        <v>189</v>
      </c>
      <c r="C169" s="2" t="s">
        <v>189</v>
      </c>
      <c r="D169" s="1" t="s">
        <v>539</v>
      </c>
      <c r="E169" s="3">
        <v>4201163</v>
      </c>
      <c r="F169" s="1">
        <v>431</v>
      </c>
      <c r="G169" s="1">
        <v>0</v>
      </c>
      <c r="H169" s="3">
        <v>13849</v>
      </c>
      <c r="I169" s="1">
        <v>0</v>
      </c>
      <c r="J169" s="3">
        <v>4200732</v>
      </c>
      <c r="K169" s="3">
        <v>4186883</v>
      </c>
      <c r="L169" s="3">
        <v>4186883</v>
      </c>
      <c r="M169" s="3">
        <v>98824</v>
      </c>
      <c r="N169" s="3">
        <v>397184</v>
      </c>
      <c r="O169" s="3">
        <v>45477</v>
      </c>
      <c r="P169" s="3">
        <v>44367</v>
      </c>
      <c r="Q169" s="3">
        <v>222187</v>
      </c>
      <c r="R169" s="3">
        <v>3392693</v>
      </c>
      <c r="S169" s="3">
        <v>3378844</v>
      </c>
      <c r="T169" s="3">
        <v>3378844</v>
      </c>
      <c r="U169" s="3">
        <v>420073</v>
      </c>
      <c r="V169" s="3">
        <v>420073</v>
      </c>
      <c r="W169" s="3">
        <v>420073</v>
      </c>
      <c r="X169" s="3">
        <v>420073</v>
      </c>
      <c r="Y169" s="3">
        <v>417765</v>
      </c>
      <c r="Z169" s="3">
        <v>417765</v>
      </c>
      <c r="AA169" s="4">
        <v>417765</v>
      </c>
      <c r="AB169" s="4">
        <v>417765</v>
      </c>
      <c r="AC169" s="4">
        <v>417765</v>
      </c>
      <c r="AD169" s="4">
        <v>417766</v>
      </c>
      <c r="AE169" s="4">
        <v>420073</v>
      </c>
      <c r="AF169" s="4">
        <v>840146</v>
      </c>
      <c r="AG169" s="4">
        <v>1260219</v>
      </c>
      <c r="AH169" s="4">
        <v>1680292</v>
      </c>
      <c r="AI169" s="4">
        <v>2098057</v>
      </c>
      <c r="AJ169" s="4">
        <v>2515822</v>
      </c>
      <c r="AK169" s="4">
        <v>2933587</v>
      </c>
      <c r="AL169" s="4">
        <v>3351352</v>
      </c>
      <c r="AM169" s="4">
        <v>3769117</v>
      </c>
      <c r="AN169" s="4">
        <v>4186883</v>
      </c>
      <c r="AO169" s="150">
        <v>286872</v>
      </c>
    </row>
    <row r="170" spans="1:41" x14ac:dyDescent="0.2">
      <c r="A170" s="1">
        <v>2024</v>
      </c>
      <c r="B170" s="2" t="s">
        <v>190</v>
      </c>
      <c r="C170" s="2" t="s">
        <v>190</v>
      </c>
      <c r="D170" s="1" t="s">
        <v>540</v>
      </c>
      <c r="E170" s="3">
        <v>1864483</v>
      </c>
      <c r="F170" s="3">
        <v>282</v>
      </c>
      <c r="G170" s="3">
        <v>0</v>
      </c>
      <c r="H170" s="3">
        <v>7277</v>
      </c>
      <c r="I170" s="3">
        <v>0</v>
      </c>
      <c r="J170" s="3">
        <v>1864201</v>
      </c>
      <c r="K170" s="3">
        <v>1856924</v>
      </c>
      <c r="L170" s="3">
        <v>1856924</v>
      </c>
      <c r="M170" s="3">
        <v>64616</v>
      </c>
      <c r="N170" s="3">
        <v>237950</v>
      </c>
      <c r="O170" s="3">
        <v>27087</v>
      </c>
      <c r="P170" s="3">
        <v>24699</v>
      </c>
      <c r="Q170" s="3">
        <v>120006</v>
      </c>
      <c r="R170" s="3">
        <v>1389843</v>
      </c>
      <c r="S170" s="3">
        <v>1382566</v>
      </c>
      <c r="T170" s="3">
        <v>1382566</v>
      </c>
      <c r="U170" s="3">
        <v>186420</v>
      </c>
      <c r="V170" s="3">
        <v>186420</v>
      </c>
      <c r="W170" s="3">
        <v>186420</v>
      </c>
      <c r="X170" s="3">
        <v>186420</v>
      </c>
      <c r="Y170" s="3">
        <v>185207</v>
      </c>
      <c r="Z170" s="3">
        <v>185207</v>
      </c>
      <c r="AA170" s="4">
        <v>185208</v>
      </c>
      <c r="AB170" s="4">
        <v>185208</v>
      </c>
      <c r="AC170" s="4">
        <v>185208</v>
      </c>
      <c r="AD170" s="4">
        <v>185206</v>
      </c>
      <c r="AE170" s="4">
        <v>186420</v>
      </c>
      <c r="AF170" s="4">
        <v>372840</v>
      </c>
      <c r="AG170" s="4">
        <v>559260</v>
      </c>
      <c r="AH170" s="4">
        <v>745680</v>
      </c>
      <c r="AI170" s="4">
        <v>930887</v>
      </c>
      <c r="AJ170" s="4">
        <v>1116094</v>
      </c>
      <c r="AK170" s="4">
        <v>1301302</v>
      </c>
      <c r="AL170" s="4">
        <v>1486510</v>
      </c>
      <c r="AM170" s="4">
        <v>1671718</v>
      </c>
      <c r="AN170" s="4">
        <v>1856924</v>
      </c>
      <c r="AO170" s="150">
        <v>158714</v>
      </c>
    </row>
    <row r="171" spans="1:41" x14ac:dyDescent="0.2">
      <c r="A171" s="1">
        <v>2024</v>
      </c>
      <c r="B171" s="2" t="s">
        <v>191</v>
      </c>
      <c r="C171" s="2" t="s">
        <v>191</v>
      </c>
      <c r="D171" s="1" t="s">
        <v>541</v>
      </c>
      <c r="E171" s="3">
        <v>4581091</v>
      </c>
      <c r="F171" s="1">
        <v>697</v>
      </c>
      <c r="G171" s="1">
        <v>0</v>
      </c>
      <c r="H171" s="3">
        <v>15785</v>
      </c>
      <c r="I171" s="1">
        <v>0</v>
      </c>
      <c r="J171" s="3">
        <v>4580394</v>
      </c>
      <c r="K171" s="3">
        <v>4564609</v>
      </c>
      <c r="L171" s="3">
        <v>4564609</v>
      </c>
      <c r="M171" s="3">
        <v>159638</v>
      </c>
      <c r="N171" s="3">
        <v>483720</v>
      </c>
      <c r="O171" s="3">
        <v>52090</v>
      </c>
      <c r="P171" s="3">
        <v>55883</v>
      </c>
      <c r="Q171" s="3">
        <v>253254</v>
      </c>
      <c r="R171" s="3">
        <v>3575809</v>
      </c>
      <c r="S171" s="3">
        <v>3560024</v>
      </c>
      <c r="T171" s="3">
        <v>3560024</v>
      </c>
      <c r="U171" s="3">
        <v>458039</v>
      </c>
      <c r="V171" s="3">
        <v>458039</v>
      </c>
      <c r="W171" s="3">
        <v>458039</v>
      </c>
      <c r="X171" s="3">
        <v>458039</v>
      </c>
      <c r="Y171" s="3">
        <v>455409</v>
      </c>
      <c r="Z171" s="3">
        <v>455409</v>
      </c>
      <c r="AA171" s="4">
        <v>455409</v>
      </c>
      <c r="AB171" s="4">
        <v>455409</v>
      </c>
      <c r="AC171" s="4">
        <v>455409</v>
      </c>
      <c r="AD171" s="4">
        <v>455408</v>
      </c>
      <c r="AE171" s="4">
        <v>458039</v>
      </c>
      <c r="AF171" s="4">
        <v>916078</v>
      </c>
      <c r="AG171" s="4">
        <v>1374117</v>
      </c>
      <c r="AH171" s="4">
        <v>1832156</v>
      </c>
      <c r="AI171" s="4">
        <v>2287565</v>
      </c>
      <c r="AJ171" s="4">
        <v>2742974</v>
      </c>
      <c r="AK171" s="4">
        <v>3198383</v>
      </c>
      <c r="AL171" s="4">
        <v>3653792</v>
      </c>
      <c r="AM171" s="4">
        <v>4109201</v>
      </c>
      <c r="AN171" s="4">
        <v>4564609</v>
      </c>
      <c r="AO171" s="150">
        <v>319814</v>
      </c>
    </row>
    <row r="172" spans="1:41" x14ac:dyDescent="0.2">
      <c r="A172" s="1">
        <v>2024</v>
      </c>
      <c r="B172" s="2" t="s">
        <v>193</v>
      </c>
      <c r="C172" s="2" t="s">
        <v>193</v>
      </c>
      <c r="D172" s="1" t="s">
        <v>543</v>
      </c>
      <c r="E172" s="3">
        <v>2798670</v>
      </c>
      <c r="F172" s="1">
        <v>431</v>
      </c>
      <c r="G172" s="1">
        <v>0</v>
      </c>
      <c r="H172" s="3">
        <v>10337</v>
      </c>
      <c r="I172" s="1">
        <v>0</v>
      </c>
      <c r="J172" s="3">
        <v>2798239</v>
      </c>
      <c r="K172" s="3">
        <v>2787902</v>
      </c>
      <c r="L172" s="3">
        <v>2787902</v>
      </c>
      <c r="M172" s="3">
        <v>98824</v>
      </c>
      <c r="N172" s="3">
        <v>300060</v>
      </c>
      <c r="O172" s="3">
        <v>31086</v>
      </c>
      <c r="P172" s="3">
        <v>30528</v>
      </c>
      <c r="Q172" s="3">
        <v>165839</v>
      </c>
      <c r="R172" s="3">
        <v>2171902</v>
      </c>
      <c r="S172" s="3">
        <v>2161565</v>
      </c>
      <c r="T172" s="3">
        <v>2161565</v>
      </c>
      <c r="U172" s="3">
        <v>279824</v>
      </c>
      <c r="V172" s="3">
        <v>279824</v>
      </c>
      <c r="W172" s="3">
        <v>279824</v>
      </c>
      <c r="X172" s="3">
        <v>279824</v>
      </c>
      <c r="Y172" s="3">
        <v>278101</v>
      </c>
      <c r="Z172" s="3">
        <v>278101</v>
      </c>
      <c r="AA172" s="4">
        <v>278101</v>
      </c>
      <c r="AB172" s="4">
        <v>278101</v>
      </c>
      <c r="AC172" s="4">
        <v>278101</v>
      </c>
      <c r="AD172" s="4">
        <v>278101</v>
      </c>
      <c r="AE172" s="4">
        <v>279824</v>
      </c>
      <c r="AF172" s="4">
        <v>559648</v>
      </c>
      <c r="AG172" s="4">
        <v>839472</v>
      </c>
      <c r="AH172" s="4">
        <v>1119296</v>
      </c>
      <c r="AI172" s="4">
        <v>1397397</v>
      </c>
      <c r="AJ172" s="4">
        <v>1675498</v>
      </c>
      <c r="AK172" s="4">
        <v>1953599</v>
      </c>
      <c r="AL172" s="4">
        <v>2231700</v>
      </c>
      <c r="AM172" s="4">
        <v>2509801</v>
      </c>
      <c r="AN172" s="4">
        <v>2787902</v>
      </c>
      <c r="AO172" s="150">
        <v>218338</v>
      </c>
    </row>
    <row r="173" spans="1:41" x14ac:dyDescent="0.2">
      <c r="A173" s="1">
        <v>2024</v>
      </c>
      <c r="B173" s="2" t="s">
        <v>194</v>
      </c>
      <c r="C173" s="2" t="s">
        <v>194</v>
      </c>
      <c r="D173" s="1" t="s">
        <v>544</v>
      </c>
      <c r="E173" s="3">
        <v>5274402</v>
      </c>
      <c r="F173" s="1">
        <v>481</v>
      </c>
      <c r="G173" s="1">
        <v>0</v>
      </c>
      <c r="H173" s="3">
        <v>15390</v>
      </c>
      <c r="I173" s="1">
        <v>0</v>
      </c>
      <c r="J173" s="3">
        <v>5273921</v>
      </c>
      <c r="K173" s="3">
        <v>5258531</v>
      </c>
      <c r="L173" s="3">
        <v>5258531</v>
      </c>
      <c r="M173" s="3">
        <v>110227</v>
      </c>
      <c r="N173" s="3">
        <v>432807</v>
      </c>
      <c r="O173" s="3">
        <v>52227</v>
      </c>
      <c r="P173" s="3">
        <v>47831</v>
      </c>
      <c r="Q173" s="3">
        <v>246915</v>
      </c>
      <c r="R173" s="3">
        <v>4383914</v>
      </c>
      <c r="S173" s="3">
        <v>4368524</v>
      </c>
      <c r="T173" s="3">
        <v>4368524</v>
      </c>
      <c r="U173" s="3">
        <v>527392</v>
      </c>
      <c r="V173" s="3">
        <v>527392</v>
      </c>
      <c r="W173" s="3">
        <v>527392</v>
      </c>
      <c r="X173" s="3">
        <v>527392</v>
      </c>
      <c r="Y173" s="3">
        <v>524827</v>
      </c>
      <c r="Z173" s="3">
        <v>524827</v>
      </c>
      <c r="AA173" s="4">
        <v>524827</v>
      </c>
      <c r="AB173" s="4">
        <v>524827</v>
      </c>
      <c r="AC173" s="4">
        <v>524827</v>
      </c>
      <c r="AD173" s="4">
        <v>524828</v>
      </c>
      <c r="AE173" s="4">
        <v>527392</v>
      </c>
      <c r="AF173" s="4">
        <v>1054784</v>
      </c>
      <c r="AG173" s="4">
        <v>1582176</v>
      </c>
      <c r="AH173" s="4">
        <v>2109568</v>
      </c>
      <c r="AI173" s="4">
        <v>2634395</v>
      </c>
      <c r="AJ173" s="4">
        <v>3159222</v>
      </c>
      <c r="AK173" s="4">
        <v>3684049</v>
      </c>
      <c r="AL173" s="4">
        <v>4208876</v>
      </c>
      <c r="AM173" s="4">
        <v>4733703</v>
      </c>
      <c r="AN173" s="4">
        <v>5258531</v>
      </c>
      <c r="AO173" s="150">
        <v>322746</v>
      </c>
    </row>
    <row r="174" spans="1:41" x14ac:dyDescent="0.2">
      <c r="A174" s="1">
        <v>2024</v>
      </c>
      <c r="B174" s="2" t="s">
        <v>195</v>
      </c>
      <c r="C174" s="2" t="s">
        <v>195</v>
      </c>
      <c r="D174" s="1" t="s">
        <v>545</v>
      </c>
      <c r="E174" s="3">
        <v>3259333</v>
      </c>
      <c r="F174" s="1">
        <v>431</v>
      </c>
      <c r="G174" s="1">
        <v>0</v>
      </c>
      <c r="H174" s="3">
        <v>12140</v>
      </c>
      <c r="I174" s="1">
        <v>0</v>
      </c>
      <c r="J174" s="3">
        <v>3258902</v>
      </c>
      <c r="K174" s="3">
        <v>3246762</v>
      </c>
      <c r="L174" s="3">
        <v>3246762</v>
      </c>
      <c r="M174" s="3">
        <v>98824</v>
      </c>
      <c r="N174" s="3">
        <v>375489</v>
      </c>
      <c r="O174" s="3">
        <v>38549</v>
      </c>
      <c r="P174" s="3">
        <v>41873</v>
      </c>
      <c r="Q174" s="3">
        <v>194768</v>
      </c>
      <c r="R174" s="3">
        <v>2509399</v>
      </c>
      <c r="S174" s="3">
        <v>2497259</v>
      </c>
      <c r="T174" s="3">
        <v>2497259</v>
      </c>
      <c r="U174" s="3">
        <v>325890</v>
      </c>
      <c r="V174" s="3">
        <v>325890</v>
      </c>
      <c r="W174" s="3">
        <v>325890</v>
      </c>
      <c r="X174" s="3">
        <v>325890</v>
      </c>
      <c r="Y174" s="3">
        <v>323867</v>
      </c>
      <c r="Z174" s="3">
        <v>323867</v>
      </c>
      <c r="AA174" s="4">
        <v>323867</v>
      </c>
      <c r="AB174" s="4">
        <v>323867</v>
      </c>
      <c r="AC174" s="4">
        <v>323867</v>
      </c>
      <c r="AD174" s="4">
        <v>323867</v>
      </c>
      <c r="AE174" s="4">
        <v>325890</v>
      </c>
      <c r="AF174" s="4">
        <v>651780</v>
      </c>
      <c r="AG174" s="4">
        <v>977670</v>
      </c>
      <c r="AH174" s="4">
        <v>1303560</v>
      </c>
      <c r="AI174" s="4">
        <v>1627427</v>
      </c>
      <c r="AJ174" s="4">
        <v>1951294</v>
      </c>
      <c r="AK174" s="4">
        <v>2275161</v>
      </c>
      <c r="AL174" s="4">
        <v>2599028</v>
      </c>
      <c r="AM174" s="4">
        <v>2922895</v>
      </c>
      <c r="AN174" s="4">
        <v>3246762</v>
      </c>
      <c r="AO174" s="150">
        <v>258805</v>
      </c>
    </row>
    <row r="175" spans="1:41" x14ac:dyDescent="0.2">
      <c r="A175" s="1">
        <v>2024</v>
      </c>
      <c r="B175" s="2" t="s">
        <v>196</v>
      </c>
      <c r="C175" s="2" t="s">
        <v>196</v>
      </c>
      <c r="D175" s="1" t="s">
        <v>546</v>
      </c>
      <c r="E175" s="3">
        <v>3477194</v>
      </c>
      <c r="F175" s="1">
        <v>564</v>
      </c>
      <c r="G175" s="1">
        <v>0</v>
      </c>
      <c r="H175" s="3">
        <v>15059</v>
      </c>
      <c r="I175" s="1">
        <v>0</v>
      </c>
      <c r="J175" s="3">
        <v>3476630</v>
      </c>
      <c r="K175" s="3">
        <v>3461571</v>
      </c>
      <c r="L175" s="3">
        <v>3461571</v>
      </c>
      <c r="M175" s="3">
        <v>129231</v>
      </c>
      <c r="N175" s="3">
        <v>450437</v>
      </c>
      <c r="O175" s="3">
        <v>41100</v>
      </c>
      <c r="P175" s="3">
        <v>49104</v>
      </c>
      <c r="Q175" s="3">
        <v>241608</v>
      </c>
      <c r="R175" s="3">
        <v>2565150</v>
      </c>
      <c r="S175" s="3">
        <v>2550091</v>
      </c>
      <c r="T175" s="3">
        <v>2550091</v>
      </c>
      <c r="U175" s="3">
        <v>347663</v>
      </c>
      <c r="V175" s="3">
        <v>347663</v>
      </c>
      <c r="W175" s="3">
        <v>347663</v>
      </c>
      <c r="X175" s="3">
        <v>347663</v>
      </c>
      <c r="Y175" s="3">
        <v>345153</v>
      </c>
      <c r="Z175" s="3">
        <v>345153</v>
      </c>
      <c r="AA175" s="4">
        <v>345153</v>
      </c>
      <c r="AB175" s="4">
        <v>345153</v>
      </c>
      <c r="AC175" s="4">
        <v>345153</v>
      </c>
      <c r="AD175" s="4">
        <v>345154</v>
      </c>
      <c r="AE175" s="4">
        <v>347663</v>
      </c>
      <c r="AF175" s="4">
        <v>695326</v>
      </c>
      <c r="AG175" s="4">
        <v>1042989</v>
      </c>
      <c r="AH175" s="4">
        <v>1390652</v>
      </c>
      <c r="AI175" s="4">
        <v>1735805</v>
      </c>
      <c r="AJ175" s="4">
        <v>2080958</v>
      </c>
      <c r="AK175" s="4">
        <v>2426111</v>
      </c>
      <c r="AL175" s="4">
        <v>2771264</v>
      </c>
      <c r="AM175" s="4">
        <v>3116417</v>
      </c>
      <c r="AN175" s="4">
        <v>3461571</v>
      </c>
      <c r="AO175" s="150">
        <v>322927</v>
      </c>
    </row>
    <row r="176" spans="1:41" x14ac:dyDescent="0.2">
      <c r="A176" s="1">
        <v>2024</v>
      </c>
      <c r="B176" s="2" t="s">
        <v>197</v>
      </c>
      <c r="C176" s="2" t="s">
        <v>197</v>
      </c>
      <c r="D176" s="1" t="s">
        <v>547</v>
      </c>
      <c r="E176" s="3">
        <v>3200195</v>
      </c>
      <c r="F176" s="3">
        <v>580</v>
      </c>
      <c r="G176" s="3">
        <v>0</v>
      </c>
      <c r="H176" s="3">
        <v>13640</v>
      </c>
      <c r="I176" s="1">
        <v>0</v>
      </c>
      <c r="J176" s="3">
        <v>3199615</v>
      </c>
      <c r="K176" s="3">
        <v>3185975</v>
      </c>
      <c r="L176" s="3">
        <v>3185975</v>
      </c>
      <c r="M176" s="3">
        <v>133033</v>
      </c>
      <c r="N176" s="3">
        <v>395690</v>
      </c>
      <c r="O176" s="3">
        <v>40456</v>
      </c>
      <c r="P176" s="3">
        <v>41809</v>
      </c>
      <c r="Q176" s="3">
        <v>218866</v>
      </c>
      <c r="R176" s="3">
        <v>2369761</v>
      </c>
      <c r="S176" s="3">
        <v>2356121</v>
      </c>
      <c r="T176" s="3">
        <v>2356121</v>
      </c>
      <c r="U176" s="3">
        <v>319962</v>
      </c>
      <c r="V176" s="3">
        <v>319962</v>
      </c>
      <c r="W176" s="3">
        <v>319962</v>
      </c>
      <c r="X176" s="3">
        <v>319962</v>
      </c>
      <c r="Y176" s="3">
        <v>317688</v>
      </c>
      <c r="Z176" s="3">
        <v>317688</v>
      </c>
      <c r="AA176" s="4">
        <v>317688</v>
      </c>
      <c r="AB176" s="4">
        <v>317688</v>
      </c>
      <c r="AC176" s="4">
        <v>317688</v>
      </c>
      <c r="AD176" s="4">
        <v>317687</v>
      </c>
      <c r="AE176" s="4">
        <v>319962</v>
      </c>
      <c r="AF176" s="4">
        <v>639924</v>
      </c>
      <c r="AG176" s="4">
        <v>959886</v>
      </c>
      <c r="AH176" s="4">
        <v>1279848</v>
      </c>
      <c r="AI176" s="4">
        <v>1597536</v>
      </c>
      <c r="AJ176" s="4">
        <v>1915224</v>
      </c>
      <c r="AK176" s="4">
        <v>2232912</v>
      </c>
      <c r="AL176" s="4">
        <v>2550600</v>
      </c>
      <c r="AM176" s="4">
        <v>2868288</v>
      </c>
      <c r="AN176" s="4">
        <v>3185975</v>
      </c>
      <c r="AO176" s="150">
        <v>288270</v>
      </c>
    </row>
    <row r="177" spans="1:41" x14ac:dyDescent="0.2">
      <c r="A177" s="1">
        <v>2024</v>
      </c>
      <c r="B177" s="2" t="s">
        <v>198</v>
      </c>
      <c r="C177" s="2" t="s">
        <v>198</v>
      </c>
      <c r="D177" s="1" t="s">
        <v>548</v>
      </c>
      <c r="E177" s="3">
        <v>9794141</v>
      </c>
      <c r="F177" s="3">
        <v>1144</v>
      </c>
      <c r="G177" s="3">
        <v>0</v>
      </c>
      <c r="H177" s="3">
        <v>27564</v>
      </c>
      <c r="I177" s="1">
        <v>0</v>
      </c>
      <c r="J177" s="3">
        <v>9792997</v>
      </c>
      <c r="K177" s="3">
        <v>9765433</v>
      </c>
      <c r="L177" s="3">
        <v>9765433</v>
      </c>
      <c r="M177" s="3">
        <v>262264</v>
      </c>
      <c r="N177" s="3">
        <v>830561</v>
      </c>
      <c r="O177" s="3">
        <v>99890</v>
      </c>
      <c r="P177" s="3">
        <v>96814</v>
      </c>
      <c r="Q177" s="3">
        <v>445533</v>
      </c>
      <c r="R177" s="3">
        <v>8057935</v>
      </c>
      <c r="S177" s="3">
        <v>8030371</v>
      </c>
      <c r="T177" s="3">
        <v>8030371</v>
      </c>
      <c r="U177" s="3">
        <v>979300</v>
      </c>
      <c r="V177" s="3">
        <v>979300</v>
      </c>
      <c r="W177" s="3">
        <v>979300</v>
      </c>
      <c r="X177" s="3">
        <v>979300</v>
      </c>
      <c r="Y177" s="3">
        <v>974706</v>
      </c>
      <c r="Z177" s="3">
        <v>974706</v>
      </c>
      <c r="AA177" s="4">
        <v>974705</v>
      </c>
      <c r="AB177" s="4">
        <v>974705</v>
      </c>
      <c r="AC177" s="4">
        <v>974705</v>
      </c>
      <c r="AD177" s="4">
        <v>974706</v>
      </c>
      <c r="AE177" s="4">
        <v>979300</v>
      </c>
      <c r="AF177" s="4">
        <v>1958600</v>
      </c>
      <c r="AG177" s="4">
        <v>2937900</v>
      </c>
      <c r="AH177" s="4">
        <v>3917200</v>
      </c>
      <c r="AI177" s="4">
        <v>4891906</v>
      </c>
      <c r="AJ177" s="4">
        <v>5866612</v>
      </c>
      <c r="AK177" s="4">
        <v>6841317</v>
      </c>
      <c r="AL177" s="4">
        <v>7816022</v>
      </c>
      <c r="AM177" s="4">
        <v>8790727</v>
      </c>
      <c r="AN177" s="4">
        <v>9765433</v>
      </c>
      <c r="AO177" s="150">
        <v>627222</v>
      </c>
    </row>
    <row r="178" spans="1:41" x14ac:dyDescent="0.2">
      <c r="A178" s="1">
        <v>2024</v>
      </c>
      <c r="B178" s="2" t="s">
        <v>199</v>
      </c>
      <c r="C178" s="2" t="s">
        <v>199</v>
      </c>
      <c r="D178" s="1" t="s">
        <v>549</v>
      </c>
      <c r="E178" s="3">
        <v>3818586</v>
      </c>
      <c r="F178" s="3">
        <v>614</v>
      </c>
      <c r="G178" s="3">
        <v>0</v>
      </c>
      <c r="H178" s="3">
        <v>15231</v>
      </c>
      <c r="I178" s="1">
        <v>0</v>
      </c>
      <c r="J178" s="3">
        <v>3817972</v>
      </c>
      <c r="K178" s="3">
        <v>3802741</v>
      </c>
      <c r="L178" s="3">
        <v>3802741</v>
      </c>
      <c r="M178" s="3">
        <v>140634</v>
      </c>
      <c r="N178" s="3">
        <v>442613</v>
      </c>
      <c r="O178" s="3">
        <v>48333</v>
      </c>
      <c r="P178" s="3">
        <v>48957</v>
      </c>
      <c r="Q178" s="3">
        <v>244372</v>
      </c>
      <c r="R178" s="3">
        <v>2893063</v>
      </c>
      <c r="S178" s="3">
        <v>2877832</v>
      </c>
      <c r="T178" s="3">
        <v>2877832</v>
      </c>
      <c r="U178" s="3">
        <v>381797</v>
      </c>
      <c r="V178" s="3">
        <v>381797</v>
      </c>
      <c r="W178" s="3">
        <v>381797</v>
      </c>
      <c r="X178" s="3">
        <v>381797</v>
      </c>
      <c r="Y178" s="3">
        <v>379259</v>
      </c>
      <c r="Z178" s="3">
        <v>379259</v>
      </c>
      <c r="AA178" s="4">
        <v>379259</v>
      </c>
      <c r="AB178" s="4">
        <v>379259</v>
      </c>
      <c r="AC178" s="4">
        <v>379259</v>
      </c>
      <c r="AD178" s="4">
        <v>379258</v>
      </c>
      <c r="AE178" s="4">
        <v>381797</v>
      </c>
      <c r="AF178" s="4">
        <v>763594</v>
      </c>
      <c r="AG178" s="4">
        <v>1145391</v>
      </c>
      <c r="AH178" s="4">
        <v>1527188</v>
      </c>
      <c r="AI178" s="4">
        <v>1906447</v>
      </c>
      <c r="AJ178" s="4">
        <v>2285706</v>
      </c>
      <c r="AK178" s="4">
        <v>2664965</v>
      </c>
      <c r="AL178" s="4">
        <v>3044224</v>
      </c>
      <c r="AM178" s="4">
        <v>3423483</v>
      </c>
      <c r="AN178" s="4">
        <v>3802741</v>
      </c>
      <c r="AO178" s="150">
        <v>321502</v>
      </c>
    </row>
    <row r="179" spans="1:41" x14ac:dyDescent="0.2">
      <c r="A179" s="1">
        <v>2024</v>
      </c>
      <c r="B179" s="2" t="s">
        <v>200</v>
      </c>
      <c r="C179" s="2" t="s">
        <v>200</v>
      </c>
      <c r="D179" s="1" t="s">
        <v>550</v>
      </c>
      <c r="E179" s="3">
        <v>2134744</v>
      </c>
      <c r="F179" s="3">
        <v>381</v>
      </c>
      <c r="G179" s="3">
        <v>0</v>
      </c>
      <c r="H179" s="3">
        <v>10686</v>
      </c>
      <c r="I179" s="3">
        <v>0</v>
      </c>
      <c r="J179" s="3">
        <v>2134363</v>
      </c>
      <c r="K179" s="3">
        <v>2123677</v>
      </c>
      <c r="L179" s="3">
        <v>2123677</v>
      </c>
      <c r="M179" s="3">
        <v>87422</v>
      </c>
      <c r="N179" s="3">
        <v>322412</v>
      </c>
      <c r="O179" s="3">
        <v>27772</v>
      </c>
      <c r="P179" s="3">
        <v>34360</v>
      </c>
      <c r="Q179" s="3">
        <v>171440</v>
      </c>
      <c r="R179" s="3">
        <v>1490957</v>
      </c>
      <c r="S179" s="3">
        <v>1480271</v>
      </c>
      <c r="T179" s="3">
        <v>1480271</v>
      </c>
      <c r="U179" s="3">
        <v>213436</v>
      </c>
      <c r="V179" s="3">
        <v>213436</v>
      </c>
      <c r="W179" s="3">
        <v>213436</v>
      </c>
      <c r="X179" s="3">
        <v>213436</v>
      </c>
      <c r="Y179" s="3">
        <v>211656</v>
      </c>
      <c r="Z179" s="3">
        <v>211656</v>
      </c>
      <c r="AA179" s="4">
        <v>211655</v>
      </c>
      <c r="AB179" s="4">
        <v>211655</v>
      </c>
      <c r="AC179" s="4">
        <v>211655</v>
      </c>
      <c r="AD179" s="4">
        <v>211656</v>
      </c>
      <c r="AE179" s="4">
        <v>213436</v>
      </c>
      <c r="AF179" s="4">
        <v>426872</v>
      </c>
      <c r="AG179" s="4">
        <v>640308</v>
      </c>
      <c r="AH179" s="4">
        <v>853744</v>
      </c>
      <c r="AI179" s="4">
        <v>1065400</v>
      </c>
      <c r="AJ179" s="4">
        <v>1277056</v>
      </c>
      <c r="AK179" s="4">
        <v>1488711</v>
      </c>
      <c r="AL179" s="4">
        <v>1700366</v>
      </c>
      <c r="AM179" s="4">
        <v>1912021</v>
      </c>
      <c r="AN179" s="4">
        <v>2123677</v>
      </c>
      <c r="AO179" s="150">
        <v>220445</v>
      </c>
    </row>
    <row r="180" spans="1:41" x14ac:dyDescent="0.2">
      <c r="A180" s="1">
        <v>2024</v>
      </c>
      <c r="B180" s="2" t="s">
        <v>201</v>
      </c>
      <c r="C180" s="2" t="s">
        <v>201</v>
      </c>
      <c r="D180" s="1" t="s">
        <v>551</v>
      </c>
      <c r="E180" s="3">
        <v>14678861</v>
      </c>
      <c r="F180" s="3">
        <v>1692</v>
      </c>
      <c r="G180" s="3">
        <v>0</v>
      </c>
      <c r="H180" s="3">
        <v>41291</v>
      </c>
      <c r="I180" s="1">
        <v>0</v>
      </c>
      <c r="J180" s="3">
        <v>14677169</v>
      </c>
      <c r="K180" s="3">
        <v>14635878</v>
      </c>
      <c r="L180" s="3">
        <v>14635878</v>
      </c>
      <c r="M180" s="3">
        <v>387693</v>
      </c>
      <c r="N180" s="3">
        <v>1223259</v>
      </c>
      <c r="O180" s="3">
        <v>149952</v>
      </c>
      <c r="P180" s="3">
        <v>146404</v>
      </c>
      <c r="Q180" s="3">
        <v>668156</v>
      </c>
      <c r="R180" s="3">
        <v>12101705</v>
      </c>
      <c r="S180" s="3">
        <v>12060414</v>
      </c>
      <c r="T180" s="3">
        <v>12060414</v>
      </c>
      <c r="U180" s="3">
        <v>1467717</v>
      </c>
      <c r="V180" s="3">
        <v>1467717</v>
      </c>
      <c r="W180" s="3">
        <v>1467717</v>
      </c>
      <c r="X180" s="3">
        <v>1467717</v>
      </c>
      <c r="Y180" s="3">
        <v>1460835</v>
      </c>
      <c r="Z180" s="3">
        <v>1460835</v>
      </c>
      <c r="AA180" s="4">
        <v>1460835</v>
      </c>
      <c r="AB180" s="4">
        <v>1460835</v>
      </c>
      <c r="AC180" s="4">
        <v>1460835</v>
      </c>
      <c r="AD180" s="4">
        <v>1460835</v>
      </c>
      <c r="AE180" s="4">
        <v>1467717</v>
      </c>
      <c r="AF180" s="4">
        <v>2935434</v>
      </c>
      <c r="AG180" s="4">
        <v>4403151</v>
      </c>
      <c r="AH180" s="4">
        <v>5870868</v>
      </c>
      <c r="AI180" s="4">
        <v>7331703</v>
      </c>
      <c r="AJ180" s="4">
        <v>8792538</v>
      </c>
      <c r="AK180" s="4">
        <v>10253373</v>
      </c>
      <c r="AL180" s="4">
        <v>11714208</v>
      </c>
      <c r="AM180" s="4">
        <v>13175043</v>
      </c>
      <c r="AN180" s="4">
        <v>14635878</v>
      </c>
      <c r="AO180" s="150">
        <v>903193</v>
      </c>
    </row>
    <row r="181" spans="1:41" x14ac:dyDescent="0.2">
      <c r="A181" s="1">
        <v>2024</v>
      </c>
      <c r="B181" s="2" t="s">
        <v>202</v>
      </c>
      <c r="C181" s="2" t="s">
        <v>202</v>
      </c>
      <c r="D181" s="1" t="s">
        <v>552</v>
      </c>
      <c r="E181" s="3">
        <v>46719083</v>
      </c>
      <c r="F181" s="3">
        <v>4710</v>
      </c>
      <c r="G181" s="3">
        <v>39017</v>
      </c>
      <c r="H181" s="3">
        <v>123462</v>
      </c>
      <c r="I181" s="1">
        <v>0</v>
      </c>
      <c r="J181" s="3">
        <v>46675356</v>
      </c>
      <c r="K181" s="3">
        <v>46551894</v>
      </c>
      <c r="L181" s="3">
        <v>46551894</v>
      </c>
      <c r="M181" s="3">
        <v>1079460</v>
      </c>
      <c r="N181" s="3">
        <v>3419941</v>
      </c>
      <c r="O181" s="3">
        <v>517979</v>
      </c>
      <c r="P181" s="3">
        <v>383499</v>
      </c>
      <c r="Q181" s="3">
        <v>1980812</v>
      </c>
      <c r="R181" s="3">
        <v>39293665</v>
      </c>
      <c r="S181" s="3">
        <v>39170203</v>
      </c>
      <c r="T181" s="3">
        <v>39170203</v>
      </c>
      <c r="U181" s="3">
        <v>4667536</v>
      </c>
      <c r="V181" s="3">
        <v>4667536</v>
      </c>
      <c r="W181" s="3">
        <v>4667536</v>
      </c>
      <c r="X181" s="3">
        <v>4667536</v>
      </c>
      <c r="Y181" s="3">
        <v>4646958</v>
      </c>
      <c r="Z181" s="3">
        <v>4646958</v>
      </c>
      <c r="AA181" s="4">
        <v>4646959</v>
      </c>
      <c r="AB181" s="4">
        <v>4646959</v>
      </c>
      <c r="AC181" s="4">
        <v>4646959</v>
      </c>
      <c r="AD181" s="4">
        <v>4646957</v>
      </c>
      <c r="AE181" s="4">
        <v>4667536</v>
      </c>
      <c r="AF181" s="4">
        <v>9335072</v>
      </c>
      <c r="AG181" s="4">
        <v>14002608</v>
      </c>
      <c r="AH181" s="4">
        <v>18670144</v>
      </c>
      <c r="AI181" s="4">
        <v>23317102</v>
      </c>
      <c r="AJ181" s="4">
        <v>27964060</v>
      </c>
      <c r="AK181" s="4">
        <v>32611019</v>
      </c>
      <c r="AL181" s="4">
        <v>37257978</v>
      </c>
      <c r="AM181" s="4">
        <v>41904937</v>
      </c>
      <c r="AN181" s="4">
        <v>46551894</v>
      </c>
      <c r="AO181" s="150">
        <v>2796048</v>
      </c>
    </row>
    <row r="182" spans="1:41" x14ac:dyDescent="0.2">
      <c r="A182" s="1">
        <v>2024</v>
      </c>
      <c r="B182" s="2" t="s">
        <v>203</v>
      </c>
      <c r="C182" s="2" t="s">
        <v>203</v>
      </c>
      <c r="D182" s="1" t="s">
        <v>553</v>
      </c>
      <c r="E182" s="3">
        <v>3344871</v>
      </c>
      <c r="F182" s="3">
        <v>315</v>
      </c>
      <c r="G182" s="3">
        <v>0</v>
      </c>
      <c r="H182" s="3">
        <v>11747</v>
      </c>
      <c r="I182" s="1">
        <v>0</v>
      </c>
      <c r="J182" s="3">
        <v>3344556</v>
      </c>
      <c r="K182" s="3">
        <v>3332809</v>
      </c>
      <c r="L182" s="3">
        <v>3332809</v>
      </c>
      <c r="M182" s="3">
        <v>72218</v>
      </c>
      <c r="N182" s="3">
        <v>333699</v>
      </c>
      <c r="O182" s="3">
        <v>36882</v>
      </c>
      <c r="P182" s="3">
        <v>32678</v>
      </c>
      <c r="Q182" s="3">
        <v>188466</v>
      </c>
      <c r="R182" s="3">
        <v>2680613</v>
      </c>
      <c r="S182" s="3">
        <v>2668866</v>
      </c>
      <c r="T182" s="3">
        <v>2668866</v>
      </c>
      <c r="U182" s="3">
        <v>334456</v>
      </c>
      <c r="V182" s="3">
        <v>334456</v>
      </c>
      <c r="W182" s="3">
        <v>334456</v>
      </c>
      <c r="X182" s="3">
        <v>334456</v>
      </c>
      <c r="Y182" s="3">
        <v>332498</v>
      </c>
      <c r="Z182" s="3">
        <v>332498</v>
      </c>
      <c r="AA182" s="4">
        <v>332497</v>
      </c>
      <c r="AB182" s="4">
        <v>332497</v>
      </c>
      <c r="AC182" s="4">
        <v>332497</v>
      </c>
      <c r="AD182" s="4">
        <v>332498</v>
      </c>
      <c r="AE182" s="4">
        <v>334456</v>
      </c>
      <c r="AF182" s="4">
        <v>668912</v>
      </c>
      <c r="AG182" s="4">
        <v>1003368</v>
      </c>
      <c r="AH182" s="4">
        <v>1337824</v>
      </c>
      <c r="AI182" s="4">
        <v>1670322</v>
      </c>
      <c r="AJ182" s="4">
        <v>2002820</v>
      </c>
      <c r="AK182" s="4">
        <v>2335317</v>
      </c>
      <c r="AL182" s="4">
        <v>2667814</v>
      </c>
      <c r="AM182" s="4">
        <v>3000311</v>
      </c>
      <c r="AN182" s="4">
        <v>3332809</v>
      </c>
      <c r="AO182" s="150">
        <v>236550</v>
      </c>
    </row>
    <row r="183" spans="1:41" x14ac:dyDescent="0.2">
      <c r="A183" s="1">
        <v>2024</v>
      </c>
      <c r="B183" s="2" t="s">
        <v>204</v>
      </c>
      <c r="C183" s="2" t="s">
        <v>204</v>
      </c>
      <c r="D183" s="1" t="s">
        <v>554</v>
      </c>
      <c r="E183" s="3">
        <v>24548120</v>
      </c>
      <c r="F183" s="3">
        <v>2985</v>
      </c>
      <c r="G183" s="3">
        <v>20708</v>
      </c>
      <c r="H183" s="3">
        <v>78204</v>
      </c>
      <c r="I183" s="1">
        <v>0</v>
      </c>
      <c r="J183" s="3">
        <v>24524427</v>
      </c>
      <c r="K183" s="3">
        <v>24446223</v>
      </c>
      <c r="L183" s="3">
        <v>24446223</v>
      </c>
      <c r="M183" s="3">
        <v>684165</v>
      </c>
      <c r="N183" s="3">
        <v>2185140</v>
      </c>
      <c r="O183" s="3">
        <v>290821</v>
      </c>
      <c r="P183" s="3">
        <v>258069</v>
      </c>
      <c r="Q183" s="3">
        <v>1254697</v>
      </c>
      <c r="R183" s="3">
        <v>19851535</v>
      </c>
      <c r="S183" s="3">
        <v>19773331</v>
      </c>
      <c r="T183" s="3">
        <v>19773331</v>
      </c>
      <c r="U183" s="3">
        <v>2452443</v>
      </c>
      <c r="V183" s="3">
        <v>2452443</v>
      </c>
      <c r="W183" s="3">
        <v>2452443</v>
      </c>
      <c r="X183" s="3">
        <v>2452443</v>
      </c>
      <c r="Y183" s="3">
        <v>2439409</v>
      </c>
      <c r="Z183" s="3">
        <v>2439409</v>
      </c>
      <c r="AA183" s="4">
        <v>2439408</v>
      </c>
      <c r="AB183" s="4">
        <v>2439408</v>
      </c>
      <c r="AC183" s="4">
        <v>2439408</v>
      </c>
      <c r="AD183" s="4">
        <v>2439409</v>
      </c>
      <c r="AE183" s="4">
        <v>2452443</v>
      </c>
      <c r="AF183" s="4">
        <v>4904886</v>
      </c>
      <c r="AG183" s="4">
        <v>7357329</v>
      </c>
      <c r="AH183" s="4">
        <v>9809772</v>
      </c>
      <c r="AI183" s="4">
        <v>12249181</v>
      </c>
      <c r="AJ183" s="4">
        <v>14688590</v>
      </c>
      <c r="AK183" s="4">
        <v>17127998</v>
      </c>
      <c r="AL183" s="4">
        <v>19567406</v>
      </c>
      <c r="AM183" s="4">
        <v>22006814</v>
      </c>
      <c r="AN183" s="4">
        <v>24446223</v>
      </c>
      <c r="AO183" s="150">
        <v>1787013</v>
      </c>
    </row>
    <row r="184" spans="1:41" x14ac:dyDescent="0.2">
      <c r="A184" s="1">
        <v>2024</v>
      </c>
      <c r="B184" s="2" t="s">
        <v>205</v>
      </c>
      <c r="C184" s="2" t="s">
        <v>205</v>
      </c>
      <c r="D184" s="1" t="s">
        <v>555</v>
      </c>
      <c r="E184" s="3">
        <v>9822666</v>
      </c>
      <c r="F184" s="3">
        <v>1012</v>
      </c>
      <c r="G184" s="3">
        <v>0</v>
      </c>
      <c r="H184" s="3">
        <v>34825</v>
      </c>
      <c r="I184" s="1">
        <v>0</v>
      </c>
      <c r="J184" s="3">
        <v>9821654</v>
      </c>
      <c r="K184" s="3">
        <v>9786829</v>
      </c>
      <c r="L184" s="3">
        <v>9786829</v>
      </c>
      <c r="M184" s="3">
        <v>231856</v>
      </c>
      <c r="N184" s="3">
        <v>978764</v>
      </c>
      <c r="O184" s="3">
        <v>113723</v>
      </c>
      <c r="P184" s="3">
        <v>116330</v>
      </c>
      <c r="Q184" s="3">
        <v>558728</v>
      </c>
      <c r="R184" s="3">
        <v>7822253</v>
      </c>
      <c r="S184" s="3">
        <v>7787428</v>
      </c>
      <c r="T184" s="3">
        <v>7787428</v>
      </c>
      <c r="U184" s="3">
        <v>982165</v>
      </c>
      <c r="V184" s="3">
        <v>982165</v>
      </c>
      <c r="W184" s="3">
        <v>982165</v>
      </c>
      <c r="X184" s="3">
        <v>982165</v>
      </c>
      <c r="Y184" s="3">
        <v>976362</v>
      </c>
      <c r="Z184" s="3">
        <v>976362</v>
      </c>
      <c r="AA184" s="4">
        <v>976361</v>
      </c>
      <c r="AB184" s="4">
        <v>976361</v>
      </c>
      <c r="AC184" s="4">
        <v>976361</v>
      </c>
      <c r="AD184" s="4">
        <v>976362</v>
      </c>
      <c r="AE184" s="4">
        <v>982165</v>
      </c>
      <c r="AF184" s="4">
        <v>1964330</v>
      </c>
      <c r="AG184" s="4">
        <v>2946495</v>
      </c>
      <c r="AH184" s="4">
        <v>3928660</v>
      </c>
      <c r="AI184" s="4">
        <v>4905022</v>
      </c>
      <c r="AJ184" s="4">
        <v>5881384</v>
      </c>
      <c r="AK184" s="4">
        <v>6857745</v>
      </c>
      <c r="AL184" s="4">
        <v>7834106</v>
      </c>
      <c r="AM184" s="4">
        <v>8810467</v>
      </c>
      <c r="AN184" s="4">
        <v>9786829</v>
      </c>
      <c r="AO184" s="150">
        <v>832819</v>
      </c>
    </row>
    <row r="185" spans="1:41" x14ac:dyDescent="0.2">
      <c r="A185" s="1">
        <v>2024</v>
      </c>
      <c r="B185" s="2" t="s">
        <v>206</v>
      </c>
      <c r="C185" s="2" t="s">
        <v>206</v>
      </c>
      <c r="D185" s="1" t="s">
        <v>556</v>
      </c>
      <c r="E185" s="3">
        <v>5590294</v>
      </c>
      <c r="F185" s="3">
        <v>0</v>
      </c>
      <c r="G185" s="3">
        <v>0</v>
      </c>
      <c r="H185" s="3">
        <v>20106</v>
      </c>
      <c r="I185" s="1">
        <v>0</v>
      </c>
      <c r="J185" s="3">
        <v>5590294</v>
      </c>
      <c r="K185" s="3">
        <v>5570188</v>
      </c>
      <c r="L185" s="3">
        <v>5570188</v>
      </c>
      <c r="M185" s="3">
        <v>0</v>
      </c>
      <c r="N185" s="3">
        <v>580088</v>
      </c>
      <c r="O185" s="3">
        <v>61569</v>
      </c>
      <c r="P185" s="3">
        <v>58076</v>
      </c>
      <c r="Q185" s="3">
        <v>322574</v>
      </c>
      <c r="R185" s="3">
        <v>4567987</v>
      </c>
      <c r="S185" s="3">
        <v>4547881</v>
      </c>
      <c r="T185" s="3">
        <v>4547881</v>
      </c>
      <c r="U185" s="3">
        <v>559029</v>
      </c>
      <c r="V185" s="3">
        <v>559029</v>
      </c>
      <c r="W185" s="3">
        <v>559029</v>
      </c>
      <c r="X185" s="3">
        <v>559029</v>
      </c>
      <c r="Y185" s="3">
        <v>555679</v>
      </c>
      <c r="Z185" s="3">
        <v>555679</v>
      </c>
      <c r="AA185" s="4">
        <v>555679</v>
      </c>
      <c r="AB185" s="4">
        <v>555679</v>
      </c>
      <c r="AC185" s="4">
        <v>555679</v>
      </c>
      <c r="AD185" s="4">
        <v>555677</v>
      </c>
      <c r="AE185" s="4">
        <v>559029</v>
      </c>
      <c r="AF185" s="4">
        <v>1118058</v>
      </c>
      <c r="AG185" s="4">
        <v>1677087</v>
      </c>
      <c r="AH185" s="4">
        <v>2236116</v>
      </c>
      <c r="AI185" s="4">
        <v>2791795</v>
      </c>
      <c r="AJ185" s="4">
        <v>3347474</v>
      </c>
      <c r="AK185" s="4">
        <v>3903153</v>
      </c>
      <c r="AL185" s="4">
        <v>4458832</v>
      </c>
      <c r="AM185" s="4">
        <v>5014511</v>
      </c>
      <c r="AN185" s="4">
        <v>5570188</v>
      </c>
      <c r="AO185" s="150">
        <v>415832</v>
      </c>
    </row>
    <row r="186" spans="1:41" x14ac:dyDescent="0.2">
      <c r="A186" s="1">
        <v>2024</v>
      </c>
      <c r="B186" s="2" t="s">
        <v>207</v>
      </c>
      <c r="C186" s="2" t="s">
        <v>207</v>
      </c>
      <c r="D186" s="1" t="s">
        <v>557</v>
      </c>
      <c r="E186" s="3">
        <v>2503842</v>
      </c>
      <c r="F186" s="3">
        <v>348</v>
      </c>
      <c r="G186" s="3">
        <v>3788</v>
      </c>
      <c r="H186" s="3">
        <v>7068</v>
      </c>
      <c r="I186" s="3">
        <v>0</v>
      </c>
      <c r="J186" s="3">
        <v>2499706</v>
      </c>
      <c r="K186" s="3">
        <v>2492638</v>
      </c>
      <c r="L186" s="3">
        <v>2492638</v>
      </c>
      <c r="M186" s="3">
        <v>79820</v>
      </c>
      <c r="N186" s="3">
        <v>232234</v>
      </c>
      <c r="O186" s="3">
        <v>28653</v>
      </c>
      <c r="P186" s="3">
        <v>24240</v>
      </c>
      <c r="Q186" s="3">
        <v>114496</v>
      </c>
      <c r="R186" s="3">
        <v>2020263</v>
      </c>
      <c r="S186" s="3">
        <v>2013195</v>
      </c>
      <c r="T186" s="3">
        <v>2013195</v>
      </c>
      <c r="U186" s="3">
        <v>249971</v>
      </c>
      <c r="V186" s="3">
        <v>249971</v>
      </c>
      <c r="W186" s="3">
        <v>249971</v>
      </c>
      <c r="X186" s="3">
        <v>249971</v>
      </c>
      <c r="Y186" s="3">
        <v>248792</v>
      </c>
      <c r="Z186" s="3">
        <v>248792</v>
      </c>
      <c r="AA186" s="4">
        <v>248793</v>
      </c>
      <c r="AB186" s="4">
        <v>248793</v>
      </c>
      <c r="AC186" s="4">
        <v>248793</v>
      </c>
      <c r="AD186" s="4">
        <v>248791</v>
      </c>
      <c r="AE186" s="4">
        <v>249971</v>
      </c>
      <c r="AF186" s="4">
        <v>499942</v>
      </c>
      <c r="AG186" s="4">
        <v>749913</v>
      </c>
      <c r="AH186" s="4">
        <v>999884</v>
      </c>
      <c r="AI186" s="4">
        <v>1248676</v>
      </c>
      <c r="AJ186" s="4">
        <v>1497468</v>
      </c>
      <c r="AK186" s="4">
        <v>1746261</v>
      </c>
      <c r="AL186" s="4">
        <v>1995054</v>
      </c>
      <c r="AM186" s="4">
        <v>2243847</v>
      </c>
      <c r="AN186" s="4">
        <v>2492638</v>
      </c>
      <c r="AO186" s="150">
        <v>140335</v>
      </c>
    </row>
    <row r="187" spans="1:41" x14ac:dyDescent="0.2">
      <c r="A187" s="1">
        <v>2024</v>
      </c>
      <c r="B187" s="2" t="s">
        <v>208</v>
      </c>
      <c r="C187" s="2" t="s">
        <v>208</v>
      </c>
      <c r="D187" s="1" t="s">
        <v>558</v>
      </c>
      <c r="E187" s="3">
        <v>3161257</v>
      </c>
      <c r="F187" s="3">
        <v>365</v>
      </c>
      <c r="G187" s="3">
        <v>0</v>
      </c>
      <c r="H187" s="3">
        <v>11526</v>
      </c>
      <c r="I187" s="3">
        <v>0</v>
      </c>
      <c r="J187" s="3">
        <v>3160892</v>
      </c>
      <c r="K187" s="3">
        <v>3149366</v>
      </c>
      <c r="L187" s="3">
        <v>3149366</v>
      </c>
      <c r="M187" s="3">
        <v>79913</v>
      </c>
      <c r="N187" s="3">
        <v>351757</v>
      </c>
      <c r="O187" s="3">
        <v>37765</v>
      </c>
      <c r="P187" s="3">
        <v>35502</v>
      </c>
      <c r="Q187" s="3">
        <v>184928</v>
      </c>
      <c r="R187" s="3">
        <v>2471027</v>
      </c>
      <c r="S187" s="3">
        <v>2459501</v>
      </c>
      <c r="T187" s="3">
        <v>2459501</v>
      </c>
      <c r="U187" s="3">
        <v>316089</v>
      </c>
      <c r="V187" s="3">
        <v>316089</v>
      </c>
      <c r="W187" s="3">
        <v>316089</v>
      </c>
      <c r="X187" s="3">
        <v>316089</v>
      </c>
      <c r="Y187" s="3">
        <v>314168</v>
      </c>
      <c r="Z187" s="3">
        <v>314168</v>
      </c>
      <c r="AA187" s="4">
        <v>314169</v>
      </c>
      <c r="AB187" s="4">
        <v>314169</v>
      </c>
      <c r="AC187" s="4">
        <v>314169</v>
      </c>
      <c r="AD187" s="4">
        <v>314167</v>
      </c>
      <c r="AE187" s="4">
        <v>316089</v>
      </c>
      <c r="AF187" s="4">
        <v>632178</v>
      </c>
      <c r="AG187" s="4">
        <v>948267</v>
      </c>
      <c r="AH187" s="4">
        <v>1264356</v>
      </c>
      <c r="AI187" s="4">
        <v>1578524</v>
      </c>
      <c r="AJ187" s="4">
        <v>1892692</v>
      </c>
      <c r="AK187" s="4">
        <v>2206861</v>
      </c>
      <c r="AL187" s="4">
        <v>2521030</v>
      </c>
      <c r="AM187" s="4">
        <v>2835199</v>
      </c>
      <c r="AN187" s="4">
        <v>3149366</v>
      </c>
      <c r="AO187" s="150">
        <v>233851</v>
      </c>
    </row>
    <row r="188" spans="1:41" x14ac:dyDescent="0.2">
      <c r="A188" s="1">
        <v>2024</v>
      </c>
      <c r="B188" s="2" t="s">
        <v>209</v>
      </c>
      <c r="C188" s="2" t="s">
        <v>209</v>
      </c>
      <c r="D188" s="1" t="s">
        <v>559</v>
      </c>
      <c r="E188" s="3">
        <v>8282499</v>
      </c>
      <c r="F188" s="3">
        <v>1211</v>
      </c>
      <c r="G188" s="3">
        <v>0</v>
      </c>
      <c r="H188" s="3">
        <v>28205</v>
      </c>
      <c r="I188" s="3">
        <v>0</v>
      </c>
      <c r="J188" s="3">
        <v>8281288</v>
      </c>
      <c r="K188" s="3">
        <v>8253083</v>
      </c>
      <c r="L188" s="3">
        <v>8253083</v>
      </c>
      <c r="M188" s="3">
        <v>277467</v>
      </c>
      <c r="N188" s="3">
        <v>824756</v>
      </c>
      <c r="O188" s="3">
        <v>93419</v>
      </c>
      <c r="P188" s="3">
        <v>90202</v>
      </c>
      <c r="Q188" s="3">
        <v>452518</v>
      </c>
      <c r="R188" s="3">
        <v>6542926</v>
      </c>
      <c r="S188" s="3">
        <v>6514721</v>
      </c>
      <c r="T188" s="3">
        <v>6514721</v>
      </c>
      <c r="U188" s="3">
        <v>828129</v>
      </c>
      <c r="V188" s="3">
        <v>828129</v>
      </c>
      <c r="W188" s="3">
        <v>828129</v>
      </c>
      <c r="X188" s="3">
        <v>828129</v>
      </c>
      <c r="Y188" s="3">
        <v>823428</v>
      </c>
      <c r="Z188" s="3">
        <v>823428</v>
      </c>
      <c r="AA188" s="4">
        <v>823428</v>
      </c>
      <c r="AB188" s="4">
        <v>823428</v>
      </c>
      <c r="AC188" s="4">
        <v>823428</v>
      </c>
      <c r="AD188" s="4">
        <v>823427</v>
      </c>
      <c r="AE188" s="4">
        <v>828129</v>
      </c>
      <c r="AF188" s="4">
        <v>1656258</v>
      </c>
      <c r="AG188" s="4">
        <v>2484387</v>
      </c>
      <c r="AH188" s="4">
        <v>3312516</v>
      </c>
      <c r="AI188" s="4">
        <v>4135944</v>
      </c>
      <c r="AJ188" s="4">
        <v>4959372</v>
      </c>
      <c r="AK188" s="4">
        <v>5782800</v>
      </c>
      <c r="AL188" s="4">
        <v>6606228</v>
      </c>
      <c r="AM188" s="4">
        <v>7429656</v>
      </c>
      <c r="AN188" s="4">
        <v>8253083</v>
      </c>
      <c r="AO188" s="150">
        <v>599413</v>
      </c>
    </row>
    <row r="189" spans="1:41" x14ac:dyDescent="0.2">
      <c r="A189" s="1">
        <v>2024</v>
      </c>
      <c r="B189" s="2" t="s">
        <v>210</v>
      </c>
      <c r="C189" s="2" t="s">
        <v>210</v>
      </c>
      <c r="D189" s="1" t="s">
        <v>560</v>
      </c>
      <c r="E189" s="3">
        <v>5221497</v>
      </c>
      <c r="F189" s="3">
        <v>498</v>
      </c>
      <c r="G189" s="3">
        <v>0</v>
      </c>
      <c r="H189" s="3">
        <v>17517</v>
      </c>
      <c r="I189" s="1">
        <v>0</v>
      </c>
      <c r="J189" s="3">
        <v>5220999</v>
      </c>
      <c r="K189" s="3">
        <v>5203482</v>
      </c>
      <c r="L189" s="3">
        <v>5203482</v>
      </c>
      <c r="M189" s="3">
        <v>114027</v>
      </c>
      <c r="N189" s="3">
        <v>481048</v>
      </c>
      <c r="O189" s="3">
        <v>56898</v>
      </c>
      <c r="P189" s="3">
        <v>48753</v>
      </c>
      <c r="Q189" s="3">
        <v>281041</v>
      </c>
      <c r="R189" s="3">
        <v>4239232</v>
      </c>
      <c r="S189" s="3">
        <v>4221715</v>
      </c>
      <c r="T189" s="3">
        <v>4221715</v>
      </c>
      <c r="U189" s="3">
        <v>522100</v>
      </c>
      <c r="V189" s="3">
        <v>522100</v>
      </c>
      <c r="W189" s="3">
        <v>522100</v>
      </c>
      <c r="X189" s="3">
        <v>522100</v>
      </c>
      <c r="Y189" s="3">
        <v>519180</v>
      </c>
      <c r="Z189" s="3">
        <v>519180</v>
      </c>
      <c r="AA189" s="4">
        <v>519181</v>
      </c>
      <c r="AB189" s="4">
        <v>519181</v>
      </c>
      <c r="AC189" s="4">
        <v>519181</v>
      </c>
      <c r="AD189" s="4">
        <v>519179</v>
      </c>
      <c r="AE189" s="4">
        <v>522100</v>
      </c>
      <c r="AF189" s="4">
        <v>1044200</v>
      </c>
      <c r="AG189" s="4">
        <v>1566300</v>
      </c>
      <c r="AH189" s="4">
        <v>2088400</v>
      </c>
      <c r="AI189" s="4">
        <v>2607580</v>
      </c>
      <c r="AJ189" s="4">
        <v>3126760</v>
      </c>
      <c r="AK189" s="4">
        <v>3645941</v>
      </c>
      <c r="AL189" s="4">
        <v>4165122</v>
      </c>
      <c r="AM189" s="4">
        <v>4684303</v>
      </c>
      <c r="AN189" s="4">
        <v>5203482</v>
      </c>
      <c r="AO189" s="150">
        <v>368994</v>
      </c>
    </row>
    <row r="190" spans="1:41" x14ac:dyDescent="0.2">
      <c r="A190" s="1">
        <v>2024</v>
      </c>
      <c r="B190" s="2" t="s">
        <v>211</v>
      </c>
      <c r="C190" s="2" t="s">
        <v>211</v>
      </c>
      <c r="D190" s="1" t="s">
        <v>561</v>
      </c>
      <c r="E190" s="3">
        <v>5885776</v>
      </c>
      <c r="F190" s="3">
        <v>912</v>
      </c>
      <c r="G190" s="3">
        <v>0</v>
      </c>
      <c r="H190" s="3">
        <v>18525</v>
      </c>
      <c r="I190" s="1">
        <v>0</v>
      </c>
      <c r="J190" s="3">
        <v>5884864</v>
      </c>
      <c r="K190" s="3">
        <v>5866339</v>
      </c>
      <c r="L190" s="3">
        <v>5866339</v>
      </c>
      <c r="M190" s="3">
        <v>209051</v>
      </c>
      <c r="N190" s="3">
        <v>541186</v>
      </c>
      <c r="O190" s="3">
        <v>66609</v>
      </c>
      <c r="P190" s="3">
        <v>65173</v>
      </c>
      <c r="Q190" s="3">
        <v>297219</v>
      </c>
      <c r="R190" s="3">
        <v>4705626</v>
      </c>
      <c r="S190" s="3">
        <v>4687101</v>
      </c>
      <c r="T190" s="3">
        <v>4687101</v>
      </c>
      <c r="U190" s="3">
        <v>588486</v>
      </c>
      <c r="V190" s="3">
        <v>588486</v>
      </c>
      <c r="W190" s="3">
        <v>588486</v>
      </c>
      <c r="X190" s="3">
        <v>588486</v>
      </c>
      <c r="Y190" s="3">
        <v>585399</v>
      </c>
      <c r="Z190" s="3">
        <v>585399</v>
      </c>
      <c r="AA190" s="4">
        <v>585399</v>
      </c>
      <c r="AB190" s="4">
        <v>585399</v>
      </c>
      <c r="AC190" s="4">
        <v>585399</v>
      </c>
      <c r="AD190" s="4">
        <v>585400</v>
      </c>
      <c r="AE190" s="4">
        <v>588486</v>
      </c>
      <c r="AF190" s="4">
        <v>1176972</v>
      </c>
      <c r="AG190" s="4">
        <v>1765458</v>
      </c>
      <c r="AH190" s="4">
        <v>2353944</v>
      </c>
      <c r="AI190" s="4">
        <v>2939343</v>
      </c>
      <c r="AJ190" s="4">
        <v>3524742</v>
      </c>
      <c r="AK190" s="4">
        <v>4110141</v>
      </c>
      <c r="AL190" s="4">
        <v>4695540</v>
      </c>
      <c r="AM190" s="4">
        <v>5280939</v>
      </c>
      <c r="AN190" s="4">
        <v>5866339</v>
      </c>
      <c r="AO190" s="150">
        <v>390591</v>
      </c>
    </row>
    <row r="191" spans="1:41" x14ac:dyDescent="0.2">
      <c r="A191" s="1">
        <v>2024</v>
      </c>
      <c r="B191" s="2" t="s">
        <v>212</v>
      </c>
      <c r="C191" s="2" t="s">
        <v>212</v>
      </c>
      <c r="D191" s="1" t="s">
        <v>562</v>
      </c>
      <c r="E191" s="3">
        <v>1990935</v>
      </c>
      <c r="F191" s="1">
        <v>547</v>
      </c>
      <c r="G191" s="1">
        <v>0</v>
      </c>
      <c r="H191" s="3">
        <v>10775</v>
      </c>
      <c r="I191" s="1">
        <v>0</v>
      </c>
      <c r="J191" s="3">
        <v>1990388</v>
      </c>
      <c r="K191" s="3">
        <v>1979613</v>
      </c>
      <c r="L191" s="3">
        <v>1979613</v>
      </c>
      <c r="M191" s="3">
        <v>125431</v>
      </c>
      <c r="N191" s="3">
        <v>298612</v>
      </c>
      <c r="O191" s="3">
        <v>38266</v>
      </c>
      <c r="P191" s="3">
        <v>29580</v>
      </c>
      <c r="Q191" s="3">
        <v>176574</v>
      </c>
      <c r="R191" s="3">
        <v>1321925</v>
      </c>
      <c r="S191" s="3">
        <v>1311150</v>
      </c>
      <c r="T191" s="3">
        <v>1311150</v>
      </c>
      <c r="U191" s="3">
        <v>199039</v>
      </c>
      <c r="V191" s="3">
        <v>199039</v>
      </c>
      <c r="W191" s="3">
        <v>199039</v>
      </c>
      <c r="X191" s="3">
        <v>199039</v>
      </c>
      <c r="Y191" s="3">
        <v>197243</v>
      </c>
      <c r="Z191" s="3">
        <v>197243</v>
      </c>
      <c r="AA191" s="4">
        <v>197243</v>
      </c>
      <c r="AB191" s="4">
        <v>197243</v>
      </c>
      <c r="AC191" s="4">
        <v>197243</v>
      </c>
      <c r="AD191" s="4">
        <v>197242</v>
      </c>
      <c r="AE191" s="4">
        <v>199039</v>
      </c>
      <c r="AF191" s="4">
        <v>398078</v>
      </c>
      <c r="AG191" s="4">
        <v>597117</v>
      </c>
      <c r="AH191" s="4">
        <v>796156</v>
      </c>
      <c r="AI191" s="4">
        <v>993399</v>
      </c>
      <c r="AJ191" s="4">
        <v>1190642</v>
      </c>
      <c r="AK191" s="4">
        <v>1387885</v>
      </c>
      <c r="AL191" s="4">
        <v>1585128</v>
      </c>
      <c r="AM191" s="4">
        <v>1782371</v>
      </c>
      <c r="AN191" s="4">
        <v>1979613</v>
      </c>
      <c r="AO191" s="150">
        <v>237017</v>
      </c>
    </row>
    <row r="192" spans="1:41" x14ac:dyDescent="0.2">
      <c r="A192" s="1">
        <v>2024</v>
      </c>
      <c r="B192" s="2" t="s">
        <v>213</v>
      </c>
      <c r="C192" s="2" t="s">
        <v>213</v>
      </c>
      <c r="D192" s="1" t="s">
        <v>563</v>
      </c>
      <c r="E192" s="3">
        <v>6708074</v>
      </c>
      <c r="F192" s="3">
        <v>979</v>
      </c>
      <c r="G192" s="3">
        <v>0</v>
      </c>
      <c r="H192" s="3">
        <v>22263</v>
      </c>
      <c r="I192" s="3">
        <v>0</v>
      </c>
      <c r="J192" s="3">
        <v>6707095</v>
      </c>
      <c r="K192" s="3">
        <v>6684832</v>
      </c>
      <c r="L192" s="3">
        <v>6684832</v>
      </c>
      <c r="M192" s="3">
        <v>224254</v>
      </c>
      <c r="N192" s="3">
        <v>640476</v>
      </c>
      <c r="O192" s="3">
        <v>68900</v>
      </c>
      <c r="P192" s="3">
        <v>63638</v>
      </c>
      <c r="Q192" s="3">
        <v>357179</v>
      </c>
      <c r="R192" s="3">
        <v>5352648</v>
      </c>
      <c r="S192" s="3">
        <v>5330385</v>
      </c>
      <c r="T192" s="3">
        <v>5330385</v>
      </c>
      <c r="U192" s="3">
        <v>670710</v>
      </c>
      <c r="V192" s="3">
        <v>670710</v>
      </c>
      <c r="W192" s="3">
        <v>670710</v>
      </c>
      <c r="X192" s="3">
        <v>670710</v>
      </c>
      <c r="Y192" s="3">
        <v>666999</v>
      </c>
      <c r="Z192" s="3">
        <v>666999</v>
      </c>
      <c r="AA192" s="4">
        <v>666999</v>
      </c>
      <c r="AB192" s="4">
        <v>666999</v>
      </c>
      <c r="AC192" s="4">
        <v>666999</v>
      </c>
      <c r="AD192" s="4">
        <v>666997</v>
      </c>
      <c r="AE192" s="4">
        <v>670710</v>
      </c>
      <c r="AF192" s="4">
        <v>1341420</v>
      </c>
      <c r="AG192" s="4">
        <v>2012130</v>
      </c>
      <c r="AH192" s="4">
        <v>2682840</v>
      </c>
      <c r="AI192" s="4">
        <v>3349839</v>
      </c>
      <c r="AJ192" s="4">
        <v>4016838</v>
      </c>
      <c r="AK192" s="4">
        <v>4683837</v>
      </c>
      <c r="AL192" s="4">
        <v>5350836</v>
      </c>
      <c r="AM192" s="4">
        <v>6017835</v>
      </c>
      <c r="AN192" s="4">
        <v>6684832</v>
      </c>
      <c r="AO192" s="150">
        <v>475295</v>
      </c>
    </row>
    <row r="193" spans="1:41" x14ac:dyDescent="0.2">
      <c r="A193" s="1">
        <v>2024</v>
      </c>
      <c r="B193" s="2" t="s">
        <v>214</v>
      </c>
      <c r="C193" s="2" t="s">
        <v>214</v>
      </c>
      <c r="D193" s="1" t="s">
        <v>564</v>
      </c>
      <c r="E193" s="3">
        <v>2464595</v>
      </c>
      <c r="F193" s="1">
        <v>299</v>
      </c>
      <c r="G193" s="1">
        <v>0</v>
      </c>
      <c r="H193" s="3">
        <v>7936</v>
      </c>
      <c r="I193" s="3">
        <v>0</v>
      </c>
      <c r="J193" s="3">
        <v>2464296</v>
      </c>
      <c r="K193" s="3">
        <v>2456360</v>
      </c>
      <c r="L193" s="3">
        <v>2456360</v>
      </c>
      <c r="M193" s="3">
        <v>68416</v>
      </c>
      <c r="N193" s="3">
        <v>257266</v>
      </c>
      <c r="O193" s="3">
        <v>32059</v>
      </c>
      <c r="P193" s="3">
        <v>28877</v>
      </c>
      <c r="Q193" s="3">
        <v>127327</v>
      </c>
      <c r="R193" s="3">
        <v>1950351</v>
      </c>
      <c r="S193" s="3">
        <v>1942415</v>
      </c>
      <c r="T193" s="3">
        <v>1942415</v>
      </c>
      <c r="U193" s="3">
        <v>246430</v>
      </c>
      <c r="V193" s="3">
        <v>246430</v>
      </c>
      <c r="W193" s="3">
        <v>246430</v>
      </c>
      <c r="X193" s="3">
        <v>246430</v>
      </c>
      <c r="Y193" s="3">
        <v>245107</v>
      </c>
      <c r="Z193" s="3">
        <v>245107</v>
      </c>
      <c r="AA193" s="4">
        <v>245107</v>
      </c>
      <c r="AB193" s="4">
        <v>245107</v>
      </c>
      <c r="AC193" s="4">
        <v>245107</v>
      </c>
      <c r="AD193" s="4">
        <v>245105</v>
      </c>
      <c r="AE193" s="4">
        <v>246430</v>
      </c>
      <c r="AF193" s="4">
        <v>492860</v>
      </c>
      <c r="AG193" s="4">
        <v>739290</v>
      </c>
      <c r="AH193" s="4">
        <v>985720</v>
      </c>
      <c r="AI193" s="4">
        <v>1230827</v>
      </c>
      <c r="AJ193" s="4">
        <v>1475934</v>
      </c>
      <c r="AK193" s="4">
        <v>1721041</v>
      </c>
      <c r="AL193" s="4">
        <v>1966148</v>
      </c>
      <c r="AM193" s="4">
        <v>2211255</v>
      </c>
      <c r="AN193" s="4">
        <v>2456360</v>
      </c>
      <c r="AO193" s="150">
        <v>169014</v>
      </c>
    </row>
    <row r="194" spans="1:41" x14ac:dyDescent="0.2">
      <c r="A194" s="1">
        <v>2024</v>
      </c>
      <c r="B194" s="2" t="s">
        <v>215</v>
      </c>
      <c r="C194" s="2" t="s">
        <v>215</v>
      </c>
      <c r="D194" s="1" t="s">
        <v>565</v>
      </c>
      <c r="E194" s="3">
        <v>1592709</v>
      </c>
      <c r="F194" s="3">
        <v>282</v>
      </c>
      <c r="G194" s="3">
        <v>0</v>
      </c>
      <c r="H194" s="3">
        <v>4860</v>
      </c>
      <c r="I194" s="3">
        <v>0</v>
      </c>
      <c r="J194" s="3">
        <v>1592427</v>
      </c>
      <c r="K194" s="3">
        <v>1587567</v>
      </c>
      <c r="L194" s="3">
        <v>1587567</v>
      </c>
      <c r="M194" s="3">
        <v>60909</v>
      </c>
      <c r="N194" s="3">
        <v>142970</v>
      </c>
      <c r="O194" s="3">
        <v>16755</v>
      </c>
      <c r="P194" s="3">
        <v>13342</v>
      </c>
      <c r="Q194" s="3">
        <v>78466</v>
      </c>
      <c r="R194" s="3">
        <v>1279985</v>
      </c>
      <c r="S194" s="3">
        <v>1275125</v>
      </c>
      <c r="T194" s="3">
        <v>1275125</v>
      </c>
      <c r="U194" s="3">
        <v>159243</v>
      </c>
      <c r="V194" s="3">
        <v>159243</v>
      </c>
      <c r="W194" s="3">
        <v>159243</v>
      </c>
      <c r="X194" s="3">
        <v>159243</v>
      </c>
      <c r="Y194" s="3">
        <v>158433</v>
      </c>
      <c r="Z194" s="3">
        <v>158433</v>
      </c>
      <c r="AA194" s="4">
        <v>158432</v>
      </c>
      <c r="AB194" s="4">
        <v>158432</v>
      </c>
      <c r="AC194" s="4">
        <v>158432</v>
      </c>
      <c r="AD194" s="4">
        <v>158433</v>
      </c>
      <c r="AE194" s="4">
        <v>159243</v>
      </c>
      <c r="AF194" s="4">
        <v>318486</v>
      </c>
      <c r="AG194" s="4">
        <v>477729</v>
      </c>
      <c r="AH194" s="4">
        <v>636972</v>
      </c>
      <c r="AI194" s="4">
        <v>795405</v>
      </c>
      <c r="AJ194" s="4">
        <v>953838</v>
      </c>
      <c r="AK194" s="4">
        <v>1112270</v>
      </c>
      <c r="AL194" s="4">
        <v>1270702</v>
      </c>
      <c r="AM194" s="4">
        <v>1429134</v>
      </c>
      <c r="AN194" s="4">
        <v>1587567</v>
      </c>
      <c r="AO194" s="150">
        <v>111374</v>
      </c>
    </row>
    <row r="195" spans="1:41" x14ac:dyDescent="0.2">
      <c r="A195" s="1">
        <v>2024</v>
      </c>
      <c r="B195" s="2" t="s">
        <v>216</v>
      </c>
      <c r="C195" s="2" t="s">
        <v>216</v>
      </c>
      <c r="D195" s="1" t="s">
        <v>566</v>
      </c>
      <c r="E195" s="3">
        <v>1453978</v>
      </c>
      <c r="F195" s="3">
        <v>232</v>
      </c>
      <c r="G195" s="3">
        <v>0</v>
      </c>
      <c r="H195" s="3">
        <v>4456</v>
      </c>
      <c r="I195" s="3">
        <v>0</v>
      </c>
      <c r="J195" s="3">
        <v>1453746</v>
      </c>
      <c r="K195" s="3">
        <v>1449290</v>
      </c>
      <c r="L195" s="3">
        <v>1449290</v>
      </c>
      <c r="M195" s="3">
        <v>53213</v>
      </c>
      <c r="N195" s="3">
        <v>130368</v>
      </c>
      <c r="O195" s="3">
        <v>18673</v>
      </c>
      <c r="P195" s="3">
        <v>14319</v>
      </c>
      <c r="Q195" s="3">
        <v>71495</v>
      </c>
      <c r="R195" s="3">
        <v>1165678</v>
      </c>
      <c r="S195" s="3">
        <v>1161222</v>
      </c>
      <c r="T195" s="3">
        <v>1161222</v>
      </c>
      <c r="U195" s="3">
        <v>145375</v>
      </c>
      <c r="V195" s="3">
        <v>145375</v>
      </c>
      <c r="W195" s="3">
        <v>145375</v>
      </c>
      <c r="X195" s="3">
        <v>145375</v>
      </c>
      <c r="Y195" s="3">
        <v>144632</v>
      </c>
      <c r="Z195" s="3">
        <v>144632</v>
      </c>
      <c r="AA195" s="4">
        <v>144632</v>
      </c>
      <c r="AB195" s="4">
        <v>144632</v>
      </c>
      <c r="AC195" s="4">
        <v>144632</v>
      </c>
      <c r="AD195" s="4">
        <v>144630</v>
      </c>
      <c r="AE195" s="4">
        <v>145375</v>
      </c>
      <c r="AF195" s="4">
        <v>290750</v>
      </c>
      <c r="AG195" s="4">
        <v>436125</v>
      </c>
      <c r="AH195" s="4">
        <v>581500</v>
      </c>
      <c r="AI195" s="4">
        <v>726132</v>
      </c>
      <c r="AJ195" s="4">
        <v>870764</v>
      </c>
      <c r="AK195" s="4">
        <v>1015396</v>
      </c>
      <c r="AL195" s="4">
        <v>1160028</v>
      </c>
      <c r="AM195" s="4">
        <v>1304660</v>
      </c>
      <c r="AN195" s="4">
        <v>1449290</v>
      </c>
      <c r="AO195" s="150">
        <v>89633</v>
      </c>
    </row>
    <row r="196" spans="1:41" x14ac:dyDescent="0.2">
      <c r="A196" s="1">
        <v>2024</v>
      </c>
      <c r="B196" s="2" t="s">
        <v>217</v>
      </c>
      <c r="C196" s="2" t="s">
        <v>217</v>
      </c>
      <c r="D196" s="1" t="s">
        <v>567</v>
      </c>
      <c r="E196" s="3">
        <v>1262519</v>
      </c>
      <c r="F196" s="1">
        <v>83</v>
      </c>
      <c r="G196" s="1">
        <v>0</v>
      </c>
      <c r="H196" s="3">
        <v>4247</v>
      </c>
      <c r="I196" s="3">
        <v>0</v>
      </c>
      <c r="J196" s="3">
        <v>1262436</v>
      </c>
      <c r="K196" s="3">
        <v>1258189</v>
      </c>
      <c r="L196" s="3">
        <v>1258189</v>
      </c>
      <c r="M196" s="3">
        <v>19005</v>
      </c>
      <c r="N196" s="3">
        <v>133642</v>
      </c>
      <c r="O196" s="3">
        <v>15552</v>
      </c>
      <c r="P196" s="3">
        <v>13892</v>
      </c>
      <c r="Q196" s="3">
        <v>68141</v>
      </c>
      <c r="R196" s="3">
        <v>1012204</v>
      </c>
      <c r="S196" s="3">
        <v>1007957</v>
      </c>
      <c r="T196" s="3">
        <v>1007957</v>
      </c>
      <c r="U196" s="3">
        <v>126244</v>
      </c>
      <c r="V196" s="3">
        <v>126244</v>
      </c>
      <c r="W196" s="3">
        <v>126244</v>
      </c>
      <c r="X196" s="3">
        <v>126244</v>
      </c>
      <c r="Y196" s="3">
        <v>125536</v>
      </c>
      <c r="Z196" s="3">
        <v>125536</v>
      </c>
      <c r="AA196" s="4">
        <v>125535</v>
      </c>
      <c r="AB196" s="4">
        <v>125535</v>
      </c>
      <c r="AC196" s="4">
        <v>125535</v>
      </c>
      <c r="AD196" s="4">
        <v>125536</v>
      </c>
      <c r="AE196" s="4">
        <v>126244</v>
      </c>
      <c r="AF196" s="4">
        <v>252488</v>
      </c>
      <c r="AG196" s="4">
        <v>378732</v>
      </c>
      <c r="AH196" s="4">
        <v>504976</v>
      </c>
      <c r="AI196" s="4">
        <v>630512</v>
      </c>
      <c r="AJ196" s="4">
        <v>756048</v>
      </c>
      <c r="AK196" s="4">
        <v>881583</v>
      </c>
      <c r="AL196" s="4">
        <v>1007118</v>
      </c>
      <c r="AM196" s="4">
        <v>1132653</v>
      </c>
      <c r="AN196" s="4">
        <v>1258189</v>
      </c>
      <c r="AO196" s="150">
        <v>88874</v>
      </c>
    </row>
    <row r="197" spans="1:41" x14ac:dyDescent="0.2">
      <c r="A197" s="1">
        <v>2024</v>
      </c>
      <c r="B197" s="2" t="s">
        <v>218</v>
      </c>
      <c r="C197" s="2" t="s">
        <v>218</v>
      </c>
      <c r="D197" s="1" t="s">
        <v>568</v>
      </c>
      <c r="E197" s="3">
        <v>3822711</v>
      </c>
      <c r="F197" s="3">
        <v>564</v>
      </c>
      <c r="G197" s="3">
        <v>0</v>
      </c>
      <c r="H197" s="3">
        <v>13743</v>
      </c>
      <c r="I197" s="3">
        <v>0</v>
      </c>
      <c r="J197" s="3">
        <v>3822147</v>
      </c>
      <c r="K197" s="3">
        <v>3808404</v>
      </c>
      <c r="L197" s="3">
        <v>3808404</v>
      </c>
      <c r="M197" s="3">
        <v>129231</v>
      </c>
      <c r="N197" s="3">
        <v>439098</v>
      </c>
      <c r="O197" s="3">
        <v>51137</v>
      </c>
      <c r="P197" s="3">
        <v>54110</v>
      </c>
      <c r="Q197" s="3">
        <v>220491</v>
      </c>
      <c r="R197" s="3">
        <v>2928080</v>
      </c>
      <c r="S197" s="3">
        <v>2914337</v>
      </c>
      <c r="T197" s="3">
        <v>2914337</v>
      </c>
      <c r="U197" s="3">
        <v>382215</v>
      </c>
      <c r="V197" s="3">
        <v>382215</v>
      </c>
      <c r="W197" s="3">
        <v>382215</v>
      </c>
      <c r="X197" s="3">
        <v>382215</v>
      </c>
      <c r="Y197" s="3">
        <v>379924</v>
      </c>
      <c r="Z197" s="3">
        <v>379924</v>
      </c>
      <c r="AA197" s="4">
        <v>379924</v>
      </c>
      <c r="AB197" s="4">
        <v>379924</v>
      </c>
      <c r="AC197" s="4">
        <v>379924</v>
      </c>
      <c r="AD197" s="4">
        <v>379924</v>
      </c>
      <c r="AE197" s="4">
        <v>382215</v>
      </c>
      <c r="AF197" s="4">
        <v>764430</v>
      </c>
      <c r="AG197" s="4">
        <v>1146645</v>
      </c>
      <c r="AH197" s="4">
        <v>1528860</v>
      </c>
      <c r="AI197" s="4">
        <v>1908784</v>
      </c>
      <c r="AJ197" s="4">
        <v>2288708</v>
      </c>
      <c r="AK197" s="4">
        <v>2668632</v>
      </c>
      <c r="AL197" s="4">
        <v>3048556</v>
      </c>
      <c r="AM197" s="4">
        <v>3428480</v>
      </c>
      <c r="AN197" s="4">
        <v>3808404</v>
      </c>
      <c r="AO197" s="150">
        <v>286609</v>
      </c>
    </row>
    <row r="198" spans="1:41" x14ac:dyDescent="0.2">
      <c r="A198" s="1">
        <v>2024</v>
      </c>
      <c r="B198" s="2" t="s">
        <v>219</v>
      </c>
      <c r="C198" s="2" t="s">
        <v>219</v>
      </c>
      <c r="D198" s="1" t="s">
        <v>569</v>
      </c>
      <c r="E198" s="3">
        <v>13255913</v>
      </c>
      <c r="F198" s="3">
        <v>1211</v>
      </c>
      <c r="G198" s="3">
        <v>926</v>
      </c>
      <c r="H198" s="3">
        <v>41160</v>
      </c>
      <c r="I198" s="3">
        <v>0</v>
      </c>
      <c r="J198" s="3">
        <v>13253776</v>
      </c>
      <c r="K198" s="3">
        <v>13212616</v>
      </c>
      <c r="L198" s="3">
        <v>13212616</v>
      </c>
      <c r="M198" s="3">
        <v>277467</v>
      </c>
      <c r="N198" s="3">
        <v>1155973</v>
      </c>
      <c r="O198" s="3">
        <v>152688</v>
      </c>
      <c r="P198" s="3">
        <v>137188</v>
      </c>
      <c r="Q198" s="3">
        <v>660369</v>
      </c>
      <c r="R198" s="3">
        <v>10870091</v>
      </c>
      <c r="S198" s="3">
        <v>10828931</v>
      </c>
      <c r="T198" s="3">
        <v>10828931</v>
      </c>
      <c r="U198" s="3">
        <v>1325378</v>
      </c>
      <c r="V198" s="3">
        <v>1325378</v>
      </c>
      <c r="W198" s="3">
        <v>1325378</v>
      </c>
      <c r="X198" s="3">
        <v>1325378</v>
      </c>
      <c r="Y198" s="3">
        <v>1318517</v>
      </c>
      <c r="Z198" s="3">
        <v>1318517</v>
      </c>
      <c r="AA198" s="4">
        <v>1318518</v>
      </c>
      <c r="AB198" s="4">
        <v>1318518</v>
      </c>
      <c r="AC198" s="4">
        <v>1318518</v>
      </c>
      <c r="AD198" s="4">
        <v>1318516</v>
      </c>
      <c r="AE198" s="4">
        <v>1325378</v>
      </c>
      <c r="AF198" s="4">
        <v>2650756</v>
      </c>
      <c r="AG198" s="4">
        <v>3976134</v>
      </c>
      <c r="AH198" s="4">
        <v>5301512</v>
      </c>
      <c r="AI198" s="4">
        <v>6620029</v>
      </c>
      <c r="AJ198" s="4">
        <v>7938546</v>
      </c>
      <c r="AK198" s="4">
        <v>9257064</v>
      </c>
      <c r="AL198" s="4">
        <v>10575582</v>
      </c>
      <c r="AM198" s="4">
        <v>11894100</v>
      </c>
      <c r="AN198" s="4">
        <v>13212616</v>
      </c>
      <c r="AO198" s="150">
        <v>865485</v>
      </c>
    </row>
    <row r="199" spans="1:41" x14ac:dyDescent="0.2">
      <c r="A199" s="1">
        <v>2024</v>
      </c>
      <c r="B199" s="2" t="s">
        <v>220</v>
      </c>
      <c r="C199" s="2" t="s">
        <v>220</v>
      </c>
      <c r="D199" s="1" t="s">
        <v>570</v>
      </c>
      <c r="E199" s="3">
        <v>7937993</v>
      </c>
      <c r="F199" s="3">
        <v>746</v>
      </c>
      <c r="G199" s="3">
        <v>0</v>
      </c>
      <c r="H199" s="3">
        <v>25524</v>
      </c>
      <c r="I199" s="1">
        <v>0</v>
      </c>
      <c r="J199" s="3">
        <v>7937247</v>
      </c>
      <c r="K199" s="3">
        <v>7911723</v>
      </c>
      <c r="L199" s="3">
        <v>7911723</v>
      </c>
      <c r="M199" s="3">
        <v>171042</v>
      </c>
      <c r="N199" s="3">
        <v>734003</v>
      </c>
      <c r="O199" s="3">
        <v>90129</v>
      </c>
      <c r="P199" s="3">
        <v>82929</v>
      </c>
      <c r="Q199" s="3">
        <v>409511</v>
      </c>
      <c r="R199" s="3">
        <v>6449633</v>
      </c>
      <c r="S199" s="3">
        <v>6424109</v>
      </c>
      <c r="T199" s="3">
        <v>6424109</v>
      </c>
      <c r="U199" s="3">
        <v>793725</v>
      </c>
      <c r="V199" s="3">
        <v>793725</v>
      </c>
      <c r="W199" s="3">
        <v>793725</v>
      </c>
      <c r="X199" s="3">
        <v>793725</v>
      </c>
      <c r="Y199" s="3">
        <v>789471</v>
      </c>
      <c r="Z199" s="3">
        <v>789471</v>
      </c>
      <c r="AA199" s="4">
        <v>789470</v>
      </c>
      <c r="AB199" s="4">
        <v>789470</v>
      </c>
      <c r="AC199" s="4">
        <v>789470</v>
      </c>
      <c r="AD199" s="4">
        <v>789471</v>
      </c>
      <c r="AE199" s="4">
        <v>793725</v>
      </c>
      <c r="AF199" s="4">
        <v>1587450</v>
      </c>
      <c r="AG199" s="4">
        <v>2381175</v>
      </c>
      <c r="AH199" s="4">
        <v>3174900</v>
      </c>
      <c r="AI199" s="4">
        <v>3964371</v>
      </c>
      <c r="AJ199" s="4">
        <v>4753842</v>
      </c>
      <c r="AK199" s="4">
        <v>5543312</v>
      </c>
      <c r="AL199" s="4">
        <v>6332782</v>
      </c>
      <c r="AM199" s="4">
        <v>7122252</v>
      </c>
      <c r="AN199" s="4">
        <v>7911723</v>
      </c>
      <c r="AO199" s="150">
        <v>532335</v>
      </c>
    </row>
    <row r="200" spans="1:41" x14ac:dyDescent="0.2">
      <c r="A200" s="1">
        <v>2024</v>
      </c>
      <c r="B200" s="2" t="s">
        <v>221</v>
      </c>
      <c r="C200" s="2" t="s">
        <v>221</v>
      </c>
      <c r="D200" s="1" t="s">
        <v>571</v>
      </c>
      <c r="E200" s="3">
        <v>1754991</v>
      </c>
      <c r="F200" s="3">
        <v>381</v>
      </c>
      <c r="G200" s="3">
        <v>0</v>
      </c>
      <c r="H200" s="3">
        <v>5095</v>
      </c>
      <c r="I200" s="3">
        <v>0</v>
      </c>
      <c r="J200" s="3">
        <v>1754610</v>
      </c>
      <c r="K200" s="3">
        <v>1749515</v>
      </c>
      <c r="L200" s="3">
        <v>1749515</v>
      </c>
      <c r="M200" s="3">
        <v>87422</v>
      </c>
      <c r="N200" s="3">
        <v>168568</v>
      </c>
      <c r="O200" s="3">
        <v>20614</v>
      </c>
      <c r="P200" s="3">
        <v>17043</v>
      </c>
      <c r="Q200" s="3">
        <v>81740</v>
      </c>
      <c r="R200" s="3">
        <v>1379223</v>
      </c>
      <c r="S200" s="3">
        <v>1374128</v>
      </c>
      <c r="T200" s="3">
        <v>1374128</v>
      </c>
      <c r="U200" s="3">
        <v>175461</v>
      </c>
      <c r="V200" s="3">
        <v>175461</v>
      </c>
      <c r="W200" s="3">
        <v>175461</v>
      </c>
      <c r="X200" s="3">
        <v>175461</v>
      </c>
      <c r="Y200" s="3">
        <v>174612</v>
      </c>
      <c r="Z200" s="3">
        <v>174612</v>
      </c>
      <c r="AA200" s="4">
        <v>174612</v>
      </c>
      <c r="AB200" s="4">
        <v>174612</v>
      </c>
      <c r="AC200" s="4">
        <v>174612</v>
      </c>
      <c r="AD200" s="4">
        <v>174611</v>
      </c>
      <c r="AE200" s="4">
        <v>175461</v>
      </c>
      <c r="AF200" s="4">
        <v>350922</v>
      </c>
      <c r="AG200" s="4">
        <v>526383</v>
      </c>
      <c r="AH200" s="4">
        <v>701844</v>
      </c>
      <c r="AI200" s="4">
        <v>876456</v>
      </c>
      <c r="AJ200" s="4">
        <v>1051068</v>
      </c>
      <c r="AK200" s="4">
        <v>1225680</v>
      </c>
      <c r="AL200" s="4">
        <v>1400292</v>
      </c>
      <c r="AM200" s="4">
        <v>1574904</v>
      </c>
      <c r="AN200" s="4">
        <v>1749515</v>
      </c>
      <c r="AO200" s="150">
        <v>107427</v>
      </c>
    </row>
    <row r="201" spans="1:41" x14ac:dyDescent="0.2">
      <c r="A201" s="1">
        <v>2024</v>
      </c>
      <c r="B201" s="2" t="s">
        <v>222</v>
      </c>
      <c r="C201" s="2" t="s">
        <v>222</v>
      </c>
      <c r="D201" s="1" t="s">
        <v>572</v>
      </c>
      <c r="E201" s="3">
        <v>34549998</v>
      </c>
      <c r="F201" s="3">
        <v>3931</v>
      </c>
      <c r="G201" s="3">
        <v>38175</v>
      </c>
      <c r="H201" s="3">
        <v>105083</v>
      </c>
      <c r="I201" s="3">
        <v>0</v>
      </c>
      <c r="J201" s="3">
        <v>34507892</v>
      </c>
      <c r="K201" s="3">
        <v>34402809</v>
      </c>
      <c r="L201" s="3">
        <v>34402809</v>
      </c>
      <c r="M201" s="3">
        <v>897110</v>
      </c>
      <c r="N201" s="3">
        <v>2938303</v>
      </c>
      <c r="O201" s="3">
        <v>390185</v>
      </c>
      <c r="P201" s="3">
        <v>322523</v>
      </c>
      <c r="Q201" s="3">
        <v>1685951</v>
      </c>
      <c r="R201" s="3">
        <v>28273820</v>
      </c>
      <c r="S201" s="3">
        <v>28168737</v>
      </c>
      <c r="T201" s="3">
        <v>28168737</v>
      </c>
      <c r="U201" s="3">
        <v>3450789</v>
      </c>
      <c r="V201" s="3">
        <v>3450789</v>
      </c>
      <c r="W201" s="3">
        <v>3450789</v>
      </c>
      <c r="X201" s="3">
        <v>3450789</v>
      </c>
      <c r="Y201" s="3">
        <v>3433276</v>
      </c>
      <c r="Z201" s="3">
        <v>3433276</v>
      </c>
      <c r="AA201" s="4">
        <v>3433275</v>
      </c>
      <c r="AB201" s="4">
        <v>3433275</v>
      </c>
      <c r="AC201" s="4">
        <v>3433275</v>
      </c>
      <c r="AD201" s="4">
        <v>3433276</v>
      </c>
      <c r="AE201" s="4">
        <v>3450789</v>
      </c>
      <c r="AF201" s="4">
        <v>6901578</v>
      </c>
      <c r="AG201" s="4">
        <v>10352367</v>
      </c>
      <c r="AH201" s="4">
        <v>13803156</v>
      </c>
      <c r="AI201" s="4">
        <v>17236432</v>
      </c>
      <c r="AJ201" s="4">
        <v>20669708</v>
      </c>
      <c r="AK201" s="4">
        <v>24102983</v>
      </c>
      <c r="AL201" s="4">
        <v>27536258</v>
      </c>
      <c r="AM201" s="4">
        <v>30969533</v>
      </c>
      <c r="AN201" s="4">
        <v>34402809</v>
      </c>
      <c r="AO201" s="150">
        <v>2225191</v>
      </c>
    </row>
    <row r="202" spans="1:41" x14ac:dyDescent="0.2">
      <c r="A202" s="1">
        <v>2024</v>
      </c>
      <c r="B202" s="2" t="s">
        <v>223</v>
      </c>
      <c r="C202" s="2" t="s">
        <v>223</v>
      </c>
      <c r="D202" s="1" t="s">
        <v>573</v>
      </c>
      <c r="E202" s="3">
        <v>3920005</v>
      </c>
      <c r="F202" s="3">
        <v>630</v>
      </c>
      <c r="G202" s="3">
        <v>0</v>
      </c>
      <c r="H202" s="3">
        <v>13612</v>
      </c>
      <c r="I202" s="1">
        <v>0</v>
      </c>
      <c r="J202" s="3">
        <v>3919375</v>
      </c>
      <c r="K202" s="3">
        <v>3905763</v>
      </c>
      <c r="L202" s="3">
        <v>3905763</v>
      </c>
      <c r="M202" s="3">
        <v>144435</v>
      </c>
      <c r="N202" s="3">
        <v>380343</v>
      </c>
      <c r="O202" s="3">
        <v>38987</v>
      </c>
      <c r="P202" s="3">
        <v>43189</v>
      </c>
      <c r="Q202" s="3">
        <v>218391</v>
      </c>
      <c r="R202" s="3">
        <v>3094030</v>
      </c>
      <c r="S202" s="3">
        <v>3080418</v>
      </c>
      <c r="T202" s="3">
        <v>3080418</v>
      </c>
      <c r="U202" s="3">
        <v>391938</v>
      </c>
      <c r="V202" s="3">
        <v>391938</v>
      </c>
      <c r="W202" s="3">
        <v>391938</v>
      </c>
      <c r="X202" s="3">
        <v>391938</v>
      </c>
      <c r="Y202" s="3">
        <v>389669</v>
      </c>
      <c r="Z202" s="3">
        <v>389669</v>
      </c>
      <c r="AA202" s="4">
        <v>389668</v>
      </c>
      <c r="AB202" s="4">
        <v>389668</v>
      </c>
      <c r="AC202" s="4">
        <v>389668</v>
      </c>
      <c r="AD202" s="4">
        <v>389669</v>
      </c>
      <c r="AE202" s="4">
        <v>391938</v>
      </c>
      <c r="AF202" s="4">
        <v>783876</v>
      </c>
      <c r="AG202" s="4">
        <v>1175814</v>
      </c>
      <c r="AH202" s="4">
        <v>1567752</v>
      </c>
      <c r="AI202" s="4">
        <v>1957421</v>
      </c>
      <c r="AJ202" s="4">
        <v>2347090</v>
      </c>
      <c r="AK202" s="4">
        <v>2736758</v>
      </c>
      <c r="AL202" s="4">
        <v>3126426</v>
      </c>
      <c r="AM202" s="4">
        <v>3516094</v>
      </c>
      <c r="AN202" s="4">
        <v>3905763</v>
      </c>
      <c r="AO202" s="150">
        <v>284028</v>
      </c>
    </row>
    <row r="203" spans="1:41" x14ac:dyDescent="0.2">
      <c r="A203" s="1">
        <v>2024</v>
      </c>
      <c r="B203" s="2" t="s">
        <v>224</v>
      </c>
      <c r="C203" s="2" t="s">
        <v>224</v>
      </c>
      <c r="D203" s="1" t="s">
        <v>574</v>
      </c>
      <c r="E203" s="3">
        <v>9797141</v>
      </c>
      <c r="F203" s="3">
        <v>1244</v>
      </c>
      <c r="G203" s="3">
        <v>0</v>
      </c>
      <c r="H203" s="3">
        <v>32144</v>
      </c>
      <c r="I203" s="3">
        <v>0</v>
      </c>
      <c r="J203" s="3">
        <v>9795897</v>
      </c>
      <c r="K203" s="3">
        <v>9763753</v>
      </c>
      <c r="L203" s="3">
        <v>9763753</v>
      </c>
      <c r="M203" s="3">
        <v>285069</v>
      </c>
      <c r="N203" s="3">
        <v>911751</v>
      </c>
      <c r="O203" s="3">
        <v>122825</v>
      </c>
      <c r="P203" s="3">
        <v>109713</v>
      </c>
      <c r="Q203" s="3">
        <v>515721</v>
      </c>
      <c r="R203" s="3">
        <v>7850818</v>
      </c>
      <c r="S203" s="3">
        <v>7818674</v>
      </c>
      <c r="T203" s="3">
        <v>7818674</v>
      </c>
      <c r="U203" s="3">
        <v>979590</v>
      </c>
      <c r="V203" s="3">
        <v>979590</v>
      </c>
      <c r="W203" s="3">
        <v>979590</v>
      </c>
      <c r="X203" s="3">
        <v>979590</v>
      </c>
      <c r="Y203" s="3">
        <v>974232</v>
      </c>
      <c r="Z203" s="3">
        <v>974232</v>
      </c>
      <c r="AA203" s="4">
        <v>974232</v>
      </c>
      <c r="AB203" s="4">
        <v>974232</v>
      </c>
      <c r="AC203" s="4">
        <v>974232</v>
      </c>
      <c r="AD203" s="4">
        <v>974233</v>
      </c>
      <c r="AE203" s="4">
        <v>979590</v>
      </c>
      <c r="AF203" s="4">
        <v>1959180</v>
      </c>
      <c r="AG203" s="4">
        <v>2938770</v>
      </c>
      <c r="AH203" s="4">
        <v>3918360</v>
      </c>
      <c r="AI203" s="4">
        <v>4892592</v>
      </c>
      <c r="AJ203" s="4">
        <v>5866824</v>
      </c>
      <c r="AK203" s="4">
        <v>6841056</v>
      </c>
      <c r="AL203" s="4">
        <v>7815288</v>
      </c>
      <c r="AM203" s="4">
        <v>8789520</v>
      </c>
      <c r="AN203" s="4">
        <v>9763753</v>
      </c>
      <c r="AO203" s="150">
        <v>648341</v>
      </c>
    </row>
    <row r="204" spans="1:41" x14ac:dyDescent="0.2">
      <c r="A204" s="1">
        <v>2024</v>
      </c>
      <c r="B204" s="2" t="s">
        <v>225</v>
      </c>
      <c r="C204" s="2" t="s">
        <v>225</v>
      </c>
      <c r="D204" s="1" t="s">
        <v>575</v>
      </c>
      <c r="E204" s="3">
        <v>2949615</v>
      </c>
      <c r="F204" s="3">
        <v>498</v>
      </c>
      <c r="G204" s="3">
        <v>0</v>
      </c>
      <c r="H204" s="3">
        <v>11391</v>
      </c>
      <c r="I204" s="1">
        <v>0</v>
      </c>
      <c r="J204" s="3">
        <v>2949117</v>
      </c>
      <c r="K204" s="3">
        <v>2937726</v>
      </c>
      <c r="L204" s="3">
        <v>2937726</v>
      </c>
      <c r="M204" s="3">
        <v>114027</v>
      </c>
      <c r="N204" s="3">
        <v>329714</v>
      </c>
      <c r="O204" s="3">
        <v>42196</v>
      </c>
      <c r="P204" s="3">
        <v>35467</v>
      </c>
      <c r="Q204" s="3">
        <v>182754</v>
      </c>
      <c r="R204" s="3">
        <v>2244959</v>
      </c>
      <c r="S204" s="3">
        <v>2233568</v>
      </c>
      <c r="T204" s="3">
        <v>2233568</v>
      </c>
      <c r="U204" s="3">
        <v>294912</v>
      </c>
      <c r="V204" s="3">
        <v>294912</v>
      </c>
      <c r="W204" s="3">
        <v>294912</v>
      </c>
      <c r="X204" s="3">
        <v>294912</v>
      </c>
      <c r="Y204" s="3">
        <v>293013</v>
      </c>
      <c r="Z204" s="3">
        <v>293013</v>
      </c>
      <c r="AA204" s="4">
        <v>293013</v>
      </c>
      <c r="AB204" s="4">
        <v>293013</v>
      </c>
      <c r="AC204" s="4">
        <v>293013</v>
      </c>
      <c r="AD204" s="4">
        <v>293013</v>
      </c>
      <c r="AE204" s="4">
        <v>294912</v>
      </c>
      <c r="AF204" s="4">
        <v>589824</v>
      </c>
      <c r="AG204" s="4">
        <v>884736</v>
      </c>
      <c r="AH204" s="4">
        <v>1179648</v>
      </c>
      <c r="AI204" s="4">
        <v>1472661</v>
      </c>
      <c r="AJ204" s="4">
        <v>1765674</v>
      </c>
      <c r="AK204" s="4">
        <v>2058687</v>
      </c>
      <c r="AL204" s="4">
        <v>2351700</v>
      </c>
      <c r="AM204" s="4">
        <v>2644713</v>
      </c>
      <c r="AN204" s="4">
        <v>2937726</v>
      </c>
      <c r="AO204" s="150">
        <v>247284</v>
      </c>
    </row>
    <row r="205" spans="1:41" x14ac:dyDescent="0.2">
      <c r="A205" s="1">
        <v>2024</v>
      </c>
      <c r="B205" s="2" t="s">
        <v>226</v>
      </c>
      <c r="C205" s="2" t="s">
        <v>226</v>
      </c>
      <c r="D205" s="1" t="s">
        <v>576</v>
      </c>
      <c r="E205" s="3">
        <v>5533203</v>
      </c>
      <c r="F205" s="3">
        <v>1045</v>
      </c>
      <c r="G205" s="3">
        <v>0</v>
      </c>
      <c r="H205" s="3">
        <v>21362</v>
      </c>
      <c r="I205" s="3">
        <v>0</v>
      </c>
      <c r="J205" s="3">
        <v>5532158</v>
      </c>
      <c r="K205" s="3">
        <v>5510796</v>
      </c>
      <c r="L205" s="3">
        <v>5510796</v>
      </c>
      <c r="M205" s="3">
        <v>239458</v>
      </c>
      <c r="N205" s="3">
        <v>613530</v>
      </c>
      <c r="O205" s="3">
        <v>57930</v>
      </c>
      <c r="P205" s="3">
        <v>68197</v>
      </c>
      <c r="Q205" s="3">
        <v>342733</v>
      </c>
      <c r="R205" s="3">
        <v>4210310</v>
      </c>
      <c r="S205" s="3">
        <v>4188948</v>
      </c>
      <c r="T205" s="3">
        <v>4188948</v>
      </c>
      <c r="U205" s="3">
        <v>553216</v>
      </c>
      <c r="V205" s="3">
        <v>553216</v>
      </c>
      <c r="W205" s="3">
        <v>553216</v>
      </c>
      <c r="X205" s="3">
        <v>553216</v>
      </c>
      <c r="Y205" s="3">
        <v>549655</v>
      </c>
      <c r="Z205" s="3">
        <v>549655</v>
      </c>
      <c r="AA205" s="4">
        <v>549656</v>
      </c>
      <c r="AB205" s="4">
        <v>549656</v>
      </c>
      <c r="AC205" s="4">
        <v>549656</v>
      </c>
      <c r="AD205" s="4">
        <v>549654</v>
      </c>
      <c r="AE205" s="4">
        <v>553216</v>
      </c>
      <c r="AF205" s="4">
        <v>1106432</v>
      </c>
      <c r="AG205" s="4">
        <v>1659648</v>
      </c>
      <c r="AH205" s="4">
        <v>2212864</v>
      </c>
      <c r="AI205" s="4">
        <v>2762519</v>
      </c>
      <c r="AJ205" s="4">
        <v>3312174</v>
      </c>
      <c r="AK205" s="4">
        <v>3861830</v>
      </c>
      <c r="AL205" s="4">
        <v>4411486</v>
      </c>
      <c r="AM205" s="4">
        <v>4961142</v>
      </c>
      <c r="AN205" s="4">
        <v>5510796</v>
      </c>
      <c r="AO205" s="150">
        <v>460527</v>
      </c>
    </row>
    <row r="206" spans="1:41" x14ac:dyDescent="0.2">
      <c r="A206" s="1">
        <v>2024</v>
      </c>
      <c r="B206" s="2" t="s">
        <v>227</v>
      </c>
      <c r="C206" s="2" t="s">
        <v>227</v>
      </c>
      <c r="D206" s="1" t="s">
        <v>577</v>
      </c>
      <c r="E206" s="3">
        <v>4315343</v>
      </c>
      <c r="F206" s="3">
        <v>365</v>
      </c>
      <c r="G206" s="3">
        <v>0</v>
      </c>
      <c r="H206" s="3">
        <v>12450</v>
      </c>
      <c r="I206" s="1">
        <v>0</v>
      </c>
      <c r="J206" s="3">
        <v>4314978</v>
      </c>
      <c r="K206" s="3">
        <v>4302528</v>
      </c>
      <c r="L206" s="3">
        <v>4302528</v>
      </c>
      <c r="M206" s="3">
        <v>83620</v>
      </c>
      <c r="N206" s="3">
        <v>366273</v>
      </c>
      <c r="O206" s="3">
        <v>43815</v>
      </c>
      <c r="P206" s="3">
        <v>38883</v>
      </c>
      <c r="Q206" s="3">
        <v>199743</v>
      </c>
      <c r="R206" s="3">
        <v>3582644</v>
      </c>
      <c r="S206" s="3">
        <v>3570194</v>
      </c>
      <c r="T206" s="3">
        <v>3570194</v>
      </c>
      <c r="U206" s="3">
        <v>431498</v>
      </c>
      <c r="V206" s="3">
        <v>431498</v>
      </c>
      <c r="W206" s="3">
        <v>431498</v>
      </c>
      <c r="X206" s="3">
        <v>431498</v>
      </c>
      <c r="Y206" s="3">
        <v>429423</v>
      </c>
      <c r="Z206" s="3">
        <v>429423</v>
      </c>
      <c r="AA206" s="4">
        <v>429423</v>
      </c>
      <c r="AB206" s="4">
        <v>429423</v>
      </c>
      <c r="AC206" s="4">
        <v>429423</v>
      </c>
      <c r="AD206" s="4">
        <v>429421</v>
      </c>
      <c r="AE206" s="4">
        <v>431498</v>
      </c>
      <c r="AF206" s="4">
        <v>862996</v>
      </c>
      <c r="AG206" s="4">
        <v>1294494</v>
      </c>
      <c r="AH206" s="4">
        <v>1725992</v>
      </c>
      <c r="AI206" s="4">
        <v>2155415</v>
      </c>
      <c r="AJ206" s="4">
        <v>2584838</v>
      </c>
      <c r="AK206" s="4">
        <v>3014261</v>
      </c>
      <c r="AL206" s="4">
        <v>3443684</v>
      </c>
      <c r="AM206" s="4">
        <v>3873107</v>
      </c>
      <c r="AN206" s="4">
        <v>4302528</v>
      </c>
      <c r="AO206" s="150">
        <v>262705</v>
      </c>
    </row>
    <row r="207" spans="1:41" x14ac:dyDescent="0.2">
      <c r="A207" s="1">
        <v>2024</v>
      </c>
      <c r="B207" s="2" t="s">
        <v>228</v>
      </c>
      <c r="C207" s="2" t="s">
        <v>228</v>
      </c>
      <c r="D207" s="1" t="s">
        <v>578</v>
      </c>
      <c r="E207" s="3">
        <v>23294544</v>
      </c>
      <c r="F207" s="3">
        <v>1775</v>
      </c>
      <c r="G207" s="3">
        <v>0</v>
      </c>
      <c r="H207" s="3">
        <v>67936</v>
      </c>
      <c r="I207" s="1">
        <v>0</v>
      </c>
      <c r="J207" s="3">
        <v>23292769</v>
      </c>
      <c r="K207" s="3">
        <v>23224833</v>
      </c>
      <c r="L207" s="3">
        <v>23224833</v>
      </c>
      <c r="M207" s="3">
        <v>406698</v>
      </c>
      <c r="N207" s="3">
        <v>1904339</v>
      </c>
      <c r="O207" s="3">
        <v>246486</v>
      </c>
      <c r="P207" s="3">
        <v>212326</v>
      </c>
      <c r="Q207" s="3">
        <v>1089964</v>
      </c>
      <c r="R207" s="3">
        <v>19432956</v>
      </c>
      <c r="S207" s="3">
        <v>19365020</v>
      </c>
      <c r="T207" s="3">
        <v>19365020</v>
      </c>
      <c r="U207" s="3">
        <v>2329277</v>
      </c>
      <c r="V207" s="3">
        <v>2329277</v>
      </c>
      <c r="W207" s="3">
        <v>2329277</v>
      </c>
      <c r="X207" s="3">
        <v>2329277</v>
      </c>
      <c r="Y207" s="3">
        <v>2317954</v>
      </c>
      <c r="Z207" s="3">
        <v>2317954</v>
      </c>
      <c r="AA207" s="4">
        <v>2317954</v>
      </c>
      <c r="AB207" s="4">
        <v>2317954</v>
      </c>
      <c r="AC207" s="4">
        <v>2317954</v>
      </c>
      <c r="AD207" s="4">
        <v>2317955</v>
      </c>
      <c r="AE207" s="4">
        <v>2329277</v>
      </c>
      <c r="AF207" s="4">
        <v>4658554</v>
      </c>
      <c r="AG207" s="4">
        <v>6987831</v>
      </c>
      <c r="AH207" s="4">
        <v>9317108</v>
      </c>
      <c r="AI207" s="4">
        <v>11635062</v>
      </c>
      <c r="AJ207" s="4">
        <v>13953016</v>
      </c>
      <c r="AK207" s="4">
        <v>16270970</v>
      </c>
      <c r="AL207" s="4">
        <v>18588924</v>
      </c>
      <c r="AM207" s="4">
        <v>20906878</v>
      </c>
      <c r="AN207" s="4">
        <v>23224833</v>
      </c>
      <c r="AO207" s="150">
        <v>1442022</v>
      </c>
    </row>
    <row r="208" spans="1:41" x14ac:dyDescent="0.2">
      <c r="A208" s="1">
        <v>2024</v>
      </c>
      <c r="B208" s="2" t="s">
        <v>229</v>
      </c>
      <c r="C208" s="2" t="s">
        <v>229</v>
      </c>
      <c r="D208" s="1" t="s">
        <v>579</v>
      </c>
      <c r="E208" s="3">
        <v>5319992</v>
      </c>
      <c r="F208" s="3">
        <v>779</v>
      </c>
      <c r="G208" s="3">
        <v>0</v>
      </c>
      <c r="H208" s="3">
        <v>18498</v>
      </c>
      <c r="I208" s="3">
        <v>0</v>
      </c>
      <c r="J208" s="3">
        <v>5319213</v>
      </c>
      <c r="K208" s="3">
        <v>5300715</v>
      </c>
      <c r="L208" s="3">
        <v>5300715</v>
      </c>
      <c r="M208" s="3">
        <v>178644</v>
      </c>
      <c r="N208" s="3">
        <v>551928</v>
      </c>
      <c r="O208" s="3">
        <v>57893</v>
      </c>
      <c r="P208" s="3">
        <v>62016</v>
      </c>
      <c r="Q208" s="3">
        <v>296777</v>
      </c>
      <c r="R208" s="3">
        <v>4171955</v>
      </c>
      <c r="S208" s="3">
        <v>4153457</v>
      </c>
      <c r="T208" s="3">
        <v>4153457</v>
      </c>
      <c r="U208" s="3">
        <v>531921</v>
      </c>
      <c r="V208" s="3">
        <v>531921</v>
      </c>
      <c r="W208" s="3">
        <v>531921</v>
      </c>
      <c r="X208" s="3">
        <v>531921</v>
      </c>
      <c r="Y208" s="3">
        <v>528839</v>
      </c>
      <c r="Z208" s="3">
        <v>528839</v>
      </c>
      <c r="AA208" s="4">
        <v>528838</v>
      </c>
      <c r="AB208" s="4">
        <v>528838</v>
      </c>
      <c r="AC208" s="4">
        <v>528838</v>
      </c>
      <c r="AD208" s="4">
        <v>528839</v>
      </c>
      <c r="AE208" s="4">
        <v>531921</v>
      </c>
      <c r="AF208" s="4">
        <v>1063842</v>
      </c>
      <c r="AG208" s="4">
        <v>1595763</v>
      </c>
      <c r="AH208" s="4">
        <v>2127684</v>
      </c>
      <c r="AI208" s="4">
        <v>2656523</v>
      </c>
      <c r="AJ208" s="4">
        <v>3185362</v>
      </c>
      <c r="AK208" s="4">
        <v>3714200</v>
      </c>
      <c r="AL208" s="4">
        <v>4243038</v>
      </c>
      <c r="AM208" s="4">
        <v>4771876</v>
      </c>
      <c r="AN208" s="4">
        <v>5300715</v>
      </c>
      <c r="AO208" s="150">
        <v>402411</v>
      </c>
    </row>
    <row r="209" spans="1:41" x14ac:dyDescent="0.2">
      <c r="A209" s="1">
        <v>2024</v>
      </c>
      <c r="B209" s="2" t="s">
        <v>230</v>
      </c>
      <c r="C209" s="2" t="s">
        <v>230</v>
      </c>
      <c r="D209" s="1" t="s">
        <v>580</v>
      </c>
      <c r="E209" s="3">
        <v>3504307</v>
      </c>
      <c r="F209" s="3">
        <v>663</v>
      </c>
      <c r="G209" s="3">
        <v>0</v>
      </c>
      <c r="H209" s="3">
        <v>12105</v>
      </c>
      <c r="I209" s="1">
        <v>0</v>
      </c>
      <c r="J209" s="3">
        <v>3503644</v>
      </c>
      <c r="K209" s="3">
        <v>3491539</v>
      </c>
      <c r="L209" s="3">
        <v>3491539</v>
      </c>
      <c r="M209" s="3">
        <v>152037</v>
      </c>
      <c r="N209" s="3">
        <v>370655</v>
      </c>
      <c r="O209" s="3">
        <v>44890</v>
      </c>
      <c r="P209" s="3">
        <v>41812</v>
      </c>
      <c r="Q209" s="3">
        <v>194215</v>
      </c>
      <c r="R209" s="3">
        <v>2700035</v>
      </c>
      <c r="S209" s="3">
        <v>2687930</v>
      </c>
      <c r="T209" s="3">
        <v>2687930</v>
      </c>
      <c r="U209" s="3">
        <v>350364</v>
      </c>
      <c r="V209" s="3">
        <v>350364</v>
      </c>
      <c r="W209" s="3">
        <v>350364</v>
      </c>
      <c r="X209" s="3">
        <v>350364</v>
      </c>
      <c r="Y209" s="3">
        <v>348347</v>
      </c>
      <c r="Z209" s="3">
        <v>348347</v>
      </c>
      <c r="AA209" s="4">
        <v>348347</v>
      </c>
      <c r="AB209" s="4">
        <v>348347</v>
      </c>
      <c r="AC209" s="4">
        <v>348347</v>
      </c>
      <c r="AD209" s="4">
        <v>348348</v>
      </c>
      <c r="AE209" s="4">
        <v>350364</v>
      </c>
      <c r="AF209" s="4">
        <v>700728</v>
      </c>
      <c r="AG209" s="4">
        <v>1051092</v>
      </c>
      <c r="AH209" s="4">
        <v>1401456</v>
      </c>
      <c r="AI209" s="4">
        <v>1749803</v>
      </c>
      <c r="AJ209" s="4">
        <v>2098150</v>
      </c>
      <c r="AK209" s="4">
        <v>2446497</v>
      </c>
      <c r="AL209" s="4">
        <v>2794844</v>
      </c>
      <c r="AM209" s="4">
        <v>3143191</v>
      </c>
      <c r="AN209" s="4">
        <v>3491539</v>
      </c>
      <c r="AO209" s="150">
        <v>246705</v>
      </c>
    </row>
    <row r="210" spans="1:41" x14ac:dyDescent="0.2">
      <c r="A210" s="1">
        <v>2024</v>
      </c>
      <c r="B210" s="2" t="s">
        <v>231</v>
      </c>
      <c r="C210" s="2" t="s">
        <v>231</v>
      </c>
      <c r="D210" s="1" t="s">
        <v>799</v>
      </c>
      <c r="E210" s="3">
        <v>8202708</v>
      </c>
      <c r="F210" s="3">
        <v>1028</v>
      </c>
      <c r="G210" s="3">
        <v>0</v>
      </c>
      <c r="H210" s="3">
        <v>26140</v>
      </c>
      <c r="I210" s="3">
        <v>0</v>
      </c>
      <c r="J210" s="3">
        <v>8201680</v>
      </c>
      <c r="K210" s="3">
        <v>8175540</v>
      </c>
      <c r="L210" s="3">
        <v>8175540</v>
      </c>
      <c r="M210" s="3">
        <v>235657</v>
      </c>
      <c r="N210" s="3">
        <v>756986</v>
      </c>
      <c r="O210" s="3">
        <v>83734</v>
      </c>
      <c r="P210" s="3">
        <v>83085</v>
      </c>
      <c r="Q210" s="3">
        <v>419387</v>
      </c>
      <c r="R210" s="3">
        <v>6622831</v>
      </c>
      <c r="S210" s="3">
        <v>6596691</v>
      </c>
      <c r="T210" s="3">
        <v>6596691</v>
      </c>
      <c r="U210" s="3">
        <v>820168</v>
      </c>
      <c r="V210" s="3">
        <v>820168</v>
      </c>
      <c r="W210" s="3">
        <v>820168</v>
      </c>
      <c r="X210" s="3">
        <v>820168</v>
      </c>
      <c r="Y210" s="3">
        <v>815811</v>
      </c>
      <c r="Z210" s="3">
        <v>815811</v>
      </c>
      <c r="AA210" s="4">
        <v>815812</v>
      </c>
      <c r="AB210" s="4">
        <v>815812</v>
      </c>
      <c r="AC210" s="4">
        <v>815812</v>
      </c>
      <c r="AD210" s="4">
        <v>815810</v>
      </c>
      <c r="AE210" s="4">
        <v>820168</v>
      </c>
      <c r="AF210" s="4">
        <v>1640336</v>
      </c>
      <c r="AG210" s="4">
        <v>2460504</v>
      </c>
      <c r="AH210" s="4">
        <v>3280672</v>
      </c>
      <c r="AI210" s="4">
        <v>4096483</v>
      </c>
      <c r="AJ210" s="4">
        <v>4912294</v>
      </c>
      <c r="AK210" s="4">
        <v>5728106</v>
      </c>
      <c r="AL210" s="4">
        <v>6543918</v>
      </c>
      <c r="AM210" s="4">
        <v>7359730</v>
      </c>
      <c r="AN210" s="4">
        <v>8175540</v>
      </c>
      <c r="AO210" s="150">
        <v>564444</v>
      </c>
    </row>
    <row r="211" spans="1:41" x14ac:dyDescent="0.2">
      <c r="A211" s="1">
        <v>2024</v>
      </c>
      <c r="B211" s="2" t="s">
        <v>233</v>
      </c>
      <c r="C211" s="2" t="s">
        <v>233</v>
      </c>
      <c r="D211" s="1" t="s">
        <v>581</v>
      </c>
      <c r="E211" s="3">
        <v>3068151</v>
      </c>
      <c r="F211" s="3">
        <v>431</v>
      </c>
      <c r="G211" s="3">
        <v>0</v>
      </c>
      <c r="H211" s="3">
        <v>11221</v>
      </c>
      <c r="I211" s="1">
        <v>0</v>
      </c>
      <c r="J211" s="3">
        <v>3067720</v>
      </c>
      <c r="K211" s="3">
        <v>3056499</v>
      </c>
      <c r="L211" s="3">
        <v>3056499</v>
      </c>
      <c r="M211" s="3">
        <v>98824</v>
      </c>
      <c r="N211" s="3">
        <v>334178</v>
      </c>
      <c r="O211" s="3">
        <v>41928</v>
      </c>
      <c r="P211" s="3">
        <v>36105</v>
      </c>
      <c r="Q211" s="3">
        <v>180027</v>
      </c>
      <c r="R211" s="3">
        <v>2376658</v>
      </c>
      <c r="S211" s="3">
        <v>2365437</v>
      </c>
      <c r="T211" s="3">
        <v>2365437</v>
      </c>
      <c r="U211" s="3">
        <v>306772</v>
      </c>
      <c r="V211" s="3">
        <v>306772</v>
      </c>
      <c r="W211" s="3">
        <v>306772</v>
      </c>
      <c r="X211" s="3">
        <v>306772</v>
      </c>
      <c r="Y211" s="3">
        <v>304902</v>
      </c>
      <c r="Z211" s="3">
        <v>304902</v>
      </c>
      <c r="AA211" s="4">
        <v>304902</v>
      </c>
      <c r="AB211" s="4">
        <v>304902</v>
      </c>
      <c r="AC211" s="4">
        <v>304902</v>
      </c>
      <c r="AD211" s="4">
        <v>304901</v>
      </c>
      <c r="AE211" s="4">
        <v>306772</v>
      </c>
      <c r="AF211" s="4">
        <v>613544</v>
      </c>
      <c r="AG211" s="4">
        <v>920316</v>
      </c>
      <c r="AH211" s="4">
        <v>1227088</v>
      </c>
      <c r="AI211" s="4">
        <v>1531990</v>
      </c>
      <c r="AJ211" s="4">
        <v>1836892</v>
      </c>
      <c r="AK211" s="4">
        <v>2141794</v>
      </c>
      <c r="AL211" s="4">
        <v>2446696</v>
      </c>
      <c r="AM211" s="4">
        <v>2751598</v>
      </c>
      <c r="AN211" s="4">
        <v>3056499</v>
      </c>
      <c r="AO211" s="150">
        <v>241796</v>
      </c>
    </row>
    <row r="212" spans="1:41" x14ac:dyDescent="0.2">
      <c r="A212" s="1">
        <v>2024</v>
      </c>
      <c r="B212" s="2" t="s">
        <v>234</v>
      </c>
      <c r="C212" s="2" t="s">
        <v>234</v>
      </c>
      <c r="D212" s="1" t="s">
        <v>582</v>
      </c>
      <c r="E212" s="3">
        <v>3487351</v>
      </c>
      <c r="F212" s="3">
        <v>332</v>
      </c>
      <c r="G212" s="3">
        <v>0</v>
      </c>
      <c r="H212" s="3">
        <v>12792</v>
      </c>
      <c r="I212" s="1">
        <v>0</v>
      </c>
      <c r="J212" s="3">
        <v>3487019</v>
      </c>
      <c r="K212" s="3">
        <v>3474227</v>
      </c>
      <c r="L212" s="3">
        <v>3474227</v>
      </c>
      <c r="M212" s="3">
        <v>76018</v>
      </c>
      <c r="N212" s="3">
        <v>359557</v>
      </c>
      <c r="O212" s="3">
        <v>38181</v>
      </c>
      <c r="P212" s="3">
        <v>37886</v>
      </c>
      <c r="Q212" s="3">
        <v>205234</v>
      </c>
      <c r="R212" s="3">
        <v>2770143</v>
      </c>
      <c r="S212" s="3">
        <v>2757351</v>
      </c>
      <c r="T212" s="3">
        <v>2757351</v>
      </c>
      <c r="U212" s="3">
        <v>348702</v>
      </c>
      <c r="V212" s="3">
        <v>348702</v>
      </c>
      <c r="W212" s="3">
        <v>348702</v>
      </c>
      <c r="X212" s="3">
        <v>348702</v>
      </c>
      <c r="Y212" s="3">
        <v>346570</v>
      </c>
      <c r="Z212" s="3">
        <v>346570</v>
      </c>
      <c r="AA212" s="4">
        <v>346570</v>
      </c>
      <c r="AB212" s="4">
        <v>346570</v>
      </c>
      <c r="AC212" s="4">
        <v>346570</v>
      </c>
      <c r="AD212" s="4">
        <v>346569</v>
      </c>
      <c r="AE212" s="4">
        <v>348702</v>
      </c>
      <c r="AF212" s="4">
        <v>697404</v>
      </c>
      <c r="AG212" s="4">
        <v>1046106</v>
      </c>
      <c r="AH212" s="4">
        <v>1394808</v>
      </c>
      <c r="AI212" s="4">
        <v>1741378</v>
      </c>
      <c r="AJ212" s="4">
        <v>2087948</v>
      </c>
      <c r="AK212" s="4">
        <v>2434518</v>
      </c>
      <c r="AL212" s="4">
        <v>2781088</v>
      </c>
      <c r="AM212" s="4">
        <v>3127658</v>
      </c>
      <c r="AN212" s="4">
        <v>3474227</v>
      </c>
      <c r="AO212" s="150">
        <v>264804</v>
      </c>
    </row>
    <row r="213" spans="1:41" x14ac:dyDescent="0.2">
      <c r="A213" s="1">
        <v>2024</v>
      </c>
      <c r="B213" s="2" t="s">
        <v>235</v>
      </c>
      <c r="C213" s="2" t="s">
        <v>235</v>
      </c>
      <c r="D213" s="1" t="s">
        <v>583</v>
      </c>
      <c r="E213" s="3">
        <v>745374</v>
      </c>
      <c r="F213" s="3">
        <v>398</v>
      </c>
      <c r="G213" s="3">
        <v>0</v>
      </c>
      <c r="H213" s="3">
        <v>5430</v>
      </c>
      <c r="I213" s="1">
        <v>0</v>
      </c>
      <c r="J213" s="3">
        <v>744976</v>
      </c>
      <c r="K213" s="3">
        <v>739546</v>
      </c>
      <c r="L213" s="3">
        <v>739546</v>
      </c>
      <c r="M213" s="3">
        <v>91222</v>
      </c>
      <c r="N213" s="3">
        <v>167193</v>
      </c>
      <c r="O213" s="3">
        <v>17031</v>
      </c>
      <c r="P213" s="3">
        <v>18725</v>
      </c>
      <c r="Q213" s="3">
        <v>91525</v>
      </c>
      <c r="R213" s="3">
        <v>359280</v>
      </c>
      <c r="S213" s="3">
        <v>353850</v>
      </c>
      <c r="T213" s="3">
        <v>353850</v>
      </c>
      <c r="U213" s="3">
        <v>74498</v>
      </c>
      <c r="V213" s="3">
        <v>74498</v>
      </c>
      <c r="W213" s="3">
        <v>74498</v>
      </c>
      <c r="X213" s="3">
        <v>74498</v>
      </c>
      <c r="Y213" s="3">
        <v>73592</v>
      </c>
      <c r="Z213" s="3">
        <v>73592</v>
      </c>
      <c r="AA213" s="4">
        <v>73593</v>
      </c>
      <c r="AB213" s="4">
        <v>73593</v>
      </c>
      <c r="AC213" s="4">
        <v>73593</v>
      </c>
      <c r="AD213" s="4">
        <v>73591</v>
      </c>
      <c r="AE213" s="4">
        <v>74498</v>
      </c>
      <c r="AF213" s="4">
        <v>148996</v>
      </c>
      <c r="AG213" s="4">
        <v>223494</v>
      </c>
      <c r="AH213" s="4">
        <v>297992</v>
      </c>
      <c r="AI213" s="4">
        <v>371584</v>
      </c>
      <c r="AJ213" s="4">
        <v>445176</v>
      </c>
      <c r="AK213" s="4">
        <v>518769</v>
      </c>
      <c r="AL213" s="4">
        <v>592362</v>
      </c>
      <c r="AM213" s="4">
        <v>665955</v>
      </c>
      <c r="AN213" s="4">
        <v>739546</v>
      </c>
      <c r="AO213" s="150">
        <v>128423</v>
      </c>
    </row>
    <row r="214" spans="1:41" x14ac:dyDescent="0.2">
      <c r="A214" s="1">
        <v>2024</v>
      </c>
      <c r="B214" s="2" t="s">
        <v>236</v>
      </c>
      <c r="C214" s="2" t="s">
        <v>236</v>
      </c>
      <c r="D214" s="1" t="s">
        <v>584</v>
      </c>
      <c r="E214" s="3">
        <v>15110275</v>
      </c>
      <c r="F214" s="3">
        <v>1741</v>
      </c>
      <c r="G214" s="3">
        <v>0</v>
      </c>
      <c r="H214" s="3">
        <v>48079</v>
      </c>
      <c r="I214" s="1">
        <v>0</v>
      </c>
      <c r="J214" s="3">
        <v>15108534</v>
      </c>
      <c r="K214" s="3">
        <v>15060455</v>
      </c>
      <c r="L214" s="3">
        <v>15060455</v>
      </c>
      <c r="M214" s="3">
        <v>399097</v>
      </c>
      <c r="N214" s="3">
        <v>1286315</v>
      </c>
      <c r="O214" s="3">
        <v>135026</v>
      </c>
      <c r="P214" s="3">
        <v>135193</v>
      </c>
      <c r="Q214" s="3">
        <v>771370</v>
      </c>
      <c r="R214" s="3">
        <v>12381533</v>
      </c>
      <c r="S214" s="3">
        <v>12333454</v>
      </c>
      <c r="T214" s="3">
        <v>12333454</v>
      </c>
      <c r="U214" s="3">
        <v>1510853</v>
      </c>
      <c r="V214" s="3">
        <v>1510853</v>
      </c>
      <c r="W214" s="3">
        <v>1510853</v>
      </c>
      <c r="X214" s="3">
        <v>1510853</v>
      </c>
      <c r="Y214" s="3">
        <v>1502841</v>
      </c>
      <c r="Z214" s="3">
        <v>1502841</v>
      </c>
      <c r="AA214" s="4">
        <v>1502840</v>
      </c>
      <c r="AB214" s="4">
        <v>1502840</v>
      </c>
      <c r="AC214" s="4">
        <v>1502840</v>
      </c>
      <c r="AD214" s="4">
        <v>1502841</v>
      </c>
      <c r="AE214" s="4">
        <v>1510853</v>
      </c>
      <c r="AF214" s="4">
        <v>3021706</v>
      </c>
      <c r="AG214" s="4">
        <v>4532559</v>
      </c>
      <c r="AH214" s="4">
        <v>6043412</v>
      </c>
      <c r="AI214" s="4">
        <v>7546253</v>
      </c>
      <c r="AJ214" s="4">
        <v>9049094</v>
      </c>
      <c r="AK214" s="4">
        <v>10551934</v>
      </c>
      <c r="AL214" s="4">
        <v>12054774</v>
      </c>
      <c r="AM214" s="4">
        <v>13557614</v>
      </c>
      <c r="AN214" s="4">
        <v>15060455</v>
      </c>
      <c r="AO214" s="150">
        <v>1026928</v>
      </c>
    </row>
    <row r="215" spans="1:41" x14ac:dyDescent="0.2">
      <c r="A215" s="1">
        <v>2024</v>
      </c>
      <c r="B215" s="2" t="s">
        <v>237</v>
      </c>
      <c r="C215" s="2" t="s">
        <v>237</v>
      </c>
      <c r="D215" s="1" t="s">
        <v>585</v>
      </c>
      <c r="E215" s="3">
        <v>20542085</v>
      </c>
      <c r="F215" s="3">
        <v>2405</v>
      </c>
      <c r="G215" s="3">
        <v>0</v>
      </c>
      <c r="H215" s="3">
        <v>71152</v>
      </c>
      <c r="I215" s="1">
        <v>0</v>
      </c>
      <c r="J215" s="3">
        <v>20539680</v>
      </c>
      <c r="K215" s="3">
        <v>20468528</v>
      </c>
      <c r="L215" s="3">
        <v>20468528</v>
      </c>
      <c r="M215" s="3">
        <v>551133</v>
      </c>
      <c r="N215" s="3">
        <v>1999129</v>
      </c>
      <c r="O215" s="3">
        <v>219589</v>
      </c>
      <c r="P215" s="3">
        <v>224421</v>
      </c>
      <c r="Q215" s="3">
        <v>1141559</v>
      </c>
      <c r="R215" s="3">
        <v>16403849</v>
      </c>
      <c r="S215" s="3">
        <v>16332697</v>
      </c>
      <c r="T215" s="3">
        <v>16332697</v>
      </c>
      <c r="U215" s="3">
        <v>2053968</v>
      </c>
      <c r="V215" s="3">
        <v>2053968</v>
      </c>
      <c r="W215" s="3">
        <v>2053968</v>
      </c>
      <c r="X215" s="3">
        <v>2053968</v>
      </c>
      <c r="Y215" s="3">
        <v>2042109</v>
      </c>
      <c r="Z215" s="3">
        <v>2042109</v>
      </c>
      <c r="AA215" s="4">
        <v>2042110</v>
      </c>
      <c r="AB215" s="4">
        <v>2042110</v>
      </c>
      <c r="AC215" s="4">
        <v>2042110</v>
      </c>
      <c r="AD215" s="4">
        <v>2042108</v>
      </c>
      <c r="AE215" s="4">
        <v>2053968</v>
      </c>
      <c r="AF215" s="4">
        <v>4107936</v>
      </c>
      <c r="AG215" s="4">
        <v>6161904</v>
      </c>
      <c r="AH215" s="4">
        <v>8215872</v>
      </c>
      <c r="AI215" s="4">
        <v>10257981</v>
      </c>
      <c r="AJ215" s="4">
        <v>12300090</v>
      </c>
      <c r="AK215" s="4">
        <v>14342200</v>
      </c>
      <c r="AL215" s="4">
        <v>16384310</v>
      </c>
      <c r="AM215" s="4">
        <v>18426420</v>
      </c>
      <c r="AN215" s="4">
        <v>20468528</v>
      </c>
      <c r="AO215" s="150">
        <v>1492585</v>
      </c>
    </row>
    <row r="216" spans="1:41" x14ac:dyDescent="0.2">
      <c r="A216" s="1">
        <v>2024</v>
      </c>
      <c r="B216" s="2" t="s">
        <v>238</v>
      </c>
      <c r="C216" s="2" t="s">
        <v>238</v>
      </c>
      <c r="D216" s="1" t="s">
        <v>586</v>
      </c>
      <c r="E216" s="3">
        <v>2715041</v>
      </c>
      <c r="F216" s="3">
        <v>564</v>
      </c>
      <c r="G216" s="3">
        <v>0</v>
      </c>
      <c r="H216" s="3">
        <v>10405</v>
      </c>
      <c r="I216" s="1">
        <v>0</v>
      </c>
      <c r="J216" s="3">
        <v>2714477</v>
      </c>
      <c r="K216" s="3">
        <v>2704072</v>
      </c>
      <c r="L216" s="3">
        <v>2704072</v>
      </c>
      <c r="M216" s="3">
        <v>129231</v>
      </c>
      <c r="N216" s="3">
        <v>324878</v>
      </c>
      <c r="O216" s="3">
        <v>33604</v>
      </c>
      <c r="P216" s="3">
        <v>34953</v>
      </c>
      <c r="Q216" s="3">
        <v>166944</v>
      </c>
      <c r="R216" s="3">
        <v>2024867</v>
      </c>
      <c r="S216" s="3">
        <v>2014462</v>
      </c>
      <c r="T216" s="3">
        <v>2014462</v>
      </c>
      <c r="U216" s="3">
        <v>271448</v>
      </c>
      <c r="V216" s="3">
        <v>271448</v>
      </c>
      <c r="W216" s="3">
        <v>271448</v>
      </c>
      <c r="X216" s="3">
        <v>271448</v>
      </c>
      <c r="Y216" s="3">
        <v>269713</v>
      </c>
      <c r="Z216" s="3">
        <v>269713</v>
      </c>
      <c r="AA216" s="4">
        <v>269714</v>
      </c>
      <c r="AB216" s="4">
        <v>269714</v>
      </c>
      <c r="AC216" s="4">
        <v>269714</v>
      </c>
      <c r="AD216" s="4">
        <v>269712</v>
      </c>
      <c r="AE216" s="4">
        <v>271448</v>
      </c>
      <c r="AF216" s="4">
        <v>542896</v>
      </c>
      <c r="AG216" s="4">
        <v>814344</v>
      </c>
      <c r="AH216" s="4">
        <v>1085792</v>
      </c>
      <c r="AI216" s="4">
        <v>1355505</v>
      </c>
      <c r="AJ216" s="4">
        <v>1625218</v>
      </c>
      <c r="AK216" s="4">
        <v>1894932</v>
      </c>
      <c r="AL216" s="4">
        <v>2164646</v>
      </c>
      <c r="AM216" s="4">
        <v>2434360</v>
      </c>
      <c r="AN216" s="4">
        <v>2704072</v>
      </c>
      <c r="AO216" s="150">
        <v>225397</v>
      </c>
    </row>
    <row r="217" spans="1:41" x14ac:dyDescent="0.2">
      <c r="A217" s="1">
        <v>2024</v>
      </c>
      <c r="B217" s="2" t="s">
        <v>240</v>
      </c>
      <c r="C217" s="2" t="s">
        <v>240</v>
      </c>
      <c r="D217" s="1" t="s">
        <v>587</v>
      </c>
      <c r="E217" s="3">
        <v>3370657</v>
      </c>
      <c r="F217" s="3">
        <v>680</v>
      </c>
      <c r="G217" s="3">
        <v>0</v>
      </c>
      <c r="H217" s="3">
        <v>11738</v>
      </c>
      <c r="I217" s="1">
        <v>0</v>
      </c>
      <c r="J217" s="3">
        <v>3369977</v>
      </c>
      <c r="K217" s="3">
        <v>3358239</v>
      </c>
      <c r="L217" s="3">
        <v>3358239</v>
      </c>
      <c r="M217" s="3">
        <v>155838</v>
      </c>
      <c r="N217" s="3">
        <v>331915</v>
      </c>
      <c r="O217" s="3">
        <v>33711</v>
      </c>
      <c r="P217" s="3">
        <v>37978</v>
      </c>
      <c r="Q217" s="3">
        <v>188319</v>
      </c>
      <c r="R217" s="3">
        <v>2622216</v>
      </c>
      <c r="S217" s="3">
        <v>2610478</v>
      </c>
      <c r="T217" s="3">
        <v>2610478</v>
      </c>
      <c r="U217" s="3">
        <v>336998</v>
      </c>
      <c r="V217" s="3">
        <v>336998</v>
      </c>
      <c r="W217" s="3">
        <v>336998</v>
      </c>
      <c r="X217" s="3">
        <v>336998</v>
      </c>
      <c r="Y217" s="3">
        <v>335041</v>
      </c>
      <c r="Z217" s="3">
        <v>335041</v>
      </c>
      <c r="AA217" s="4">
        <v>335041</v>
      </c>
      <c r="AB217" s="4">
        <v>335041</v>
      </c>
      <c r="AC217" s="4">
        <v>335041</v>
      </c>
      <c r="AD217" s="4">
        <v>335042</v>
      </c>
      <c r="AE217" s="4">
        <v>336998</v>
      </c>
      <c r="AF217" s="4">
        <v>673996</v>
      </c>
      <c r="AG217" s="4">
        <v>1010994</v>
      </c>
      <c r="AH217" s="4">
        <v>1347992</v>
      </c>
      <c r="AI217" s="4">
        <v>1683033</v>
      </c>
      <c r="AJ217" s="4">
        <v>2018074</v>
      </c>
      <c r="AK217" s="4">
        <v>2353115</v>
      </c>
      <c r="AL217" s="4">
        <v>2688156</v>
      </c>
      <c r="AM217" s="4">
        <v>3023197</v>
      </c>
      <c r="AN217" s="4">
        <v>3358239</v>
      </c>
      <c r="AO217" s="150">
        <v>258407</v>
      </c>
    </row>
    <row r="218" spans="1:41" x14ac:dyDescent="0.2">
      <c r="A218" s="1">
        <v>2024</v>
      </c>
      <c r="B218" s="2" t="s">
        <v>241</v>
      </c>
      <c r="C218" s="2" t="s">
        <v>241</v>
      </c>
      <c r="D218" s="1" t="s">
        <v>588</v>
      </c>
      <c r="E218" s="3">
        <v>26985290</v>
      </c>
      <c r="F218" s="3">
        <v>1924</v>
      </c>
      <c r="G218" s="3">
        <v>40069</v>
      </c>
      <c r="H218" s="3">
        <v>78679</v>
      </c>
      <c r="I218" s="3">
        <v>0</v>
      </c>
      <c r="J218" s="3">
        <v>26943297</v>
      </c>
      <c r="K218" s="3">
        <v>26864618</v>
      </c>
      <c r="L218" s="3">
        <v>26864618</v>
      </c>
      <c r="M218" s="3">
        <v>440906</v>
      </c>
      <c r="N218" s="3">
        <v>2261726</v>
      </c>
      <c r="O218" s="3">
        <v>241073</v>
      </c>
      <c r="P218" s="3">
        <v>239052</v>
      </c>
      <c r="Q218" s="3">
        <v>1262326</v>
      </c>
      <c r="R218" s="3">
        <v>22498214</v>
      </c>
      <c r="S218" s="3">
        <v>22419535</v>
      </c>
      <c r="T218" s="3">
        <v>22419535</v>
      </c>
      <c r="U218" s="3">
        <v>2694330</v>
      </c>
      <c r="V218" s="3">
        <v>2694330</v>
      </c>
      <c r="W218" s="3">
        <v>2694330</v>
      </c>
      <c r="X218" s="3">
        <v>2694330</v>
      </c>
      <c r="Y218" s="3">
        <v>2681216</v>
      </c>
      <c r="Z218" s="3">
        <v>2681216</v>
      </c>
      <c r="AA218" s="4">
        <v>2681217</v>
      </c>
      <c r="AB218" s="4">
        <v>2681217</v>
      </c>
      <c r="AC218" s="4">
        <v>2681217</v>
      </c>
      <c r="AD218" s="4">
        <v>2681215</v>
      </c>
      <c r="AE218" s="4">
        <v>2694330</v>
      </c>
      <c r="AF218" s="4">
        <v>5388660</v>
      </c>
      <c r="AG218" s="4">
        <v>8082990</v>
      </c>
      <c r="AH218" s="4">
        <v>10777320</v>
      </c>
      <c r="AI218" s="4">
        <v>13458536</v>
      </c>
      <c r="AJ218" s="4">
        <v>16139752</v>
      </c>
      <c r="AK218" s="4">
        <v>18820969</v>
      </c>
      <c r="AL218" s="4">
        <v>21502186</v>
      </c>
      <c r="AM218" s="4">
        <v>24183403</v>
      </c>
      <c r="AN218" s="4">
        <v>26864618</v>
      </c>
      <c r="AO218" s="150">
        <v>1699926</v>
      </c>
    </row>
    <row r="219" spans="1:41" x14ac:dyDescent="0.2">
      <c r="A219" s="1">
        <v>2024</v>
      </c>
      <c r="B219" s="2" t="s">
        <v>242</v>
      </c>
      <c r="C219" s="2" t="s">
        <v>697</v>
      </c>
      <c r="D219" s="1" t="s">
        <v>589</v>
      </c>
      <c r="E219" s="3">
        <v>4455556</v>
      </c>
      <c r="F219" s="3">
        <v>663</v>
      </c>
      <c r="G219" s="3">
        <v>0</v>
      </c>
      <c r="H219" s="3">
        <v>16451</v>
      </c>
      <c r="I219" s="1">
        <v>0</v>
      </c>
      <c r="J219" s="3">
        <v>4454893</v>
      </c>
      <c r="K219" s="3">
        <v>4438442</v>
      </c>
      <c r="L219" s="3">
        <v>4438442</v>
      </c>
      <c r="M219" s="3">
        <v>152037</v>
      </c>
      <c r="N219" s="3">
        <v>470407</v>
      </c>
      <c r="O219" s="3">
        <v>49024</v>
      </c>
      <c r="P219" s="3">
        <v>51208</v>
      </c>
      <c r="Q219" s="3">
        <v>263941</v>
      </c>
      <c r="R219" s="3">
        <v>3468276</v>
      </c>
      <c r="S219" s="3">
        <v>3451825</v>
      </c>
      <c r="T219" s="3">
        <v>3451825</v>
      </c>
      <c r="U219" s="3">
        <v>445489</v>
      </c>
      <c r="V219" s="3">
        <v>445489</v>
      </c>
      <c r="W219" s="3">
        <v>445489</v>
      </c>
      <c r="X219" s="3">
        <v>445489</v>
      </c>
      <c r="Y219" s="3">
        <v>442748</v>
      </c>
      <c r="Z219" s="3">
        <v>442748</v>
      </c>
      <c r="AA219" s="4">
        <v>442748</v>
      </c>
      <c r="AB219" s="4">
        <v>442748</v>
      </c>
      <c r="AC219" s="4">
        <v>442748</v>
      </c>
      <c r="AD219" s="4">
        <v>442746</v>
      </c>
      <c r="AE219" s="4">
        <v>445489</v>
      </c>
      <c r="AF219" s="4">
        <v>890978</v>
      </c>
      <c r="AG219" s="4">
        <v>1336467</v>
      </c>
      <c r="AH219" s="4">
        <v>1781956</v>
      </c>
      <c r="AI219" s="4">
        <v>2224704</v>
      </c>
      <c r="AJ219" s="4">
        <v>2667452</v>
      </c>
      <c r="AK219" s="4">
        <v>3110200</v>
      </c>
      <c r="AL219" s="4">
        <v>3552948</v>
      </c>
      <c r="AM219" s="4">
        <v>3995696</v>
      </c>
      <c r="AN219" s="4">
        <v>4438442</v>
      </c>
      <c r="AO219" s="150">
        <v>351717</v>
      </c>
    </row>
    <row r="220" spans="1:41" x14ac:dyDescent="0.2">
      <c r="A220" s="1">
        <v>2024</v>
      </c>
      <c r="B220" s="2" t="s">
        <v>243</v>
      </c>
      <c r="C220" s="2" t="s">
        <v>243</v>
      </c>
      <c r="D220" s="1" t="s">
        <v>800</v>
      </c>
      <c r="E220" s="3">
        <v>5454267</v>
      </c>
      <c r="F220" s="3">
        <v>779</v>
      </c>
      <c r="G220" s="3">
        <v>0</v>
      </c>
      <c r="H220" s="3">
        <v>21252</v>
      </c>
      <c r="I220" s="1">
        <v>0</v>
      </c>
      <c r="J220" s="3">
        <v>5453488</v>
      </c>
      <c r="K220" s="3">
        <v>5432236</v>
      </c>
      <c r="L220" s="3">
        <v>5432236</v>
      </c>
      <c r="M220" s="3">
        <v>178644</v>
      </c>
      <c r="N220" s="3">
        <v>643005</v>
      </c>
      <c r="O220" s="3">
        <v>69825</v>
      </c>
      <c r="P220" s="3">
        <v>74321</v>
      </c>
      <c r="Q220" s="3">
        <v>340964</v>
      </c>
      <c r="R220" s="3">
        <v>4146729</v>
      </c>
      <c r="S220" s="3">
        <v>4125477</v>
      </c>
      <c r="T220" s="3">
        <v>4125477</v>
      </c>
      <c r="U220" s="3">
        <v>545349</v>
      </c>
      <c r="V220" s="3">
        <v>545349</v>
      </c>
      <c r="W220" s="3">
        <v>545349</v>
      </c>
      <c r="X220" s="3">
        <v>545349</v>
      </c>
      <c r="Y220" s="3">
        <v>541807</v>
      </c>
      <c r="Z220" s="3">
        <v>541807</v>
      </c>
      <c r="AA220" s="4">
        <v>541807</v>
      </c>
      <c r="AB220" s="4">
        <v>541807</v>
      </c>
      <c r="AC220" s="4">
        <v>541807</v>
      </c>
      <c r="AD220" s="4">
        <v>541805</v>
      </c>
      <c r="AE220" s="4">
        <v>545349</v>
      </c>
      <c r="AF220" s="4">
        <v>1090698</v>
      </c>
      <c r="AG220" s="4">
        <v>1636047</v>
      </c>
      <c r="AH220" s="4">
        <v>2181396</v>
      </c>
      <c r="AI220" s="4">
        <v>2723203</v>
      </c>
      <c r="AJ220" s="4">
        <v>3265010</v>
      </c>
      <c r="AK220" s="4">
        <v>3806817</v>
      </c>
      <c r="AL220" s="4">
        <v>4348624</v>
      </c>
      <c r="AM220" s="4">
        <v>4890431</v>
      </c>
      <c r="AN220" s="4">
        <v>5432236</v>
      </c>
      <c r="AO220" s="150">
        <v>446609</v>
      </c>
    </row>
    <row r="221" spans="1:41" x14ac:dyDescent="0.2">
      <c r="A221" s="1">
        <v>2024</v>
      </c>
      <c r="B221" s="2" t="s">
        <v>244</v>
      </c>
      <c r="C221" s="2" t="s">
        <v>244</v>
      </c>
      <c r="D221" s="1" t="s">
        <v>590</v>
      </c>
      <c r="E221" s="3">
        <v>11027516</v>
      </c>
      <c r="F221" s="3">
        <v>614</v>
      </c>
      <c r="G221" s="3">
        <v>0</v>
      </c>
      <c r="H221" s="3">
        <v>30458</v>
      </c>
      <c r="I221" s="1">
        <v>0</v>
      </c>
      <c r="J221" s="3">
        <v>11026902</v>
      </c>
      <c r="K221" s="3">
        <v>10996444</v>
      </c>
      <c r="L221" s="3">
        <v>10996444</v>
      </c>
      <c r="M221" s="3">
        <v>140634</v>
      </c>
      <c r="N221" s="3">
        <v>879297</v>
      </c>
      <c r="O221" s="3">
        <v>103256</v>
      </c>
      <c r="P221" s="3">
        <v>100829</v>
      </c>
      <c r="Q221" s="3">
        <v>488671</v>
      </c>
      <c r="R221" s="3">
        <v>9314215</v>
      </c>
      <c r="S221" s="3">
        <v>9283757</v>
      </c>
      <c r="T221" s="3">
        <v>9283757</v>
      </c>
      <c r="U221" s="3">
        <v>1102690</v>
      </c>
      <c r="V221" s="3">
        <v>1102690</v>
      </c>
      <c r="W221" s="3">
        <v>1102690</v>
      </c>
      <c r="X221" s="3">
        <v>1102690</v>
      </c>
      <c r="Y221" s="3">
        <v>1097614</v>
      </c>
      <c r="Z221" s="3">
        <v>1097614</v>
      </c>
      <c r="AA221" s="4">
        <v>1097614</v>
      </c>
      <c r="AB221" s="4">
        <v>1097614</v>
      </c>
      <c r="AC221" s="4">
        <v>1097614</v>
      </c>
      <c r="AD221" s="4">
        <v>1097614</v>
      </c>
      <c r="AE221" s="4">
        <v>1102690</v>
      </c>
      <c r="AF221" s="4">
        <v>2205380</v>
      </c>
      <c r="AG221" s="4">
        <v>3308070</v>
      </c>
      <c r="AH221" s="4">
        <v>4410760</v>
      </c>
      <c r="AI221" s="4">
        <v>5508374</v>
      </c>
      <c r="AJ221" s="4">
        <v>6605988</v>
      </c>
      <c r="AK221" s="4">
        <v>7703602</v>
      </c>
      <c r="AL221" s="4">
        <v>8801216</v>
      </c>
      <c r="AM221" s="4">
        <v>9898830</v>
      </c>
      <c r="AN221" s="4">
        <v>10996444</v>
      </c>
      <c r="AO221" s="150">
        <v>689933</v>
      </c>
    </row>
    <row r="222" spans="1:41" x14ac:dyDescent="0.2">
      <c r="A222" s="1">
        <v>2024</v>
      </c>
      <c r="B222" s="2" t="s">
        <v>245</v>
      </c>
      <c r="C222" s="2" t="s">
        <v>245</v>
      </c>
      <c r="D222" s="1" t="s">
        <v>591</v>
      </c>
      <c r="E222" s="3">
        <v>3336932</v>
      </c>
      <c r="F222" s="3">
        <v>713</v>
      </c>
      <c r="G222" s="3">
        <v>0</v>
      </c>
      <c r="H222" s="3">
        <v>13548</v>
      </c>
      <c r="I222" s="1">
        <v>0</v>
      </c>
      <c r="J222" s="3">
        <v>3336219</v>
      </c>
      <c r="K222" s="3">
        <v>3322671</v>
      </c>
      <c r="L222" s="3">
        <v>3322671</v>
      </c>
      <c r="M222" s="3">
        <v>163440</v>
      </c>
      <c r="N222" s="3">
        <v>399766</v>
      </c>
      <c r="O222" s="3">
        <v>43492</v>
      </c>
      <c r="P222" s="3">
        <v>43651</v>
      </c>
      <c r="Q222" s="3">
        <v>217359</v>
      </c>
      <c r="R222" s="3">
        <v>2468511</v>
      </c>
      <c r="S222" s="3">
        <v>2454963</v>
      </c>
      <c r="T222" s="3">
        <v>2454963</v>
      </c>
      <c r="U222" s="3">
        <v>333622</v>
      </c>
      <c r="V222" s="3">
        <v>333622</v>
      </c>
      <c r="W222" s="3">
        <v>333622</v>
      </c>
      <c r="X222" s="3">
        <v>333622</v>
      </c>
      <c r="Y222" s="3">
        <v>331364</v>
      </c>
      <c r="Z222" s="3">
        <v>331364</v>
      </c>
      <c r="AA222" s="4">
        <v>331364</v>
      </c>
      <c r="AB222" s="4">
        <v>331364</v>
      </c>
      <c r="AC222" s="4">
        <v>331364</v>
      </c>
      <c r="AD222" s="4">
        <v>331363</v>
      </c>
      <c r="AE222" s="4">
        <v>333622</v>
      </c>
      <c r="AF222" s="4">
        <v>667244</v>
      </c>
      <c r="AG222" s="4">
        <v>1000866</v>
      </c>
      <c r="AH222" s="4">
        <v>1334488</v>
      </c>
      <c r="AI222" s="4">
        <v>1665852</v>
      </c>
      <c r="AJ222" s="4">
        <v>1997216</v>
      </c>
      <c r="AK222" s="4">
        <v>2328580</v>
      </c>
      <c r="AL222" s="4">
        <v>2659944</v>
      </c>
      <c r="AM222" s="4">
        <v>2991308</v>
      </c>
      <c r="AN222" s="4">
        <v>3322671</v>
      </c>
      <c r="AO222" s="150">
        <v>265085</v>
      </c>
    </row>
    <row r="223" spans="1:41" x14ac:dyDescent="0.2">
      <c r="A223" s="1">
        <v>2024</v>
      </c>
      <c r="B223" s="2" t="s">
        <v>246</v>
      </c>
      <c r="C223" s="2" t="s">
        <v>246</v>
      </c>
      <c r="D223" s="1" t="s">
        <v>592</v>
      </c>
      <c r="E223" s="3">
        <v>823055</v>
      </c>
      <c r="F223" s="3">
        <v>1128</v>
      </c>
      <c r="G223" s="3">
        <v>0</v>
      </c>
      <c r="H223" s="3">
        <v>24481</v>
      </c>
      <c r="I223" s="1">
        <v>0</v>
      </c>
      <c r="J223" s="3">
        <v>821927</v>
      </c>
      <c r="K223" s="3">
        <v>797446</v>
      </c>
      <c r="L223" s="3">
        <v>797446</v>
      </c>
      <c r="M223" s="3">
        <v>258462</v>
      </c>
      <c r="N223" s="3">
        <v>709460</v>
      </c>
      <c r="O223" s="3">
        <v>79519</v>
      </c>
      <c r="P223" s="3">
        <v>80734</v>
      </c>
      <c r="Q223" s="3">
        <v>392779</v>
      </c>
      <c r="R223" s="3">
        <v>-699027</v>
      </c>
      <c r="S223" s="3">
        <v>-723508</v>
      </c>
      <c r="T223" s="3">
        <v>-723508</v>
      </c>
      <c r="U223" s="3">
        <v>82193</v>
      </c>
      <c r="V223" s="3">
        <v>82193</v>
      </c>
      <c r="W223" s="3">
        <v>82193</v>
      </c>
      <c r="X223" s="3">
        <v>82193</v>
      </c>
      <c r="Y223" s="3">
        <v>78112</v>
      </c>
      <c r="Z223" s="3">
        <v>78112</v>
      </c>
      <c r="AA223" s="4">
        <v>78113</v>
      </c>
      <c r="AB223" s="4">
        <v>78113</v>
      </c>
      <c r="AC223" s="4">
        <v>78113</v>
      </c>
      <c r="AD223" s="4">
        <v>78111</v>
      </c>
      <c r="AE223" s="4">
        <v>82193</v>
      </c>
      <c r="AF223" s="4">
        <v>164386</v>
      </c>
      <c r="AG223" s="4">
        <v>246579</v>
      </c>
      <c r="AH223" s="4">
        <v>328772</v>
      </c>
      <c r="AI223" s="4">
        <v>406884</v>
      </c>
      <c r="AJ223" s="4">
        <v>484996</v>
      </c>
      <c r="AK223" s="4">
        <v>563109</v>
      </c>
      <c r="AL223" s="4">
        <v>641222</v>
      </c>
      <c r="AM223" s="4">
        <v>719335</v>
      </c>
      <c r="AN223" s="4">
        <v>797446</v>
      </c>
      <c r="AO223" s="150">
        <v>540875</v>
      </c>
    </row>
    <row r="224" spans="1:41" x14ac:dyDescent="0.2">
      <c r="A224" s="1">
        <v>2024</v>
      </c>
      <c r="B224" s="2" t="s">
        <v>247</v>
      </c>
      <c r="C224" s="2" t="s">
        <v>247</v>
      </c>
      <c r="D224" s="1" t="s">
        <v>593</v>
      </c>
      <c r="E224" s="3">
        <v>1471490</v>
      </c>
      <c r="F224" s="3">
        <v>166</v>
      </c>
      <c r="G224" s="3">
        <v>0</v>
      </c>
      <c r="H224" s="3">
        <v>4950</v>
      </c>
      <c r="I224" s="1">
        <v>0</v>
      </c>
      <c r="J224" s="3">
        <v>1471324</v>
      </c>
      <c r="K224" s="3">
        <v>1466374</v>
      </c>
      <c r="L224" s="3">
        <v>1466374</v>
      </c>
      <c r="M224" s="3">
        <v>38009</v>
      </c>
      <c r="N224" s="3">
        <v>170185</v>
      </c>
      <c r="O224" s="3">
        <v>17438</v>
      </c>
      <c r="P224" s="3">
        <v>17680</v>
      </c>
      <c r="Q224" s="3">
        <v>79418</v>
      </c>
      <c r="R224" s="3">
        <v>1148594</v>
      </c>
      <c r="S224" s="3">
        <v>1143644</v>
      </c>
      <c r="T224" s="3">
        <v>1143644</v>
      </c>
      <c r="U224" s="3">
        <v>147132</v>
      </c>
      <c r="V224" s="3">
        <v>147132</v>
      </c>
      <c r="W224" s="3">
        <v>147132</v>
      </c>
      <c r="X224" s="3">
        <v>147132</v>
      </c>
      <c r="Y224" s="3">
        <v>146308</v>
      </c>
      <c r="Z224" s="3">
        <v>146308</v>
      </c>
      <c r="AA224" s="4">
        <v>146308</v>
      </c>
      <c r="AB224" s="4">
        <v>146308</v>
      </c>
      <c r="AC224" s="4">
        <v>146308</v>
      </c>
      <c r="AD224" s="4">
        <v>146306</v>
      </c>
      <c r="AE224" s="4">
        <v>147132</v>
      </c>
      <c r="AF224" s="4">
        <v>294264</v>
      </c>
      <c r="AG224" s="4">
        <v>441396</v>
      </c>
      <c r="AH224" s="4">
        <v>588528</v>
      </c>
      <c r="AI224" s="4">
        <v>734836</v>
      </c>
      <c r="AJ224" s="4">
        <v>881144</v>
      </c>
      <c r="AK224" s="4">
        <v>1027452</v>
      </c>
      <c r="AL224" s="4">
        <v>1173760</v>
      </c>
      <c r="AM224" s="4">
        <v>1320068</v>
      </c>
      <c r="AN224" s="4">
        <v>1466374</v>
      </c>
      <c r="AO224" s="150">
        <v>97441</v>
      </c>
    </row>
    <row r="225" spans="1:41" x14ac:dyDescent="0.2">
      <c r="A225" s="1">
        <v>2024</v>
      </c>
      <c r="B225" s="2" t="s">
        <v>248</v>
      </c>
      <c r="C225" s="2" t="s">
        <v>248</v>
      </c>
      <c r="D225" s="1" t="s">
        <v>594</v>
      </c>
      <c r="E225" s="3">
        <v>808860</v>
      </c>
      <c r="F225" s="1">
        <v>66</v>
      </c>
      <c r="G225" s="1">
        <v>0</v>
      </c>
      <c r="H225" s="3">
        <v>4091</v>
      </c>
      <c r="I225" s="1">
        <v>0</v>
      </c>
      <c r="J225" s="3">
        <v>808794</v>
      </c>
      <c r="K225" s="3">
        <v>804703</v>
      </c>
      <c r="L225" s="3">
        <v>804703</v>
      </c>
      <c r="M225" s="3">
        <v>15204</v>
      </c>
      <c r="N225" s="3">
        <v>142939</v>
      </c>
      <c r="O225" s="3">
        <v>11502</v>
      </c>
      <c r="P225" s="3">
        <v>15926</v>
      </c>
      <c r="Q225" s="3">
        <v>65635</v>
      </c>
      <c r="R225" s="3">
        <v>557588</v>
      </c>
      <c r="S225" s="3">
        <v>553497</v>
      </c>
      <c r="T225" s="3">
        <v>553497</v>
      </c>
      <c r="U225" s="3">
        <v>80879</v>
      </c>
      <c r="V225" s="3">
        <v>80879</v>
      </c>
      <c r="W225" s="3">
        <v>80879</v>
      </c>
      <c r="X225" s="3">
        <v>80879</v>
      </c>
      <c r="Y225" s="3">
        <v>80198</v>
      </c>
      <c r="Z225" s="3">
        <v>80198</v>
      </c>
      <c r="AA225" s="4">
        <v>80198</v>
      </c>
      <c r="AB225" s="4">
        <v>80198</v>
      </c>
      <c r="AC225" s="4">
        <v>80198</v>
      </c>
      <c r="AD225" s="4">
        <v>80197</v>
      </c>
      <c r="AE225" s="4">
        <v>80879</v>
      </c>
      <c r="AF225" s="4">
        <v>161758</v>
      </c>
      <c r="AG225" s="4">
        <v>242637</v>
      </c>
      <c r="AH225" s="4">
        <v>323516</v>
      </c>
      <c r="AI225" s="4">
        <v>403714</v>
      </c>
      <c r="AJ225" s="4">
        <v>483912</v>
      </c>
      <c r="AK225" s="4">
        <v>564110</v>
      </c>
      <c r="AL225" s="4">
        <v>644308</v>
      </c>
      <c r="AM225" s="4">
        <v>724506</v>
      </c>
      <c r="AN225" s="4">
        <v>804703</v>
      </c>
      <c r="AO225" s="150">
        <v>86260</v>
      </c>
    </row>
    <row r="226" spans="1:41" x14ac:dyDescent="0.2">
      <c r="A226" s="1">
        <v>2024</v>
      </c>
      <c r="B226" s="2" t="s">
        <v>249</v>
      </c>
      <c r="C226" s="2" t="s">
        <v>249</v>
      </c>
      <c r="D226" s="1" t="s">
        <v>595</v>
      </c>
      <c r="E226" s="3">
        <v>5920400</v>
      </c>
      <c r="F226" s="3">
        <v>1045</v>
      </c>
      <c r="G226" s="3">
        <v>0</v>
      </c>
      <c r="H226" s="3">
        <v>20505</v>
      </c>
      <c r="I226" s="3">
        <v>0</v>
      </c>
      <c r="J226" s="3">
        <v>5919355</v>
      </c>
      <c r="K226" s="3">
        <v>5898850</v>
      </c>
      <c r="L226" s="3">
        <v>5898850</v>
      </c>
      <c r="M226" s="3">
        <v>239458</v>
      </c>
      <c r="N226" s="3">
        <v>584763</v>
      </c>
      <c r="O226" s="3">
        <v>63480</v>
      </c>
      <c r="P226" s="3">
        <v>66444</v>
      </c>
      <c r="Q226" s="3">
        <v>328987</v>
      </c>
      <c r="R226" s="3">
        <v>4636223</v>
      </c>
      <c r="S226" s="3">
        <v>4615718</v>
      </c>
      <c r="T226" s="3">
        <v>4615718</v>
      </c>
      <c r="U226" s="3">
        <v>591936</v>
      </c>
      <c r="V226" s="3">
        <v>591936</v>
      </c>
      <c r="W226" s="3">
        <v>591936</v>
      </c>
      <c r="X226" s="3">
        <v>591936</v>
      </c>
      <c r="Y226" s="3">
        <v>588518</v>
      </c>
      <c r="Z226" s="3">
        <v>588518</v>
      </c>
      <c r="AA226" s="4">
        <v>588518</v>
      </c>
      <c r="AB226" s="4">
        <v>588518</v>
      </c>
      <c r="AC226" s="4">
        <v>588518</v>
      </c>
      <c r="AD226" s="4">
        <v>588516</v>
      </c>
      <c r="AE226" s="4">
        <v>591936</v>
      </c>
      <c r="AF226" s="4">
        <v>1183872</v>
      </c>
      <c r="AG226" s="4">
        <v>1775808</v>
      </c>
      <c r="AH226" s="4">
        <v>2367744</v>
      </c>
      <c r="AI226" s="4">
        <v>2956262</v>
      </c>
      <c r="AJ226" s="4">
        <v>3544780</v>
      </c>
      <c r="AK226" s="4">
        <v>4133298</v>
      </c>
      <c r="AL226" s="4">
        <v>4721816</v>
      </c>
      <c r="AM226" s="4">
        <v>5310334</v>
      </c>
      <c r="AN226" s="4">
        <v>5898850</v>
      </c>
      <c r="AO226" s="150">
        <v>430630</v>
      </c>
    </row>
    <row r="227" spans="1:41" x14ac:dyDescent="0.2">
      <c r="A227" s="1">
        <v>2024</v>
      </c>
      <c r="B227" s="2" t="s">
        <v>250</v>
      </c>
      <c r="C227" s="2" t="s">
        <v>250</v>
      </c>
      <c r="D227" s="1" t="s">
        <v>596</v>
      </c>
      <c r="E227" s="3">
        <v>17009223</v>
      </c>
      <c r="F227" s="3">
        <v>1974</v>
      </c>
      <c r="G227" s="3">
        <v>0</v>
      </c>
      <c r="H227" s="3">
        <v>51788</v>
      </c>
      <c r="I227" s="1">
        <v>0</v>
      </c>
      <c r="J227" s="3">
        <v>17007249</v>
      </c>
      <c r="K227" s="3">
        <v>16955461</v>
      </c>
      <c r="L227" s="3">
        <v>16955461</v>
      </c>
      <c r="M227" s="3">
        <v>452309</v>
      </c>
      <c r="N227" s="3">
        <v>1447025</v>
      </c>
      <c r="O227" s="3">
        <v>187831</v>
      </c>
      <c r="P227" s="3">
        <v>169208</v>
      </c>
      <c r="Q227" s="3">
        <v>830888</v>
      </c>
      <c r="R227" s="3">
        <v>13919988</v>
      </c>
      <c r="S227" s="3">
        <v>13868200</v>
      </c>
      <c r="T227" s="3">
        <v>13868200</v>
      </c>
      <c r="U227" s="3">
        <v>1700725</v>
      </c>
      <c r="V227" s="3">
        <v>1700725</v>
      </c>
      <c r="W227" s="3">
        <v>1700725</v>
      </c>
      <c r="X227" s="3">
        <v>1700725</v>
      </c>
      <c r="Y227" s="3">
        <v>1692094</v>
      </c>
      <c r="Z227" s="3">
        <v>1692094</v>
      </c>
      <c r="AA227" s="4">
        <v>1692093</v>
      </c>
      <c r="AB227" s="4">
        <v>1692093</v>
      </c>
      <c r="AC227" s="4">
        <v>1692093</v>
      </c>
      <c r="AD227" s="4">
        <v>1692094</v>
      </c>
      <c r="AE227" s="4">
        <v>1700725</v>
      </c>
      <c r="AF227" s="4">
        <v>3401450</v>
      </c>
      <c r="AG227" s="4">
        <v>5102175</v>
      </c>
      <c r="AH227" s="4">
        <v>6802900</v>
      </c>
      <c r="AI227" s="4">
        <v>8494994</v>
      </c>
      <c r="AJ227" s="4">
        <v>10187088</v>
      </c>
      <c r="AK227" s="4">
        <v>11879181</v>
      </c>
      <c r="AL227" s="4">
        <v>13571274</v>
      </c>
      <c r="AM227" s="4">
        <v>15263367</v>
      </c>
      <c r="AN227" s="4">
        <v>16955461</v>
      </c>
      <c r="AO227" s="150">
        <v>1100547</v>
      </c>
    </row>
    <row r="228" spans="1:41" x14ac:dyDescent="0.2">
      <c r="A228" s="1">
        <v>2024</v>
      </c>
      <c r="B228" s="2" t="s">
        <v>251</v>
      </c>
      <c r="C228" s="2" t="s">
        <v>251</v>
      </c>
      <c r="D228" s="1" t="s">
        <v>597</v>
      </c>
      <c r="E228" s="3">
        <v>44894055</v>
      </c>
      <c r="F228" s="3">
        <v>4080</v>
      </c>
      <c r="G228" s="3">
        <v>0</v>
      </c>
      <c r="H228" s="3">
        <v>116392</v>
      </c>
      <c r="I228" s="1">
        <v>0</v>
      </c>
      <c r="J228" s="3">
        <v>44889975</v>
      </c>
      <c r="K228" s="3">
        <v>44773583</v>
      </c>
      <c r="L228" s="3">
        <v>44773583</v>
      </c>
      <c r="M228" s="3">
        <v>935025</v>
      </c>
      <c r="N228" s="3">
        <v>3215379</v>
      </c>
      <c r="O228" s="3">
        <v>455178</v>
      </c>
      <c r="P228" s="3">
        <v>364527</v>
      </c>
      <c r="Q228" s="3">
        <v>1867378</v>
      </c>
      <c r="R228" s="3">
        <v>38052488</v>
      </c>
      <c r="S228" s="3">
        <v>37936096</v>
      </c>
      <c r="T228" s="3">
        <v>37936096</v>
      </c>
      <c r="U228" s="3">
        <v>4488998</v>
      </c>
      <c r="V228" s="3">
        <v>4488998</v>
      </c>
      <c r="W228" s="3">
        <v>4488998</v>
      </c>
      <c r="X228" s="3">
        <v>4488998</v>
      </c>
      <c r="Y228" s="3">
        <v>4469599</v>
      </c>
      <c r="Z228" s="3">
        <v>4469599</v>
      </c>
      <c r="AA228" s="4">
        <v>4469598</v>
      </c>
      <c r="AB228" s="4">
        <v>4469598</v>
      </c>
      <c r="AC228" s="4">
        <v>4469598</v>
      </c>
      <c r="AD228" s="4">
        <v>4469599</v>
      </c>
      <c r="AE228" s="4">
        <v>4488998</v>
      </c>
      <c r="AF228" s="4">
        <v>8977996</v>
      </c>
      <c r="AG228" s="4">
        <v>13466994</v>
      </c>
      <c r="AH228" s="4">
        <v>17955992</v>
      </c>
      <c r="AI228" s="4">
        <v>22425591</v>
      </c>
      <c r="AJ228" s="4">
        <v>26895190</v>
      </c>
      <c r="AK228" s="4">
        <v>31364788</v>
      </c>
      <c r="AL228" s="4">
        <v>35834386</v>
      </c>
      <c r="AM228" s="4">
        <v>40303984</v>
      </c>
      <c r="AN228" s="4">
        <v>44773583</v>
      </c>
      <c r="AO228" s="150">
        <v>2496669</v>
      </c>
    </row>
    <row r="229" spans="1:41" x14ac:dyDescent="0.2">
      <c r="A229" s="1">
        <v>2024</v>
      </c>
      <c r="B229" s="2" t="s">
        <v>252</v>
      </c>
      <c r="C229" s="2" t="s">
        <v>252</v>
      </c>
      <c r="D229" s="1" t="s">
        <v>598</v>
      </c>
      <c r="E229" s="3">
        <v>3568313</v>
      </c>
      <c r="F229" s="3">
        <v>564</v>
      </c>
      <c r="G229" s="3">
        <v>4630</v>
      </c>
      <c r="H229" s="3">
        <v>14767</v>
      </c>
      <c r="I229" s="3">
        <v>0</v>
      </c>
      <c r="J229" s="3">
        <v>3563119</v>
      </c>
      <c r="K229" s="3">
        <v>3548352</v>
      </c>
      <c r="L229" s="3">
        <v>3548352</v>
      </c>
      <c r="M229" s="3">
        <v>129231</v>
      </c>
      <c r="N229" s="3">
        <v>427333</v>
      </c>
      <c r="O229" s="3">
        <v>45391</v>
      </c>
      <c r="P229" s="3">
        <v>42796</v>
      </c>
      <c r="Q229" s="3">
        <v>245665</v>
      </c>
      <c r="R229" s="3">
        <v>2672703</v>
      </c>
      <c r="S229" s="3">
        <v>2657936</v>
      </c>
      <c r="T229" s="3">
        <v>2657936</v>
      </c>
      <c r="U229" s="3">
        <v>356312</v>
      </c>
      <c r="V229" s="3">
        <v>356312</v>
      </c>
      <c r="W229" s="3">
        <v>356312</v>
      </c>
      <c r="X229" s="3">
        <v>356312</v>
      </c>
      <c r="Y229" s="3">
        <v>353851</v>
      </c>
      <c r="Z229" s="3">
        <v>353851</v>
      </c>
      <c r="AA229" s="4">
        <v>353851</v>
      </c>
      <c r="AB229" s="4">
        <v>353851</v>
      </c>
      <c r="AC229" s="4">
        <v>353851</v>
      </c>
      <c r="AD229" s="4">
        <v>353849</v>
      </c>
      <c r="AE229" s="4">
        <v>356312</v>
      </c>
      <c r="AF229" s="4">
        <v>712624</v>
      </c>
      <c r="AG229" s="4">
        <v>1068936</v>
      </c>
      <c r="AH229" s="4">
        <v>1425248</v>
      </c>
      <c r="AI229" s="4">
        <v>1779099</v>
      </c>
      <c r="AJ229" s="4">
        <v>2132950</v>
      </c>
      <c r="AK229" s="4">
        <v>2486801</v>
      </c>
      <c r="AL229" s="4">
        <v>2840652</v>
      </c>
      <c r="AM229" s="4">
        <v>3194503</v>
      </c>
      <c r="AN229" s="4">
        <v>3548352</v>
      </c>
      <c r="AO229" s="150">
        <v>310629</v>
      </c>
    </row>
    <row r="230" spans="1:41" x14ac:dyDescent="0.2">
      <c r="A230" s="1">
        <v>2024</v>
      </c>
      <c r="B230" s="2" t="s">
        <v>253</v>
      </c>
      <c r="C230" s="2" t="s">
        <v>253</v>
      </c>
      <c r="D230" s="1" t="s">
        <v>599</v>
      </c>
      <c r="E230" s="3">
        <v>1010065</v>
      </c>
      <c r="F230" s="3">
        <v>182</v>
      </c>
      <c r="G230" s="3">
        <v>0</v>
      </c>
      <c r="H230" s="3">
        <v>4289</v>
      </c>
      <c r="I230" s="1">
        <v>0</v>
      </c>
      <c r="J230" s="3">
        <v>1009883</v>
      </c>
      <c r="K230" s="3">
        <v>1005594</v>
      </c>
      <c r="L230" s="3">
        <v>1005594</v>
      </c>
      <c r="M230" s="3">
        <v>41811</v>
      </c>
      <c r="N230" s="3">
        <v>125629</v>
      </c>
      <c r="O230" s="3">
        <v>15140</v>
      </c>
      <c r="P230" s="3">
        <v>11512</v>
      </c>
      <c r="Q230" s="3">
        <v>68805</v>
      </c>
      <c r="R230" s="3">
        <v>746986</v>
      </c>
      <c r="S230" s="3">
        <v>742697</v>
      </c>
      <c r="T230" s="3">
        <v>742697</v>
      </c>
      <c r="U230" s="3">
        <v>100988</v>
      </c>
      <c r="V230" s="3">
        <v>100988</v>
      </c>
      <c r="W230" s="3">
        <v>100988</v>
      </c>
      <c r="X230" s="3">
        <v>100988</v>
      </c>
      <c r="Y230" s="3">
        <v>100274</v>
      </c>
      <c r="Z230" s="3">
        <v>100274</v>
      </c>
      <c r="AA230" s="4">
        <v>100274</v>
      </c>
      <c r="AB230" s="4">
        <v>100274</v>
      </c>
      <c r="AC230" s="4">
        <v>100274</v>
      </c>
      <c r="AD230" s="4">
        <v>100272</v>
      </c>
      <c r="AE230" s="4">
        <v>100988</v>
      </c>
      <c r="AF230" s="4">
        <v>201976</v>
      </c>
      <c r="AG230" s="4">
        <v>302964</v>
      </c>
      <c r="AH230" s="4">
        <v>403952</v>
      </c>
      <c r="AI230" s="4">
        <v>504226</v>
      </c>
      <c r="AJ230" s="4">
        <v>604500</v>
      </c>
      <c r="AK230" s="4">
        <v>704774</v>
      </c>
      <c r="AL230" s="4">
        <v>805048</v>
      </c>
      <c r="AM230" s="4">
        <v>905322</v>
      </c>
      <c r="AN230" s="4">
        <v>1005594</v>
      </c>
      <c r="AO230" s="150">
        <v>92315</v>
      </c>
    </row>
    <row r="231" spans="1:41" x14ac:dyDescent="0.2">
      <c r="A231" s="1">
        <v>2024</v>
      </c>
      <c r="B231" s="2" t="s">
        <v>254</v>
      </c>
      <c r="C231" s="2" t="s">
        <v>698</v>
      </c>
      <c r="D231" s="1" t="s">
        <v>600</v>
      </c>
      <c r="E231" s="3">
        <v>1772032</v>
      </c>
      <c r="F231" s="3">
        <v>630</v>
      </c>
      <c r="G231" s="3">
        <v>0</v>
      </c>
      <c r="H231" s="3">
        <v>12898</v>
      </c>
      <c r="I231" s="3">
        <v>0</v>
      </c>
      <c r="J231" s="3">
        <v>1771402</v>
      </c>
      <c r="K231" s="3">
        <v>1758504</v>
      </c>
      <c r="L231" s="3">
        <v>1758504</v>
      </c>
      <c r="M231" s="3">
        <v>144435</v>
      </c>
      <c r="N231" s="3">
        <v>377311</v>
      </c>
      <c r="O231" s="3">
        <v>38800</v>
      </c>
      <c r="P231" s="3">
        <v>44207</v>
      </c>
      <c r="Q231" s="3">
        <v>206930</v>
      </c>
      <c r="R231" s="3">
        <v>959719</v>
      </c>
      <c r="S231" s="3">
        <v>946821</v>
      </c>
      <c r="T231" s="3">
        <v>946821</v>
      </c>
      <c r="U231" s="3">
        <v>177140</v>
      </c>
      <c r="V231" s="3">
        <v>177140</v>
      </c>
      <c r="W231" s="3">
        <v>177140</v>
      </c>
      <c r="X231" s="3">
        <v>177140</v>
      </c>
      <c r="Y231" s="3">
        <v>174991</v>
      </c>
      <c r="Z231" s="3">
        <v>174991</v>
      </c>
      <c r="AA231" s="4">
        <v>174991</v>
      </c>
      <c r="AB231" s="4">
        <v>174991</v>
      </c>
      <c r="AC231" s="4">
        <v>174991</v>
      </c>
      <c r="AD231" s="4">
        <v>174989</v>
      </c>
      <c r="AE231" s="4">
        <v>177140</v>
      </c>
      <c r="AF231" s="4">
        <v>354280</v>
      </c>
      <c r="AG231" s="4">
        <v>531420</v>
      </c>
      <c r="AH231" s="4">
        <v>708560</v>
      </c>
      <c r="AI231" s="4">
        <v>883551</v>
      </c>
      <c r="AJ231" s="4">
        <v>1058542</v>
      </c>
      <c r="AK231" s="4">
        <v>1233533</v>
      </c>
      <c r="AL231" s="4">
        <v>1408524</v>
      </c>
      <c r="AM231" s="4">
        <v>1583515</v>
      </c>
      <c r="AN231" s="4">
        <v>1758504</v>
      </c>
      <c r="AO231" s="150">
        <v>292178</v>
      </c>
    </row>
    <row r="232" spans="1:41" x14ac:dyDescent="0.2">
      <c r="A232" s="1">
        <v>2024</v>
      </c>
      <c r="B232" s="2" t="s">
        <v>255</v>
      </c>
      <c r="C232" s="2" t="s">
        <v>255</v>
      </c>
      <c r="D232" s="1" t="s">
        <v>601</v>
      </c>
      <c r="E232" s="3">
        <v>3282067</v>
      </c>
      <c r="F232" s="3">
        <v>647</v>
      </c>
      <c r="G232" s="3">
        <v>0</v>
      </c>
      <c r="H232" s="3">
        <v>12613</v>
      </c>
      <c r="I232" s="1">
        <v>0</v>
      </c>
      <c r="J232" s="3">
        <v>3281420</v>
      </c>
      <c r="K232" s="3">
        <v>3268807</v>
      </c>
      <c r="L232" s="3">
        <v>3268807</v>
      </c>
      <c r="M232" s="3">
        <v>148236</v>
      </c>
      <c r="N232" s="3">
        <v>364435</v>
      </c>
      <c r="O232" s="3">
        <v>42474</v>
      </c>
      <c r="P232" s="3">
        <v>40990</v>
      </c>
      <c r="Q232" s="3">
        <v>205842</v>
      </c>
      <c r="R232" s="3">
        <v>2479443</v>
      </c>
      <c r="S232" s="3">
        <v>2466830</v>
      </c>
      <c r="T232" s="3">
        <v>2466830</v>
      </c>
      <c r="U232" s="3">
        <v>328142</v>
      </c>
      <c r="V232" s="3">
        <v>328142</v>
      </c>
      <c r="W232" s="3">
        <v>328142</v>
      </c>
      <c r="X232" s="3">
        <v>328142</v>
      </c>
      <c r="Y232" s="3">
        <v>326040</v>
      </c>
      <c r="Z232" s="3">
        <v>326040</v>
      </c>
      <c r="AA232" s="4">
        <v>326040</v>
      </c>
      <c r="AB232" s="4">
        <v>326040</v>
      </c>
      <c r="AC232" s="4">
        <v>326040</v>
      </c>
      <c r="AD232" s="4">
        <v>326039</v>
      </c>
      <c r="AE232" s="4">
        <v>328142</v>
      </c>
      <c r="AF232" s="4">
        <v>656284</v>
      </c>
      <c r="AG232" s="4">
        <v>984426</v>
      </c>
      <c r="AH232" s="4">
        <v>1312568</v>
      </c>
      <c r="AI232" s="4">
        <v>1638608</v>
      </c>
      <c r="AJ232" s="4">
        <v>1964648</v>
      </c>
      <c r="AK232" s="4">
        <v>2290688</v>
      </c>
      <c r="AL232" s="4">
        <v>2616728</v>
      </c>
      <c r="AM232" s="4">
        <v>2942768</v>
      </c>
      <c r="AN232" s="4">
        <v>3268807</v>
      </c>
      <c r="AO232" s="150">
        <v>261152</v>
      </c>
    </row>
    <row r="233" spans="1:41" x14ac:dyDescent="0.2">
      <c r="A233" s="1">
        <v>2024</v>
      </c>
      <c r="B233" s="2" t="s">
        <v>256</v>
      </c>
      <c r="C233" s="2" t="s">
        <v>256</v>
      </c>
      <c r="D233" s="1" t="s">
        <v>602</v>
      </c>
      <c r="E233" s="3">
        <v>13724495</v>
      </c>
      <c r="F233" s="3">
        <v>1924</v>
      </c>
      <c r="G233" s="3">
        <v>0</v>
      </c>
      <c r="H233" s="3">
        <v>50068</v>
      </c>
      <c r="I233" s="1">
        <v>0</v>
      </c>
      <c r="J233" s="3">
        <v>13722571</v>
      </c>
      <c r="K233" s="3">
        <v>13672503</v>
      </c>
      <c r="L233" s="3">
        <v>13672503</v>
      </c>
      <c r="M233" s="3">
        <v>440906</v>
      </c>
      <c r="N233" s="3">
        <v>1364841</v>
      </c>
      <c r="O233" s="3">
        <v>159118</v>
      </c>
      <c r="P233" s="3">
        <v>147631</v>
      </c>
      <c r="Q233" s="3">
        <v>803285</v>
      </c>
      <c r="R233" s="3">
        <v>10806790</v>
      </c>
      <c r="S233" s="3">
        <v>10756722</v>
      </c>
      <c r="T233" s="3">
        <v>10756722</v>
      </c>
      <c r="U233" s="3">
        <v>1372257</v>
      </c>
      <c r="V233" s="3">
        <v>1372257</v>
      </c>
      <c r="W233" s="3">
        <v>1372257</v>
      </c>
      <c r="X233" s="3">
        <v>1372257</v>
      </c>
      <c r="Y233" s="3">
        <v>1363913</v>
      </c>
      <c r="Z233" s="3">
        <v>1363913</v>
      </c>
      <c r="AA233" s="4">
        <v>1363912</v>
      </c>
      <c r="AB233" s="4">
        <v>1363912</v>
      </c>
      <c r="AC233" s="4">
        <v>1363912</v>
      </c>
      <c r="AD233" s="4">
        <v>1363913</v>
      </c>
      <c r="AE233" s="4">
        <v>1372257</v>
      </c>
      <c r="AF233" s="4">
        <v>2744514</v>
      </c>
      <c r="AG233" s="4">
        <v>4116771</v>
      </c>
      <c r="AH233" s="4">
        <v>5489028</v>
      </c>
      <c r="AI233" s="4">
        <v>6852941</v>
      </c>
      <c r="AJ233" s="4">
        <v>8216854</v>
      </c>
      <c r="AK233" s="4">
        <v>9580766</v>
      </c>
      <c r="AL233" s="4">
        <v>10944678</v>
      </c>
      <c r="AM233" s="4">
        <v>12308590</v>
      </c>
      <c r="AN233" s="4">
        <v>13672503</v>
      </c>
      <c r="AO233" s="150">
        <v>1088180</v>
      </c>
    </row>
    <row r="234" spans="1:41" x14ac:dyDescent="0.2">
      <c r="A234" s="1">
        <v>2024</v>
      </c>
      <c r="B234" s="2" t="s">
        <v>257</v>
      </c>
      <c r="C234" s="2" t="s">
        <v>257</v>
      </c>
      <c r="D234" s="1" t="s">
        <v>603</v>
      </c>
      <c r="E234" s="3">
        <v>15906748</v>
      </c>
      <c r="F234" s="3">
        <v>1509</v>
      </c>
      <c r="G234" s="3">
        <v>3578</v>
      </c>
      <c r="H234" s="3">
        <v>42589</v>
      </c>
      <c r="I234" s="1">
        <v>0</v>
      </c>
      <c r="J234" s="3">
        <v>15901661</v>
      </c>
      <c r="K234" s="3">
        <v>15859072</v>
      </c>
      <c r="L234" s="3">
        <v>15859072</v>
      </c>
      <c r="M234" s="3">
        <v>345884</v>
      </c>
      <c r="N234" s="3">
        <v>1235980</v>
      </c>
      <c r="O234" s="3">
        <v>179718</v>
      </c>
      <c r="P234" s="3">
        <v>135090</v>
      </c>
      <c r="Q234" s="3">
        <v>683291</v>
      </c>
      <c r="R234" s="3">
        <v>13321698</v>
      </c>
      <c r="S234" s="3">
        <v>13279109</v>
      </c>
      <c r="T234" s="3">
        <v>13279109</v>
      </c>
      <c r="U234" s="3">
        <v>1590166</v>
      </c>
      <c r="V234" s="3">
        <v>1590166</v>
      </c>
      <c r="W234" s="3">
        <v>1590166</v>
      </c>
      <c r="X234" s="3">
        <v>1590166</v>
      </c>
      <c r="Y234" s="3">
        <v>1583068</v>
      </c>
      <c r="Z234" s="3">
        <v>1583068</v>
      </c>
      <c r="AA234" s="4">
        <v>1583068</v>
      </c>
      <c r="AB234" s="4">
        <v>1583068</v>
      </c>
      <c r="AC234" s="4">
        <v>1583068</v>
      </c>
      <c r="AD234" s="4">
        <v>1583068</v>
      </c>
      <c r="AE234" s="4">
        <v>1590166</v>
      </c>
      <c r="AF234" s="4">
        <v>3180332</v>
      </c>
      <c r="AG234" s="4">
        <v>4770498</v>
      </c>
      <c r="AH234" s="4">
        <v>6360664</v>
      </c>
      <c r="AI234" s="4">
        <v>7943732</v>
      </c>
      <c r="AJ234" s="4">
        <v>9526800</v>
      </c>
      <c r="AK234" s="4">
        <v>11109868</v>
      </c>
      <c r="AL234" s="4">
        <v>12692936</v>
      </c>
      <c r="AM234" s="4">
        <v>14276004</v>
      </c>
      <c r="AN234" s="4">
        <v>15859072</v>
      </c>
      <c r="AO234" s="150">
        <v>905089</v>
      </c>
    </row>
    <row r="235" spans="1:41" x14ac:dyDescent="0.2">
      <c r="A235" s="1">
        <v>2024</v>
      </c>
      <c r="B235" s="2" t="s">
        <v>258</v>
      </c>
      <c r="C235" s="2" t="s">
        <v>258</v>
      </c>
      <c r="D235" s="1" t="s">
        <v>604</v>
      </c>
      <c r="E235" s="3">
        <v>37122638</v>
      </c>
      <c r="F235" s="3">
        <v>3665</v>
      </c>
      <c r="G235" s="3">
        <v>0</v>
      </c>
      <c r="H235" s="3">
        <v>127640</v>
      </c>
      <c r="I235" s="1">
        <v>0</v>
      </c>
      <c r="J235" s="3">
        <v>37118973</v>
      </c>
      <c r="K235" s="3">
        <v>36991333</v>
      </c>
      <c r="L235" s="3">
        <v>36991333</v>
      </c>
      <c r="M235" s="3">
        <v>854829</v>
      </c>
      <c r="N235" s="3">
        <v>3418321</v>
      </c>
      <c r="O235" s="3">
        <v>366582</v>
      </c>
      <c r="P235" s="3">
        <v>393588</v>
      </c>
      <c r="Q235" s="3">
        <v>2047848</v>
      </c>
      <c r="R235" s="3">
        <v>30037805</v>
      </c>
      <c r="S235" s="3">
        <v>29910165</v>
      </c>
      <c r="T235" s="3">
        <v>29910165</v>
      </c>
      <c r="U235" s="3">
        <v>3711897</v>
      </c>
      <c r="V235" s="3">
        <v>3711897</v>
      </c>
      <c r="W235" s="3">
        <v>3711897</v>
      </c>
      <c r="X235" s="3">
        <v>3711897</v>
      </c>
      <c r="Y235" s="3">
        <v>3690624</v>
      </c>
      <c r="Z235" s="3">
        <v>3690624</v>
      </c>
      <c r="AA235" s="4">
        <v>3690624</v>
      </c>
      <c r="AB235" s="4">
        <v>3690624</v>
      </c>
      <c r="AC235" s="4">
        <v>3690624</v>
      </c>
      <c r="AD235" s="4">
        <v>3690625</v>
      </c>
      <c r="AE235" s="4">
        <v>3711897</v>
      </c>
      <c r="AF235" s="4">
        <v>7423794</v>
      </c>
      <c r="AG235" s="4">
        <v>11135691</v>
      </c>
      <c r="AH235" s="4">
        <v>14847588</v>
      </c>
      <c r="AI235" s="4">
        <v>18538212</v>
      </c>
      <c r="AJ235" s="4">
        <v>22228836</v>
      </c>
      <c r="AK235" s="4">
        <v>25919460</v>
      </c>
      <c r="AL235" s="4">
        <v>29610084</v>
      </c>
      <c r="AM235" s="4">
        <v>33300708</v>
      </c>
      <c r="AN235" s="4">
        <v>36991333</v>
      </c>
      <c r="AO235" s="150">
        <v>2773723</v>
      </c>
    </row>
    <row r="236" spans="1:41" x14ac:dyDescent="0.2">
      <c r="A236" s="1">
        <v>2024</v>
      </c>
      <c r="B236" s="2" t="s">
        <v>259</v>
      </c>
      <c r="C236" s="2" t="s">
        <v>259</v>
      </c>
      <c r="D236" s="1" t="s">
        <v>605</v>
      </c>
      <c r="E236" s="3">
        <v>5615910</v>
      </c>
      <c r="F236" s="3">
        <v>481</v>
      </c>
      <c r="G236" s="3">
        <v>0</v>
      </c>
      <c r="H236" s="3">
        <v>16350</v>
      </c>
      <c r="I236" s="1">
        <v>0</v>
      </c>
      <c r="J236" s="3">
        <v>5615429</v>
      </c>
      <c r="K236" s="3">
        <v>5599079</v>
      </c>
      <c r="L236" s="3">
        <v>5599079</v>
      </c>
      <c r="M236" s="3">
        <v>110227</v>
      </c>
      <c r="N236" s="3">
        <v>465482</v>
      </c>
      <c r="O236" s="3">
        <v>61015</v>
      </c>
      <c r="P236" s="3">
        <v>49392</v>
      </c>
      <c r="Q236" s="3">
        <v>262320</v>
      </c>
      <c r="R236" s="3">
        <v>4666993</v>
      </c>
      <c r="S236" s="3">
        <v>4650643</v>
      </c>
      <c r="T236" s="3">
        <v>4650643</v>
      </c>
      <c r="U236" s="3">
        <v>561543</v>
      </c>
      <c r="V236" s="3">
        <v>561543</v>
      </c>
      <c r="W236" s="3">
        <v>561543</v>
      </c>
      <c r="X236" s="3">
        <v>561543</v>
      </c>
      <c r="Y236" s="3">
        <v>558818</v>
      </c>
      <c r="Z236" s="3">
        <v>558818</v>
      </c>
      <c r="AA236" s="4">
        <v>558818</v>
      </c>
      <c r="AB236" s="4">
        <v>558818</v>
      </c>
      <c r="AC236" s="4">
        <v>558818</v>
      </c>
      <c r="AD236" s="4">
        <v>558817</v>
      </c>
      <c r="AE236" s="4">
        <v>561543</v>
      </c>
      <c r="AF236" s="4">
        <v>1123086</v>
      </c>
      <c r="AG236" s="4">
        <v>1684629</v>
      </c>
      <c r="AH236" s="4">
        <v>2246172</v>
      </c>
      <c r="AI236" s="4">
        <v>2804990</v>
      </c>
      <c r="AJ236" s="4">
        <v>3363808</v>
      </c>
      <c r="AK236" s="4">
        <v>3922626</v>
      </c>
      <c r="AL236" s="4">
        <v>4481444</v>
      </c>
      <c r="AM236" s="4">
        <v>5040262</v>
      </c>
      <c r="AN236" s="4">
        <v>5599079</v>
      </c>
      <c r="AO236" s="150">
        <v>342782</v>
      </c>
    </row>
    <row r="237" spans="1:41" x14ac:dyDescent="0.2">
      <c r="A237" s="1">
        <v>2024</v>
      </c>
      <c r="B237" s="2" t="s">
        <v>260</v>
      </c>
      <c r="C237" s="2" t="s">
        <v>260</v>
      </c>
      <c r="D237" s="1" t="s">
        <v>606</v>
      </c>
      <c r="E237" s="3">
        <v>2605702</v>
      </c>
      <c r="F237" s="3">
        <v>630</v>
      </c>
      <c r="G237" s="3">
        <v>2988</v>
      </c>
      <c r="H237" s="3">
        <v>15385</v>
      </c>
      <c r="I237" s="1">
        <v>0</v>
      </c>
      <c r="J237" s="3">
        <v>2602084</v>
      </c>
      <c r="K237" s="3">
        <v>2586699</v>
      </c>
      <c r="L237" s="3">
        <v>2586699</v>
      </c>
      <c r="M237" s="3">
        <v>144435</v>
      </c>
      <c r="N237" s="3">
        <v>507012</v>
      </c>
      <c r="O237" s="3">
        <v>48165</v>
      </c>
      <c r="P237" s="3">
        <v>62881</v>
      </c>
      <c r="Q237" s="3">
        <v>246841</v>
      </c>
      <c r="R237" s="3">
        <v>1592750</v>
      </c>
      <c r="S237" s="3">
        <v>1577365</v>
      </c>
      <c r="T237" s="3">
        <v>1577365</v>
      </c>
      <c r="U237" s="3">
        <v>260208</v>
      </c>
      <c r="V237" s="3">
        <v>260208</v>
      </c>
      <c r="W237" s="3">
        <v>260208</v>
      </c>
      <c r="X237" s="3">
        <v>260208</v>
      </c>
      <c r="Y237" s="3">
        <v>257645</v>
      </c>
      <c r="Z237" s="3">
        <v>257645</v>
      </c>
      <c r="AA237" s="4">
        <v>257644</v>
      </c>
      <c r="AB237" s="4">
        <v>257644</v>
      </c>
      <c r="AC237" s="4">
        <v>257644</v>
      </c>
      <c r="AD237" s="4">
        <v>257645</v>
      </c>
      <c r="AE237" s="4">
        <v>260208</v>
      </c>
      <c r="AF237" s="4">
        <v>520416</v>
      </c>
      <c r="AG237" s="4">
        <v>780624</v>
      </c>
      <c r="AH237" s="4">
        <v>1040832</v>
      </c>
      <c r="AI237" s="4">
        <v>1298477</v>
      </c>
      <c r="AJ237" s="4">
        <v>1556122</v>
      </c>
      <c r="AK237" s="4">
        <v>1813766</v>
      </c>
      <c r="AL237" s="4">
        <v>2071410</v>
      </c>
      <c r="AM237" s="4">
        <v>2329054</v>
      </c>
      <c r="AN237" s="4">
        <v>2586699</v>
      </c>
      <c r="AO237" s="150">
        <v>327695</v>
      </c>
    </row>
    <row r="238" spans="1:41" x14ac:dyDescent="0.2">
      <c r="A238" s="1">
        <v>2024</v>
      </c>
      <c r="B238" s="2" t="s">
        <v>261</v>
      </c>
      <c r="C238" s="2" t="s">
        <v>261</v>
      </c>
      <c r="D238" s="1" t="s">
        <v>607</v>
      </c>
      <c r="E238" s="3">
        <v>5779517</v>
      </c>
      <c r="F238" s="3">
        <v>448</v>
      </c>
      <c r="G238" s="3">
        <v>0</v>
      </c>
      <c r="H238" s="3">
        <v>15921</v>
      </c>
      <c r="I238" s="1">
        <v>0</v>
      </c>
      <c r="J238" s="3">
        <v>5779069</v>
      </c>
      <c r="K238" s="3">
        <v>5763148</v>
      </c>
      <c r="L238" s="3">
        <v>5763148</v>
      </c>
      <c r="M238" s="3">
        <v>102625</v>
      </c>
      <c r="N238" s="3">
        <v>466914</v>
      </c>
      <c r="O238" s="3">
        <v>70024</v>
      </c>
      <c r="P238" s="3">
        <v>46750</v>
      </c>
      <c r="Q238" s="3">
        <v>255428</v>
      </c>
      <c r="R238" s="3">
        <v>4837328</v>
      </c>
      <c r="S238" s="3">
        <v>4821407</v>
      </c>
      <c r="T238" s="3">
        <v>4821407</v>
      </c>
      <c r="U238" s="3">
        <v>577907</v>
      </c>
      <c r="V238" s="3">
        <v>577907</v>
      </c>
      <c r="W238" s="3">
        <v>577907</v>
      </c>
      <c r="X238" s="3">
        <v>577907</v>
      </c>
      <c r="Y238" s="3">
        <v>575253</v>
      </c>
      <c r="Z238" s="3">
        <v>575253</v>
      </c>
      <c r="AA238" s="4">
        <v>575254</v>
      </c>
      <c r="AB238" s="4">
        <v>575254</v>
      </c>
      <c r="AC238" s="4">
        <v>575254</v>
      </c>
      <c r="AD238" s="4">
        <v>575252</v>
      </c>
      <c r="AE238" s="4">
        <v>577907</v>
      </c>
      <c r="AF238" s="4">
        <v>1155814</v>
      </c>
      <c r="AG238" s="4">
        <v>1733721</v>
      </c>
      <c r="AH238" s="4">
        <v>2311628</v>
      </c>
      <c r="AI238" s="4">
        <v>2886881</v>
      </c>
      <c r="AJ238" s="4">
        <v>3462134</v>
      </c>
      <c r="AK238" s="4">
        <v>4037388</v>
      </c>
      <c r="AL238" s="4">
        <v>4612642</v>
      </c>
      <c r="AM238" s="4">
        <v>5187896</v>
      </c>
      <c r="AN238" s="4">
        <v>5763148</v>
      </c>
      <c r="AO238" s="150">
        <v>357510</v>
      </c>
    </row>
    <row r="239" spans="1:41" x14ac:dyDescent="0.2">
      <c r="A239" s="1">
        <v>2024</v>
      </c>
      <c r="B239" s="2" t="s">
        <v>262</v>
      </c>
      <c r="C239" s="2" t="s">
        <v>699</v>
      </c>
      <c r="D239" s="1" t="s">
        <v>6</v>
      </c>
      <c r="E239" s="3">
        <v>7278699</v>
      </c>
      <c r="F239" s="3">
        <v>929</v>
      </c>
      <c r="G239" s="3">
        <v>0</v>
      </c>
      <c r="H239" s="3">
        <v>23707</v>
      </c>
      <c r="I239" s="1">
        <v>0</v>
      </c>
      <c r="J239" s="3">
        <v>7277770</v>
      </c>
      <c r="K239" s="3">
        <v>7254063</v>
      </c>
      <c r="L239" s="3">
        <v>7254063</v>
      </c>
      <c r="M239" s="3">
        <v>212851</v>
      </c>
      <c r="N239" s="3">
        <v>660843</v>
      </c>
      <c r="O239" s="3">
        <v>73857</v>
      </c>
      <c r="P239" s="3">
        <v>71535</v>
      </c>
      <c r="Q239" s="3">
        <v>380360</v>
      </c>
      <c r="R239" s="3">
        <v>5878324</v>
      </c>
      <c r="S239" s="3">
        <v>5854617</v>
      </c>
      <c r="T239" s="3">
        <v>5854617</v>
      </c>
      <c r="U239" s="3">
        <v>727777</v>
      </c>
      <c r="V239" s="3">
        <v>727777</v>
      </c>
      <c r="W239" s="3">
        <v>727777</v>
      </c>
      <c r="X239" s="3">
        <v>727777</v>
      </c>
      <c r="Y239" s="3">
        <v>723826</v>
      </c>
      <c r="Z239" s="3">
        <v>723826</v>
      </c>
      <c r="AA239" s="4">
        <v>723826</v>
      </c>
      <c r="AB239" s="4">
        <v>723826</v>
      </c>
      <c r="AC239" s="4">
        <v>723826</v>
      </c>
      <c r="AD239" s="4">
        <v>723825</v>
      </c>
      <c r="AE239" s="4">
        <v>727777</v>
      </c>
      <c r="AF239" s="4">
        <v>1455554</v>
      </c>
      <c r="AG239" s="4">
        <v>2183331</v>
      </c>
      <c r="AH239" s="4">
        <v>2911108</v>
      </c>
      <c r="AI239" s="4">
        <v>3634934</v>
      </c>
      <c r="AJ239" s="4">
        <v>4358760</v>
      </c>
      <c r="AK239" s="4">
        <v>5082586</v>
      </c>
      <c r="AL239" s="4">
        <v>5806412</v>
      </c>
      <c r="AM239" s="4">
        <v>6530238</v>
      </c>
      <c r="AN239" s="4">
        <v>7254063</v>
      </c>
      <c r="AO239" s="150">
        <v>486364</v>
      </c>
    </row>
    <row r="240" spans="1:41" x14ac:dyDescent="0.2">
      <c r="A240" s="1">
        <v>2024</v>
      </c>
      <c r="B240" s="2" t="s">
        <v>264</v>
      </c>
      <c r="C240" s="2" t="s">
        <v>264</v>
      </c>
      <c r="D240" s="1" t="s">
        <v>609</v>
      </c>
      <c r="E240" s="3">
        <v>7556116</v>
      </c>
      <c r="F240" s="3">
        <v>1144</v>
      </c>
      <c r="G240" s="3">
        <v>0</v>
      </c>
      <c r="H240" s="3">
        <v>23772</v>
      </c>
      <c r="I240" s="1">
        <v>0</v>
      </c>
      <c r="J240" s="3">
        <v>7554972</v>
      </c>
      <c r="K240" s="3">
        <v>7531200</v>
      </c>
      <c r="L240" s="3">
        <v>7531200</v>
      </c>
      <c r="M240" s="3">
        <v>262264</v>
      </c>
      <c r="N240" s="3">
        <v>696775</v>
      </c>
      <c r="O240" s="3">
        <v>92748</v>
      </c>
      <c r="P240" s="3">
        <v>77274</v>
      </c>
      <c r="Q240" s="3">
        <v>383955</v>
      </c>
      <c r="R240" s="3">
        <v>6041956</v>
      </c>
      <c r="S240" s="3">
        <v>6018184</v>
      </c>
      <c r="T240" s="3">
        <v>6018184</v>
      </c>
      <c r="U240" s="3">
        <v>755497</v>
      </c>
      <c r="V240" s="3">
        <v>755497</v>
      </c>
      <c r="W240" s="3">
        <v>755497</v>
      </c>
      <c r="X240" s="3">
        <v>755497</v>
      </c>
      <c r="Y240" s="3">
        <v>751535</v>
      </c>
      <c r="Z240" s="3">
        <v>751535</v>
      </c>
      <c r="AA240" s="4">
        <v>751536</v>
      </c>
      <c r="AB240" s="4">
        <v>751536</v>
      </c>
      <c r="AC240" s="4">
        <v>751536</v>
      </c>
      <c r="AD240" s="4">
        <v>751534</v>
      </c>
      <c r="AE240" s="4">
        <v>755497</v>
      </c>
      <c r="AF240" s="4">
        <v>1510994</v>
      </c>
      <c r="AG240" s="4">
        <v>2266491</v>
      </c>
      <c r="AH240" s="4">
        <v>3021988</v>
      </c>
      <c r="AI240" s="4">
        <v>3773523</v>
      </c>
      <c r="AJ240" s="4">
        <v>4525058</v>
      </c>
      <c r="AK240" s="4">
        <v>5276594</v>
      </c>
      <c r="AL240" s="4">
        <v>6028130</v>
      </c>
      <c r="AM240" s="4">
        <v>6779666</v>
      </c>
      <c r="AN240" s="4">
        <v>7531200</v>
      </c>
      <c r="AO240" s="150">
        <v>494198</v>
      </c>
    </row>
    <row r="241" spans="1:41" x14ac:dyDescent="0.2">
      <c r="A241" s="1">
        <v>2024</v>
      </c>
      <c r="B241" s="2" t="s">
        <v>265</v>
      </c>
      <c r="C241" s="2" t="s">
        <v>265</v>
      </c>
      <c r="D241" s="1" t="s">
        <v>610</v>
      </c>
      <c r="E241" s="3">
        <v>1490313</v>
      </c>
      <c r="F241" s="3">
        <v>232</v>
      </c>
      <c r="G241" s="3">
        <v>0</v>
      </c>
      <c r="H241" s="3">
        <v>7672</v>
      </c>
      <c r="I241" s="1">
        <v>0</v>
      </c>
      <c r="J241" s="3">
        <v>1490081</v>
      </c>
      <c r="K241" s="3">
        <v>1482409</v>
      </c>
      <c r="L241" s="3">
        <v>1482409</v>
      </c>
      <c r="M241" s="3">
        <v>53213</v>
      </c>
      <c r="N241" s="3">
        <v>230320</v>
      </c>
      <c r="O241" s="3">
        <v>22512</v>
      </c>
      <c r="P241" s="3">
        <v>23667</v>
      </c>
      <c r="Q241" s="3">
        <v>123089</v>
      </c>
      <c r="R241" s="3">
        <v>1037280</v>
      </c>
      <c r="S241" s="3">
        <v>1029608</v>
      </c>
      <c r="T241" s="3">
        <v>1029608</v>
      </c>
      <c r="U241" s="3">
        <v>149008</v>
      </c>
      <c r="V241" s="3">
        <v>149008</v>
      </c>
      <c r="W241" s="3">
        <v>149008</v>
      </c>
      <c r="X241" s="3">
        <v>149008</v>
      </c>
      <c r="Y241" s="3">
        <v>147730</v>
      </c>
      <c r="Z241" s="3">
        <v>147730</v>
      </c>
      <c r="AA241" s="4">
        <v>147729</v>
      </c>
      <c r="AB241" s="4">
        <v>147729</v>
      </c>
      <c r="AC241" s="4">
        <v>147729</v>
      </c>
      <c r="AD241" s="4">
        <v>147730</v>
      </c>
      <c r="AE241" s="4">
        <v>149008</v>
      </c>
      <c r="AF241" s="4">
        <v>298016</v>
      </c>
      <c r="AG241" s="4">
        <v>447024</v>
      </c>
      <c r="AH241" s="4">
        <v>596032</v>
      </c>
      <c r="AI241" s="4">
        <v>743762</v>
      </c>
      <c r="AJ241" s="4">
        <v>891492</v>
      </c>
      <c r="AK241" s="4">
        <v>1039221</v>
      </c>
      <c r="AL241" s="4">
        <v>1186950</v>
      </c>
      <c r="AM241" s="4">
        <v>1334679</v>
      </c>
      <c r="AN241" s="4">
        <v>1482409</v>
      </c>
      <c r="AO241" s="150">
        <v>185031</v>
      </c>
    </row>
    <row r="242" spans="1:41" x14ac:dyDescent="0.2">
      <c r="A242" s="1">
        <v>2024</v>
      </c>
      <c r="B242" s="2" t="s">
        <v>266</v>
      </c>
      <c r="C242" s="2" t="s">
        <v>266</v>
      </c>
      <c r="D242" s="1" t="s">
        <v>611</v>
      </c>
      <c r="E242" s="3">
        <v>1542412</v>
      </c>
      <c r="F242" s="3">
        <v>498</v>
      </c>
      <c r="G242" s="3">
        <v>0</v>
      </c>
      <c r="H242" s="3">
        <v>7615</v>
      </c>
      <c r="I242" s="3">
        <v>0</v>
      </c>
      <c r="J242" s="3">
        <v>1541914</v>
      </c>
      <c r="K242" s="3">
        <v>1534299</v>
      </c>
      <c r="L242" s="3">
        <v>1534299</v>
      </c>
      <c r="M242" s="3">
        <v>114027</v>
      </c>
      <c r="N242" s="3">
        <v>271502</v>
      </c>
      <c r="O242" s="3">
        <v>24551</v>
      </c>
      <c r="P242" s="3">
        <v>32928</v>
      </c>
      <c r="Q242" s="3">
        <v>122168</v>
      </c>
      <c r="R242" s="3">
        <v>976738</v>
      </c>
      <c r="S242" s="3">
        <v>969123</v>
      </c>
      <c r="T242" s="3">
        <v>969123</v>
      </c>
      <c r="U242" s="3">
        <v>154191</v>
      </c>
      <c r="V242" s="3">
        <v>154191</v>
      </c>
      <c r="W242" s="3">
        <v>154191</v>
      </c>
      <c r="X242" s="3">
        <v>154191</v>
      </c>
      <c r="Y242" s="3">
        <v>152923</v>
      </c>
      <c r="Z242" s="3">
        <v>152923</v>
      </c>
      <c r="AA242" s="4">
        <v>152922</v>
      </c>
      <c r="AB242" s="4">
        <v>152922</v>
      </c>
      <c r="AC242" s="4">
        <v>152922</v>
      </c>
      <c r="AD242" s="4">
        <v>152923</v>
      </c>
      <c r="AE242" s="4">
        <v>154191</v>
      </c>
      <c r="AF242" s="4">
        <v>308382</v>
      </c>
      <c r="AG242" s="4">
        <v>462573</v>
      </c>
      <c r="AH242" s="4">
        <v>616764</v>
      </c>
      <c r="AI242" s="4">
        <v>769687</v>
      </c>
      <c r="AJ242" s="4">
        <v>922610</v>
      </c>
      <c r="AK242" s="4">
        <v>1075532</v>
      </c>
      <c r="AL242" s="4">
        <v>1228454</v>
      </c>
      <c r="AM242" s="4">
        <v>1381376</v>
      </c>
      <c r="AN242" s="4">
        <v>1534299</v>
      </c>
      <c r="AO242" s="150">
        <v>158852</v>
      </c>
    </row>
    <row r="243" spans="1:41" x14ac:dyDescent="0.2">
      <c r="A243" s="1">
        <v>2024</v>
      </c>
      <c r="B243" s="2" t="s">
        <v>267</v>
      </c>
      <c r="C243" s="2" t="s">
        <v>267</v>
      </c>
      <c r="D243" s="1" t="s">
        <v>612</v>
      </c>
      <c r="E243" s="3">
        <v>5982084</v>
      </c>
      <c r="F243" s="3">
        <v>1161</v>
      </c>
      <c r="G243" s="3">
        <v>0</v>
      </c>
      <c r="H243" s="3">
        <v>19552</v>
      </c>
      <c r="I243" s="1">
        <v>0</v>
      </c>
      <c r="J243" s="3">
        <v>5980923</v>
      </c>
      <c r="K243" s="3">
        <v>5961371</v>
      </c>
      <c r="L243" s="3">
        <v>5961371</v>
      </c>
      <c r="M243" s="3">
        <v>266064</v>
      </c>
      <c r="N243" s="3">
        <v>568789</v>
      </c>
      <c r="O243" s="3">
        <v>78259</v>
      </c>
      <c r="P243" s="3">
        <v>60699</v>
      </c>
      <c r="Q243" s="3">
        <v>313693</v>
      </c>
      <c r="R243" s="3">
        <v>4693419</v>
      </c>
      <c r="S243" s="3">
        <v>4673867</v>
      </c>
      <c r="T243" s="3">
        <v>4673867</v>
      </c>
      <c r="U243" s="3">
        <v>598092</v>
      </c>
      <c r="V243" s="3">
        <v>598092</v>
      </c>
      <c r="W243" s="3">
        <v>598092</v>
      </c>
      <c r="X243" s="3">
        <v>598092</v>
      </c>
      <c r="Y243" s="3">
        <v>594834</v>
      </c>
      <c r="Z243" s="3">
        <v>594834</v>
      </c>
      <c r="AA243" s="4">
        <v>594834</v>
      </c>
      <c r="AB243" s="4">
        <v>594834</v>
      </c>
      <c r="AC243" s="4">
        <v>594834</v>
      </c>
      <c r="AD243" s="4">
        <v>594833</v>
      </c>
      <c r="AE243" s="4">
        <v>598092</v>
      </c>
      <c r="AF243" s="4">
        <v>1196184</v>
      </c>
      <c r="AG243" s="4">
        <v>1794276</v>
      </c>
      <c r="AH243" s="4">
        <v>2392368</v>
      </c>
      <c r="AI243" s="4">
        <v>2987202</v>
      </c>
      <c r="AJ243" s="4">
        <v>3582036</v>
      </c>
      <c r="AK243" s="4">
        <v>4176870</v>
      </c>
      <c r="AL243" s="4">
        <v>4771704</v>
      </c>
      <c r="AM243" s="4">
        <v>5366538</v>
      </c>
      <c r="AN243" s="4">
        <v>5961371</v>
      </c>
      <c r="AO243" s="150">
        <v>486945</v>
      </c>
    </row>
    <row r="244" spans="1:41" x14ac:dyDescent="0.2">
      <c r="A244" s="1">
        <v>2024</v>
      </c>
      <c r="B244" s="2" t="s">
        <v>268</v>
      </c>
      <c r="C244" s="2" t="s">
        <v>268</v>
      </c>
      <c r="D244" s="1" t="s">
        <v>613</v>
      </c>
      <c r="E244" s="3">
        <v>6816258</v>
      </c>
      <c r="F244" s="1">
        <v>862</v>
      </c>
      <c r="G244" s="1">
        <v>0</v>
      </c>
      <c r="H244" s="3">
        <v>23067</v>
      </c>
      <c r="I244" s="1">
        <v>0</v>
      </c>
      <c r="J244" s="3">
        <v>6815396</v>
      </c>
      <c r="K244" s="3">
        <v>6792329</v>
      </c>
      <c r="L244" s="3">
        <v>6792329</v>
      </c>
      <c r="M244" s="3">
        <v>197648</v>
      </c>
      <c r="N244" s="3">
        <v>643893</v>
      </c>
      <c r="O244" s="3">
        <v>74261</v>
      </c>
      <c r="P244" s="3">
        <v>79251</v>
      </c>
      <c r="Q244" s="3">
        <v>370078</v>
      </c>
      <c r="R244" s="3">
        <v>5450265</v>
      </c>
      <c r="S244" s="3">
        <v>5427198</v>
      </c>
      <c r="T244" s="3">
        <v>5427198</v>
      </c>
      <c r="U244" s="3">
        <v>681540</v>
      </c>
      <c r="V244" s="3">
        <v>681540</v>
      </c>
      <c r="W244" s="3">
        <v>681540</v>
      </c>
      <c r="X244" s="3">
        <v>681540</v>
      </c>
      <c r="Y244" s="3">
        <v>677695</v>
      </c>
      <c r="Z244" s="3">
        <v>677695</v>
      </c>
      <c r="AA244" s="4">
        <v>677695</v>
      </c>
      <c r="AB244" s="4">
        <v>677695</v>
      </c>
      <c r="AC244" s="4">
        <v>677695</v>
      </c>
      <c r="AD244" s="4">
        <v>677694</v>
      </c>
      <c r="AE244" s="4">
        <v>681540</v>
      </c>
      <c r="AF244" s="4">
        <v>1363080</v>
      </c>
      <c r="AG244" s="4">
        <v>2044620</v>
      </c>
      <c r="AH244" s="4">
        <v>2726160</v>
      </c>
      <c r="AI244" s="4">
        <v>3403855</v>
      </c>
      <c r="AJ244" s="4">
        <v>4081550</v>
      </c>
      <c r="AK244" s="4">
        <v>4759245</v>
      </c>
      <c r="AL244" s="4">
        <v>5436940</v>
      </c>
      <c r="AM244" s="4">
        <v>6114635</v>
      </c>
      <c r="AN244" s="4">
        <v>6792329</v>
      </c>
      <c r="AO244" s="150">
        <v>459028</v>
      </c>
    </row>
    <row r="245" spans="1:41" x14ac:dyDescent="0.2">
      <c r="A245" s="1">
        <v>2024</v>
      </c>
      <c r="B245" s="2" t="s">
        <v>269</v>
      </c>
      <c r="C245" s="2" t="s">
        <v>269</v>
      </c>
      <c r="D245" s="1" t="s">
        <v>614</v>
      </c>
      <c r="E245" s="3">
        <v>2693138</v>
      </c>
      <c r="F245" s="3">
        <v>365</v>
      </c>
      <c r="G245" s="3">
        <v>0</v>
      </c>
      <c r="H245" s="3">
        <v>9785</v>
      </c>
      <c r="I245" s="1">
        <v>0</v>
      </c>
      <c r="J245" s="3">
        <v>2692773</v>
      </c>
      <c r="K245" s="3">
        <v>2682988</v>
      </c>
      <c r="L245" s="3">
        <v>2682988</v>
      </c>
      <c r="M245" s="3">
        <v>83620</v>
      </c>
      <c r="N245" s="3">
        <v>289931</v>
      </c>
      <c r="O245" s="3">
        <v>31205</v>
      </c>
      <c r="P245" s="3">
        <v>32738</v>
      </c>
      <c r="Q245" s="3">
        <v>156994</v>
      </c>
      <c r="R245" s="3">
        <v>2098285</v>
      </c>
      <c r="S245" s="3">
        <v>2088500</v>
      </c>
      <c r="T245" s="3">
        <v>2088500</v>
      </c>
      <c r="U245" s="3">
        <v>269277</v>
      </c>
      <c r="V245" s="3">
        <v>269277</v>
      </c>
      <c r="W245" s="3">
        <v>269277</v>
      </c>
      <c r="X245" s="3">
        <v>269277</v>
      </c>
      <c r="Y245" s="3">
        <v>267647</v>
      </c>
      <c r="Z245" s="3">
        <v>267647</v>
      </c>
      <c r="AA245" s="4">
        <v>267647</v>
      </c>
      <c r="AB245" s="4">
        <v>267647</v>
      </c>
      <c r="AC245" s="4">
        <v>267647</v>
      </c>
      <c r="AD245" s="4">
        <v>267645</v>
      </c>
      <c r="AE245" s="4">
        <v>269277</v>
      </c>
      <c r="AF245" s="4">
        <v>538554</v>
      </c>
      <c r="AG245" s="4">
        <v>807831</v>
      </c>
      <c r="AH245" s="4">
        <v>1077108</v>
      </c>
      <c r="AI245" s="4">
        <v>1344755</v>
      </c>
      <c r="AJ245" s="4">
        <v>1612402</v>
      </c>
      <c r="AK245" s="4">
        <v>1880049</v>
      </c>
      <c r="AL245" s="4">
        <v>2147696</v>
      </c>
      <c r="AM245" s="4">
        <v>2415343</v>
      </c>
      <c r="AN245" s="4">
        <v>2682988</v>
      </c>
      <c r="AO245" s="150">
        <v>207243</v>
      </c>
    </row>
    <row r="246" spans="1:41" x14ac:dyDescent="0.2">
      <c r="A246" s="1">
        <v>2024</v>
      </c>
      <c r="B246" s="2" t="s">
        <v>270</v>
      </c>
      <c r="C246" s="2" t="s">
        <v>270</v>
      </c>
      <c r="D246" s="1" t="s">
        <v>615</v>
      </c>
      <c r="E246" s="3">
        <v>1265462</v>
      </c>
      <c r="F246" s="3">
        <v>166</v>
      </c>
      <c r="G246" s="3">
        <v>0</v>
      </c>
      <c r="H246" s="3">
        <v>4433</v>
      </c>
      <c r="I246" s="3">
        <v>0</v>
      </c>
      <c r="J246" s="3">
        <v>1265296</v>
      </c>
      <c r="K246" s="3">
        <v>1260863</v>
      </c>
      <c r="L246" s="3">
        <v>1260863</v>
      </c>
      <c r="M246" s="3">
        <v>38009</v>
      </c>
      <c r="N246" s="3">
        <v>140044</v>
      </c>
      <c r="O246" s="3">
        <v>16782</v>
      </c>
      <c r="P246" s="3">
        <v>15404</v>
      </c>
      <c r="Q246" s="3">
        <v>71560</v>
      </c>
      <c r="R246" s="3">
        <v>983497</v>
      </c>
      <c r="S246" s="3">
        <v>979064</v>
      </c>
      <c r="T246" s="3">
        <v>979064</v>
      </c>
      <c r="U246" s="3">
        <v>126530</v>
      </c>
      <c r="V246" s="3">
        <v>126530</v>
      </c>
      <c r="W246" s="3">
        <v>126530</v>
      </c>
      <c r="X246" s="3">
        <v>126530</v>
      </c>
      <c r="Y246" s="3">
        <v>125791</v>
      </c>
      <c r="Z246" s="3">
        <v>125791</v>
      </c>
      <c r="AA246" s="4">
        <v>125790</v>
      </c>
      <c r="AB246" s="4">
        <v>125790</v>
      </c>
      <c r="AC246" s="4">
        <v>125790</v>
      </c>
      <c r="AD246" s="4">
        <v>125791</v>
      </c>
      <c r="AE246" s="4">
        <v>126530</v>
      </c>
      <c r="AF246" s="4">
        <v>253060</v>
      </c>
      <c r="AG246" s="4">
        <v>379590</v>
      </c>
      <c r="AH246" s="4">
        <v>506120</v>
      </c>
      <c r="AI246" s="4">
        <v>631911</v>
      </c>
      <c r="AJ246" s="4">
        <v>757702</v>
      </c>
      <c r="AK246" s="4">
        <v>883492</v>
      </c>
      <c r="AL246" s="4">
        <v>1009282</v>
      </c>
      <c r="AM246" s="4">
        <v>1135072</v>
      </c>
      <c r="AN246" s="4">
        <v>1260863</v>
      </c>
      <c r="AO246" s="150">
        <v>105080</v>
      </c>
    </row>
    <row r="247" spans="1:41" x14ac:dyDescent="0.2">
      <c r="A247" s="1">
        <v>2024</v>
      </c>
      <c r="B247" s="2" t="s">
        <v>271</v>
      </c>
      <c r="C247" s="2" t="s">
        <v>271</v>
      </c>
      <c r="D247" s="1" t="s">
        <v>616</v>
      </c>
      <c r="E247" s="3">
        <v>3191533</v>
      </c>
      <c r="F247" s="3">
        <v>514</v>
      </c>
      <c r="G247" s="3">
        <v>0</v>
      </c>
      <c r="H247" s="3">
        <v>13109</v>
      </c>
      <c r="I247" s="1">
        <v>0</v>
      </c>
      <c r="J247" s="3">
        <v>3191019</v>
      </c>
      <c r="K247" s="3">
        <v>3177910</v>
      </c>
      <c r="L247" s="3">
        <v>3177910</v>
      </c>
      <c r="M247" s="3">
        <v>117829</v>
      </c>
      <c r="N247" s="3">
        <v>367422</v>
      </c>
      <c r="O247" s="3">
        <v>41444</v>
      </c>
      <c r="P247" s="3">
        <v>42917</v>
      </c>
      <c r="Q247" s="3">
        <v>210320</v>
      </c>
      <c r="R247" s="3">
        <v>2411087</v>
      </c>
      <c r="S247" s="3">
        <v>2397978</v>
      </c>
      <c r="T247" s="3">
        <v>2397978</v>
      </c>
      <c r="U247" s="3">
        <v>319102</v>
      </c>
      <c r="V247" s="3">
        <v>319102</v>
      </c>
      <c r="W247" s="3">
        <v>319102</v>
      </c>
      <c r="X247" s="3">
        <v>319102</v>
      </c>
      <c r="Y247" s="3">
        <v>316917</v>
      </c>
      <c r="Z247" s="3">
        <v>316917</v>
      </c>
      <c r="AA247" s="4">
        <v>316917</v>
      </c>
      <c r="AB247" s="4">
        <v>316917</v>
      </c>
      <c r="AC247" s="4">
        <v>316917</v>
      </c>
      <c r="AD247" s="4">
        <v>316917</v>
      </c>
      <c r="AE247" s="4">
        <v>319102</v>
      </c>
      <c r="AF247" s="4">
        <v>638204</v>
      </c>
      <c r="AG247" s="4">
        <v>957306</v>
      </c>
      <c r="AH247" s="4">
        <v>1276408</v>
      </c>
      <c r="AI247" s="4">
        <v>1593325</v>
      </c>
      <c r="AJ247" s="4">
        <v>1910242</v>
      </c>
      <c r="AK247" s="4">
        <v>2227159</v>
      </c>
      <c r="AL247" s="4">
        <v>2544076</v>
      </c>
      <c r="AM247" s="4">
        <v>2860993</v>
      </c>
      <c r="AN247" s="4">
        <v>3177910</v>
      </c>
      <c r="AO247" s="150">
        <v>271891</v>
      </c>
    </row>
    <row r="248" spans="1:41" x14ac:dyDescent="0.2">
      <c r="A248" s="1">
        <v>2024</v>
      </c>
      <c r="B248" s="2" t="s">
        <v>272</v>
      </c>
      <c r="C248" s="2" t="s">
        <v>272</v>
      </c>
      <c r="D248" s="1" t="s">
        <v>617</v>
      </c>
      <c r="E248" s="3">
        <v>3160225</v>
      </c>
      <c r="F248" s="3">
        <v>779</v>
      </c>
      <c r="G248" s="3">
        <v>25759</v>
      </c>
      <c r="H248" s="3">
        <v>24509</v>
      </c>
      <c r="I248" s="3">
        <v>0</v>
      </c>
      <c r="J248" s="3">
        <v>3133687</v>
      </c>
      <c r="K248" s="3">
        <v>3109178</v>
      </c>
      <c r="L248" s="3">
        <v>3109178</v>
      </c>
      <c r="M248" s="3">
        <v>178644</v>
      </c>
      <c r="N248" s="3">
        <v>744265</v>
      </c>
      <c r="O248" s="3">
        <v>95208</v>
      </c>
      <c r="P248" s="3">
        <v>80260</v>
      </c>
      <c r="Q248" s="3">
        <v>393222</v>
      </c>
      <c r="R248" s="3">
        <v>1642088</v>
      </c>
      <c r="S248" s="3">
        <v>1617579</v>
      </c>
      <c r="T248" s="3">
        <v>1617579</v>
      </c>
      <c r="U248" s="3">
        <v>313369</v>
      </c>
      <c r="V248" s="3">
        <v>313369</v>
      </c>
      <c r="W248" s="3">
        <v>313369</v>
      </c>
      <c r="X248" s="3">
        <v>313369</v>
      </c>
      <c r="Y248" s="3">
        <v>309284</v>
      </c>
      <c r="Z248" s="3">
        <v>309284</v>
      </c>
      <c r="AA248" s="4">
        <v>309284</v>
      </c>
      <c r="AB248" s="4">
        <v>309284</v>
      </c>
      <c r="AC248" s="4">
        <v>309284</v>
      </c>
      <c r="AD248" s="4">
        <v>309282</v>
      </c>
      <c r="AE248" s="4">
        <v>313369</v>
      </c>
      <c r="AF248" s="4">
        <v>626738</v>
      </c>
      <c r="AG248" s="4">
        <v>940107</v>
      </c>
      <c r="AH248" s="4">
        <v>1253476</v>
      </c>
      <c r="AI248" s="4">
        <v>1562760</v>
      </c>
      <c r="AJ248" s="4">
        <v>1872044</v>
      </c>
      <c r="AK248" s="4">
        <v>2181328</v>
      </c>
      <c r="AL248" s="4">
        <v>2490612</v>
      </c>
      <c r="AM248" s="4">
        <v>2799896</v>
      </c>
      <c r="AN248" s="4">
        <v>3109178</v>
      </c>
      <c r="AO248" s="150">
        <v>488710</v>
      </c>
    </row>
    <row r="249" spans="1:41" x14ac:dyDescent="0.2">
      <c r="A249" s="1">
        <v>2024</v>
      </c>
      <c r="B249" s="2" t="s">
        <v>273</v>
      </c>
      <c r="C249" s="2" t="s">
        <v>273</v>
      </c>
      <c r="D249" s="1" t="s">
        <v>618</v>
      </c>
      <c r="E249" s="3">
        <v>1946289</v>
      </c>
      <c r="F249" s="1">
        <v>282</v>
      </c>
      <c r="G249" s="1">
        <v>0</v>
      </c>
      <c r="H249" s="3">
        <v>8177</v>
      </c>
      <c r="I249" s="1">
        <v>0</v>
      </c>
      <c r="J249" s="3">
        <v>1946007</v>
      </c>
      <c r="K249" s="3">
        <v>1937830</v>
      </c>
      <c r="L249" s="3">
        <v>1937830</v>
      </c>
      <c r="M249" s="3">
        <v>64616</v>
      </c>
      <c r="N249" s="3">
        <v>251104</v>
      </c>
      <c r="O249" s="3">
        <v>25054</v>
      </c>
      <c r="P249" s="3">
        <v>28276</v>
      </c>
      <c r="Q249" s="3">
        <v>133102</v>
      </c>
      <c r="R249" s="3">
        <v>1443855</v>
      </c>
      <c r="S249" s="3">
        <v>1435678</v>
      </c>
      <c r="T249" s="3">
        <v>1435678</v>
      </c>
      <c r="U249" s="3">
        <v>194601</v>
      </c>
      <c r="V249" s="3">
        <v>194601</v>
      </c>
      <c r="W249" s="3">
        <v>194601</v>
      </c>
      <c r="X249" s="3">
        <v>194601</v>
      </c>
      <c r="Y249" s="3">
        <v>193238</v>
      </c>
      <c r="Z249" s="3">
        <v>193238</v>
      </c>
      <c r="AA249" s="4">
        <v>193238</v>
      </c>
      <c r="AB249" s="4">
        <v>193238</v>
      </c>
      <c r="AC249" s="4">
        <v>193238</v>
      </c>
      <c r="AD249" s="4">
        <v>193236</v>
      </c>
      <c r="AE249" s="4">
        <v>194601</v>
      </c>
      <c r="AF249" s="4">
        <v>389202</v>
      </c>
      <c r="AG249" s="4">
        <v>583803</v>
      </c>
      <c r="AH249" s="4">
        <v>778404</v>
      </c>
      <c r="AI249" s="4">
        <v>971642</v>
      </c>
      <c r="AJ249" s="4">
        <v>1164880</v>
      </c>
      <c r="AK249" s="4">
        <v>1358118</v>
      </c>
      <c r="AL249" s="4">
        <v>1551356</v>
      </c>
      <c r="AM249" s="4">
        <v>1744594</v>
      </c>
      <c r="AN249" s="4">
        <v>1937830</v>
      </c>
      <c r="AO249" s="150">
        <v>176814</v>
      </c>
    </row>
    <row r="250" spans="1:41" x14ac:dyDescent="0.2">
      <c r="A250" s="1">
        <v>2024</v>
      </c>
      <c r="B250" s="2" t="s">
        <v>274</v>
      </c>
      <c r="C250" s="2" t="s">
        <v>274</v>
      </c>
      <c r="D250" s="1" t="s">
        <v>619</v>
      </c>
      <c r="E250" s="3">
        <v>964736</v>
      </c>
      <c r="F250" s="3">
        <v>216</v>
      </c>
      <c r="G250" s="3">
        <v>0</v>
      </c>
      <c r="H250" s="3">
        <v>4962</v>
      </c>
      <c r="I250" s="1">
        <v>0</v>
      </c>
      <c r="J250" s="3">
        <v>964520</v>
      </c>
      <c r="K250" s="3">
        <v>959558</v>
      </c>
      <c r="L250" s="3">
        <v>959558</v>
      </c>
      <c r="M250" s="3">
        <v>49412</v>
      </c>
      <c r="N250" s="3">
        <v>128440</v>
      </c>
      <c r="O250" s="3">
        <v>15395</v>
      </c>
      <c r="P250" s="3">
        <v>11691</v>
      </c>
      <c r="Q250" s="3">
        <v>80863</v>
      </c>
      <c r="R250" s="3">
        <v>678719</v>
      </c>
      <c r="S250" s="3">
        <v>673757</v>
      </c>
      <c r="T250" s="3">
        <v>673757</v>
      </c>
      <c r="U250" s="3">
        <v>96452</v>
      </c>
      <c r="V250" s="3">
        <v>96452</v>
      </c>
      <c r="W250" s="3">
        <v>96452</v>
      </c>
      <c r="X250" s="3">
        <v>96452</v>
      </c>
      <c r="Y250" s="3">
        <v>95625</v>
      </c>
      <c r="Z250" s="3">
        <v>95625</v>
      </c>
      <c r="AA250" s="4">
        <v>95625</v>
      </c>
      <c r="AB250" s="4">
        <v>95625</v>
      </c>
      <c r="AC250" s="4">
        <v>95625</v>
      </c>
      <c r="AD250" s="4">
        <v>95625</v>
      </c>
      <c r="AE250" s="4">
        <v>96452</v>
      </c>
      <c r="AF250" s="4">
        <v>192904</v>
      </c>
      <c r="AG250" s="4">
        <v>289356</v>
      </c>
      <c r="AH250" s="4">
        <v>385808</v>
      </c>
      <c r="AI250" s="4">
        <v>481433</v>
      </c>
      <c r="AJ250" s="4">
        <v>577058</v>
      </c>
      <c r="AK250" s="4">
        <v>672683</v>
      </c>
      <c r="AL250" s="4">
        <v>768308</v>
      </c>
      <c r="AM250" s="4">
        <v>863933</v>
      </c>
      <c r="AN250" s="4">
        <v>959558</v>
      </c>
      <c r="AO250" s="150">
        <v>125755</v>
      </c>
    </row>
    <row r="251" spans="1:41" x14ac:dyDescent="0.2">
      <c r="A251" s="1">
        <v>2024</v>
      </c>
      <c r="B251" s="2" t="s">
        <v>275</v>
      </c>
      <c r="C251" s="2" t="s">
        <v>275</v>
      </c>
      <c r="D251" s="1" t="s">
        <v>620</v>
      </c>
      <c r="E251" s="3">
        <v>8482761</v>
      </c>
      <c r="F251" s="3">
        <v>1078</v>
      </c>
      <c r="G251" s="3">
        <v>0</v>
      </c>
      <c r="H251" s="3">
        <v>32700</v>
      </c>
      <c r="I251" s="1">
        <v>0</v>
      </c>
      <c r="J251" s="3">
        <v>8481683</v>
      </c>
      <c r="K251" s="3">
        <v>8448983</v>
      </c>
      <c r="L251" s="3">
        <v>8448983</v>
      </c>
      <c r="M251" s="3">
        <v>247060</v>
      </c>
      <c r="N251" s="3">
        <v>943249</v>
      </c>
      <c r="O251" s="3">
        <v>111710</v>
      </c>
      <c r="P251" s="3">
        <v>113347</v>
      </c>
      <c r="Q251" s="3">
        <v>524639</v>
      </c>
      <c r="R251" s="3">
        <v>6541678</v>
      </c>
      <c r="S251" s="3">
        <v>6508978</v>
      </c>
      <c r="T251" s="3">
        <v>6508978</v>
      </c>
      <c r="U251" s="3">
        <v>848168</v>
      </c>
      <c r="V251" s="3">
        <v>848168</v>
      </c>
      <c r="W251" s="3">
        <v>848168</v>
      </c>
      <c r="X251" s="3">
        <v>848168</v>
      </c>
      <c r="Y251" s="3">
        <v>842719</v>
      </c>
      <c r="Z251" s="3">
        <v>842719</v>
      </c>
      <c r="AA251" s="4">
        <v>842718</v>
      </c>
      <c r="AB251" s="4">
        <v>842718</v>
      </c>
      <c r="AC251" s="4">
        <v>842718</v>
      </c>
      <c r="AD251" s="4">
        <v>842719</v>
      </c>
      <c r="AE251" s="4">
        <v>848168</v>
      </c>
      <c r="AF251" s="4">
        <v>1696336</v>
      </c>
      <c r="AG251" s="4">
        <v>2544504</v>
      </c>
      <c r="AH251" s="4">
        <v>3392672</v>
      </c>
      <c r="AI251" s="4">
        <v>4235391</v>
      </c>
      <c r="AJ251" s="4">
        <v>5078110</v>
      </c>
      <c r="AK251" s="4">
        <v>5920828</v>
      </c>
      <c r="AL251" s="4">
        <v>6763546</v>
      </c>
      <c r="AM251" s="4">
        <v>7606264</v>
      </c>
      <c r="AN251" s="4">
        <v>8448983</v>
      </c>
      <c r="AO251" s="150">
        <v>737987</v>
      </c>
    </row>
    <row r="252" spans="1:41" x14ac:dyDescent="0.2">
      <c r="A252" s="1">
        <v>2024</v>
      </c>
      <c r="B252" s="2" t="s">
        <v>276</v>
      </c>
      <c r="C252" s="2" t="s">
        <v>276</v>
      </c>
      <c r="D252" s="1" t="s">
        <v>621</v>
      </c>
      <c r="E252" s="3">
        <v>1501254</v>
      </c>
      <c r="F252" s="1">
        <v>216</v>
      </c>
      <c r="G252" s="1">
        <v>0</v>
      </c>
      <c r="H252" s="3">
        <v>5444</v>
      </c>
      <c r="I252" s="1">
        <v>0</v>
      </c>
      <c r="J252" s="3">
        <v>1501038</v>
      </c>
      <c r="K252" s="3">
        <v>1495594</v>
      </c>
      <c r="L252" s="3">
        <v>1495594</v>
      </c>
      <c r="M252" s="3">
        <v>49412</v>
      </c>
      <c r="N252" s="3">
        <v>196325</v>
      </c>
      <c r="O252" s="3">
        <v>22272</v>
      </c>
      <c r="P252" s="3">
        <v>21679</v>
      </c>
      <c r="Q252" s="3">
        <v>91096</v>
      </c>
      <c r="R252" s="3">
        <v>1120254</v>
      </c>
      <c r="S252" s="3">
        <v>1114810</v>
      </c>
      <c r="T252" s="3">
        <v>1114810</v>
      </c>
      <c r="U252" s="3">
        <v>150104</v>
      </c>
      <c r="V252" s="3">
        <v>150104</v>
      </c>
      <c r="W252" s="3">
        <v>150104</v>
      </c>
      <c r="X252" s="3">
        <v>150104</v>
      </c>
      <c r="Y252" s="3">
        <v>149196</v>
      </c>
      <c r="Z252" s="3">
        <v>149196</v>
      </c>
      <c r="AA252" s="4">
        <v>149197</v>
      </c>
      <c r="AB252" s="4">
        <v>149197</v>
      </c>
      <c r="AC252" s="4">
        <v>149197</v>
      </c>
      <c r="AD252" s="4">
        <v>149195</v>
      </c>
      <c r="AE252" s="4">
        <v>150104</v>
      </c>
      <c r="AF252" s="4">
        <v>300208</v>
      </c>
      <c r="AG252" s="4">
        <v>450312</v>
      </c>
      <c r="AH252" s="4">
        <v>600416</v>
      </c>
      <c r="AI252" s="4">
        <v>749612</v>
      </c>
      <c r="AJ252" s="4">
        <v>898808</v>
      </c>
      <c r="AK252" s="4">
        <v>1048005</v>
      </c>
      <c r="AL252" s="4">
        <v>1197202</v>
      </c>
      <c r="AM252" s="4">
        <v>1346399</v>
      </c>
      <c r="AN252" s="4">
        <v>1495594</v>
      </c>
      <c r="AO252" s="150">
        <v>112437</v>
      </c>
    </row>
    <row r="253" spans="1:41" x14ac:dyDescent="0.2">
      <c r="A253" s="1">
        <v>2024</v>
      </c>
      <c r="B253" s="2" t="s">
        <v>277</v>
      </c>
      <c r="C253" s="2" t="s">
        <v>277</v>
      </c>
      <c r="D253" s="1" t="s">
        <v>622</v>
      </c>
      <c r="E253" s="3">
        <v>4661821</v>
      </c>
      <c r="F253" s="3">
        <v>680</v>
      </c>
      <c r="G253" s="3">
        <v>5430</v>
      </c>
      <c r="H253" s="3">
        <v>17545</v>
      </c>
      <c r="I253" s="1">
        <v>0</v>
      </c>
      <c r="J253" s="3">
        <v>4655711</v>
      </c>
      <c r="K253" s="3">
        <v>4638166</v>
      </c>
      <c r="L253" s="3">
        <v>4638166</v>
      </c>
      <c r="M253" s="3">
        <v>152131</v>
      </c>
      <c r="N253" s="3">
        <v>546568</v>
      </c>
      <c r="O253" s="3">
        <v>52420</v>
      </c>
      <c r="P253" s="3">
        <v>62624</v>
      </c>
      <c r="Q253" s="3">
        <v>281483</v>
      </c>
      <c r="R253" s="3">
        <v>3560485</v>
      </c>
      <c r="S253" s="3">
        <v>3542940</v>
      </c>
      <c r="T253" s="3">
        <v>3542940</v>
      </c>
      <c r="U253" s="3">
        <v>465571</v>
      </c>
      <c r="V253" s="3">
        <v>465571</v>
      </c>
      <c r="W253" s="3">
        <v>465571</v>
      </c>
      <c r="X253" s="3">
        <v>465571</v>
      </c>
      <c r="Y253" s="3">
        <v>462647</v>
      </c>
      <c r="Z253" s="3">
        <v>462647</v>
      </c>
      <c r="AA253" s="4">
        <v>462647</v>
      </c>
      <c r="AB253" s="4">
        <v>462647</v>
      </c>
      <c r="AC253" s="4">
        <v>462647</v>
      </c>
      <c r="AD253" s="4">
        <v>462647</v>
      </c>
      <c r="AE253" s="4">
        <v>465571</v>
      </c>
      <c r="AF253" s="4">
        <v>931142</v>
      </c>
      <c r="AG253" s="4">
        <v>1396713</v>
      </c>
      <c r="AH253" s="4">
        <v>1862284</v>
      </c>
      <c r="AI253" s="4">
        <v>2324931</v>
      </c>
      <c r="AJ253" s="4">
        <v>2787578</v>
      </c>
      <c r="AK253" s="4">
        <v>3250225</v>
      </c>
      <c r="AL253" s="4">
        <v>3712872</v>
      </c>
      <c r="AM253" s="4">
        <v>4175519</v>
      </c>
      <c r="AN253" s="4">
        <v>4638166</v>
      </c>
      <c r="AO253" s="150">
        <v>384818</v>
      </c>
    </row>
    <row r="254" spans="1:41" x14ac:dyDescent="0.2">
      <c r="A254" s="1">
        <v>2024</v>
      </c>
      <c r="B254" s="2" t="s">
        <v>278</v>
      </c>
      <c r="C254" s="2" t="s">
        <v>278</v>
      </c>
      <c r="D254" s="1" t="s">
        <v>623</v>
      </c>
      <c r="E254" s="3">
        <v>7919041</v>
      </c>
      <c r="F254" s="3">
        <v>1377</v>
      </c>
      <c r="G254" s="3">
        <v>0</v>
      </c>
      <c r="H254" s="3">
        <v>25327</v>
      </c>
      <c r="I254" s="1">
        <v>0</v>
      </c>
      <c r="J254" s="3">
        <v>7917664</v>
      </c>
      <c r="K254" s="3">
        <v>7892337</v>
      </c>
      <c r="L254" s="3">
        <v>7892337</v>
      </c>
      <c r="M254" s="3">
        <v>315476</v>
      </c>
      <c r="N254" s="3">
        <v>699434</v>
      </c>
      <c r="O254" s="3">
        <v>86642</v>
      </c>
      <c r="P254" s="3">
        <v>74580</v>
      </c>
      <c r="Q254" s="3">
        <v>406341</v>
      </c>
      <c r="R254" s="3">
        <v>6335191</v>
      </c>
      <c r="S254" s="3">
        <v>6309864</v>
      </c>
      <c r="T254" s="3">
        <v>6309864</v>
      </c>
      <c r="U254" s="3">
        <v>791766</v>
      </c>
      <c r="V254" s="3">
        <v>791766</v>
      </c>
      <c r="W254" s="3">
        <v>791766</v>
      </c>
      <c r="X254" s="3">
        <v>791766</v>
      </c>
      <c r="Y254" s="3">
        <v>787546</v>
      </c>
      <c r="Z254" s="3">
        <v>787546</v>
      </c>
      <c r="AA254" s="4">
        <v>787545</v>
      </c>
      <c r="AB254" s="4">
        <v>787545</v>
      </c>
      <c r="AC254" s="4">
        <v>787545</v>
      </c>
      <c r="AD254" s="4">
        <v>787546</v>
      </c>
      <c r="AE254" s="4">
        <v>791766</v>
      </c>
      <c r="AF254" s="4">
        <v>1583532</v>
      </c>
      <c r="AG254" s="4">
        <v>2375298</v>
      </c>
      <c r="AH254" s="4">
        <v>3167064</v>
      </c>
      <c r="AI254" s="4">
        <v>3954610</v>
      </c>
      <c r="AJ254" s="4">
        <v>4742156</v>
      </c>
      <c r="AK254" s="4">
        <v>5529701</v>
      </c>
      <c r="AL254" s="4">
        <v>6317246</v>
      </c>
      <c r="AM254" s="4">
        <v>7104791</v>
      </c>
      <c r="AN254" s="4">
        <v>7892337</v>
      </c>
      <c r="AO254" s="150">
        <v>576084</v>
      </c>
    </row>
    <row r="255" spans="1:41" x14ac:dyDescent="0.2">
      <c r="A255" s="1">
        <v>2024</v>
      </c>
      <c r="B255" s="2" t="s">
        <v>279</v>
      </c>
      <c r="C255" s="2" t="s">
        <v>279</v>
      </c>
      <c r="D255" s="1" t="s">
        <v>624</v>
      </c>
      <c r="E255" s="3">
        <v>7128580</v>
      </c>
      <c r="F255" s="3">
        <v>580</v>
      </c>
      <c r="G255" s="3">
        <v>31946</v>
      </c>
      <c r="H255" s="3">
        <v>24125</v>
      </c>
      <c r="I255" s="1">
        <v>0</v>
      </c>
      <c r="J255" s="3">
        <v>7096054</v>
      </c>
      <c r="K255" s="3">
        <v>7071929</v>
      </c>
      <c r="L255" s="3">
        <v>7071929</v>
      </c>
      <c r="M255" s="3">
        <v>133033</v>
      </c>
      <c r="N255" s="3">
        <v>720506</v>
      </c>
      <c r="O255" s="3">
        <v>91240</v>
      </c>
      <c r="P255" s="3">
        <v>78352</v>
      </c>
      <c r="Q255" s="3">
        <v>387067</v>
      </c>
      <c r="R255" s="3">
        <v>5685856</v>
      </c>
      <c r="S255" s="3">
        <v>5661731</v>
      </c>
      <c r="T255" s="3">
        <v>5661731</v>
      </c>
      <c r="U255" s="3">
        <v>709605</v>
      </c>
      <c r="V255" s="3">
        <v>709605</v>
      </c>
      <c r="W255" s="3">
        <v>709605</v>
      </c>
      <c r="X255" s="3">
        <v>709605</v>
      </c>
      <c r="Y255" s="3">
        <v>705585</v>
      </c>
      <c r="Z255" s="3">
        <v>705585</v>
      </c>
      <c r="AA255" s="4">
        <v>705585</v>
      </c>
      <c r="AB255" s="4">
        <v>705585</v>
      </c>
      <c r="AC255" s="4">
        <v>705585</v>
      </c>
      <c r="AD255" s="4">
        <v>705584</v>
      </c>
      <c r="AE255" s="4">
        <v>709605</v>
      </c>
      <c r="AF255" s="4">
        <v>1419210</v>
      </c>
      <c r="AG255" s="4">
        <v>2128815</v>
      </c>
      <c r="AH255" s="4">
        <v>2838420</v>
      </c>
      <c r="AI255" s="4">
        <v>3544005</v>
      </c>
      <c r="AJ255" s="4">
        <v>4249590</v>
      </c>
      <c r="AK255" s="4">
        <v>4955175</v>
      </c>
      <c r="AL255" s="4">
        <v>5660760</v>
      </c>
      <c r="AM255" s="4">
        <v>6366345</v>
      </c>
      <c r="AN255" s="4">
        <v>7071929</v>
      </c>
      <c r="AO255" s="150">
        <v>503028</v>
      </c>
    </row>
    <row r="256" spans="1:41" x14ac:dyDescent="0.2">
      <c r="A256" s="1">
        <v>2024</v>
      </c>
      <c r="B256" s="2" t="s">
        <v>280</v>
      </c>
      <c r="C256" s="2" t="s">
        <v>280</v>
      </c>
      <c r="D256" s="1" t="s">
        <v>625</v>
      </c>
      <c r="E256" s="3">
        <v>4451607</v>
      </c>
      <c r="F256" s="3">
        <v>680</v>
      </c>
      <c r="G256" s="3">
        <v>0</v>
      </c>
      <c r="H256" s="3">
        <v>15826</v>
      </c>
      <c r="I256" s="1">
        <v>0</v>
      </c>
      <c r="J256" s="3">
        <v>4450927</v>
      </c>
      <c r="K256" s="3">
        <v>4435101</v>
      </c>
      <c r="L256" s="3">
        <v>4435101</v>
      </c>
      <c r="M256" s="3">
        <v>155838</v>
      </c>
      <c r="N256" s="3">
        <v>470936</v>
      </c>
      <c r="O256" s="3">
        <v>55259</v>
      </c>
      <c r="P256" s="3">
        <v>48478</v>
      </c>
      <c r="Q256" s="3">
        <v>254038</v>
      </c>
      <c r="R256" s="3">
        <v>3466378</v>
      </c>
      <c r="S256" s="3">
        <v>3450552</v>
      </c>
      <c r="T256" s="3">
        <v>3450552</v>
      </c>
      <c r="U256" s="3">
        <v>445093</v>
      </c>
      <c r="V256" s="3">
        <v>445093</v>
      </c>
      <c r="W256" s="3">
        <v>445093</v>
      </c>
      <c r="X256" s="3">
        <v>445093</v>
      </c>
      <c r="Y256" s="3">
        <v>442455</v>
      </c>
      <c r="Z256" s="3">
        <v>442455</v>
      </c>
      <c r="AA256" s="4">
        <v>442455</v>
      </c>
      <c r="AB256" s="4">
        <v>442455</v>
      </c>
      <c r="AC256" s="4">
        <v>442455</v>
      </c>
      <c r="AD256" s="4">
        <v>442454</v>
      </c>
      <c r="AE256" s="4">
        <v>445093</v>
      </c>
      <c r="AF256" s="4">
        <v>890186</v>
      </c>
      <c r="AG256" s="4">
        <v>1335279</v>
      </c>
      <c r="AH256" s="4">
        <v>1780372</v>
      </c>
      <c r="AI256" s="4">
        <v>2222827</v>
      </c>
      <c r="AJ256" s="4">
        <v>2665282</v>
      </c>
      <c r="AK256" s="4">
        <v>3107737</v>
      </c>
      <c r="AL256" s="4">
        <v>3550192</v>
      </c>
      <c r="AM256" s="4">
        <v>3992647</v>
      </c>
      <c r="AN256" s="4">
        <v>4435101</v>
      </c>
      <c r="AO256" s="150">
        <v>327002</v>
      </c>
    </row>
    <row r="257" spans="1:41" x14ac:dyDescent="0.2">
      <c r="A257" s="1">
        <v>2024</v>
      </c>
      <c r="B257" s="2" t="s">
        <v>281</v>
      </c>
      <c r="C257" s="2" t="s">
        <v>281</v>
      </c>
      <c r="D257" s="1" t="s">
        <v>626</v>
      </c>
      <c r="E257" s="3">
        <v>2746106</v>
      </c>
      <c r="F257" s="3">
        <v>398</v>
      </c>
      <c r="G257" s="3">
        <v>13216</v>
      </c>
      <c r="H257" s="3">
        <v>8866</v>
      </c>
      <c r="I257" s="1">
        <v>0</v>
      </c>
      <c r="J257" s="3">
        <v>2732492</v>
      </c>
      <c r="K257" s="3">
        <v>2723626</v>
      </c>
      <c r="L257" s="3">
        <v>2723626</v>
      </c>
      <c r="M257" s="3">
        <v>91222</v>
      </c>
      <c r="N257" s="3">
        <v>280178</v>
      </c>
      <c r="O257" s="3">
        <v>31760</v>
      </c>
      <c r="P257" s="3">
        <v>29780</v>
      </c>
      <c r="Q257" s="3">
        <v>142253</v>
      </c>
      <c r="R257" s="3">
        <v>2157299</v>
      </c>
      <c r="S257" s="3">
        <v>2148433</v>
      </c>
      <c r="T257" s="3">
        <v>2148433</v>
      </c>
      <c r="U257" s="3">
        <v>273249</v>
      </c>
      <c r="V257" s="3">
        <v>273249</v>
      </c>
      <c r="W257" s="3">
        <v>273249</v>
      </c>
      <c r="X257" s="3">
        <v>273249</v>
      </c>
      <c r="Y257" s="3">
        <v>271772</v>
      </c>
      <c r="Z257" s="3">
        <v>271772</v>
      </c>
      <c r="AA257" s="4">
        <v>271772</v>
      </c>
      <c r="AB257" s="4">
        <v>271772</v>
      </c>
      <c r="AC257" s="4">
        <v>271772</v>
      </c>
      <c r="AD257" s="4">
        <v>271770</v>
      </c>
      <c r="AE257" s="4">
        <v>273249</v>
      </c>
      <c r="AF257" s="4">
        <v>546498</v>
      </c>
      <c r="AG257" s="4">
        <v>819747</v>
      </c>
      <c r="AH257" s="4">
        <v>1092996</v>
      </c>
      <c r="AI257" s="4">
        <v>1364768</v>
      </c>
      <c r="AJ257" s="4">
        <v>1636540</v>
      </c>
      <c r="AK257" s="4">
        <v>1908312</v>
      </c>
      <c r="AL257" s="4">
        <v>2180084</v>
      </c>
      <c r="AM257" s="4">
        <v>2451856</v>
      </c>
      <c r="AN257" s="4">
        <v>2723626</v>
      </c>
      <c r="AO257" s="150">
        <v>186770</v>
      </c>
    </row>
    <row r="258" spans="1:41" x14ac:dyDescent="0.2">
      <c r="A258" s="1">
        <v>2024</v>
      </c>
      <c r="B258" s="2" t="s">
        <v>282</v>
      </c>
      <c r="C258" s="2" t="s">
        <v>282</v>
      </c>
      <c r="D258" s="1" t="s">
        <v>627</v>
      </c>
      <c r="E258" s="3">
        <v>4004185</v>
      </c>
      <c r="F258" s="3">
        <v>514</v>
      </c>
      <c r="G258" s="3">
        <v>0</v>
      </c>
      <c r="H258" s="3">
        <v>12686</v>
      </c>
      <c r="I258" s="1">
        <v>0</v>
      </c>
      <c r="J258" s="3">
        <v>4003671</v>
      </c>
      <c r="K258" s="3">
        <v>3990985</v>
      </c>
      <c r="L258" s="3">
        <v>3990985</v>
      </c>
      <c r="M258" s="3">
        <v>117829</v>
      </c>
      <c r="N258" s="3">
        <v>385257</v>
      </c>
      <c r="O258" s="3">
        <v>42477</v>
      </c>
      <c r="P258" s="3">
        <v>40649</v>
      </c>
      <c r="Q258" s="3">
        <v>203539</v>
      </c>
      <c r="R258" s="3">
        <v>3213920</v>
      </c>
      <c r="S258" s="3">
        <v>3201234</v>
      </c>
      <c r="T258" s="3">
        <v>3201234</v>
      </c>
      <c r="U258" s="3">
        <v>400367</v>
      </c>
      <c r="V258" s="3">
        <v>400367</v>
      </c>
      <c r="W258" s="3">
        <v>400367</v>
      </c>
      <c r="X258" s="3">
        <v>400367</v>
      </c>
      <c r="Y258" s="3">
        <v>398253</v>
      </c>
      <c r="Z258" s="3">
        <v>398253</v>
      </c>
      <c r="AA258" s="4">
        <v>398253</v>
      </c>
      <c r="AB258" s="4">
        <v>398253</v>
      </c>
      <c r="AC258" s="4">
        <v>398253</v>
      </c>
      <c r="AD258" s="4">
        <v>398252</v>
      </c>
      <c r="AE258" s="4">
        <v>400367</v>
      </c>
      <c r="AF258" s="4">
        <v>800734</v>
      </c>
      <c r="AG258" s="4">
        <v>1201101</v>
      </c>
      <c r="AH258" s="4">
        <v>1601468</v>
      </c>
      <c r="AI258" s="4">
        <v>1999721</v>
      </c>
      <c r="AJ258" s="4">
        <v>2397974</v>
      </c>
      <c r="AK258" s="4">
        <v>2796227</v>
      </c>
      <c r="AL258" s="4">
        <v>3194480</v>
      </c>
      <c r="AM258" s="4">
        <v>3592733</v>
      </c>
      <c r="AN258" s="4">
        <v>3990985</v>
      </c>
      <c r="AO258" s="150">
        <v>254065</v>
      </c>
    </row>
    <row r="259" spans="1:41" x14ac:dyDescent="0.2">
      <c r="A259" s="1">
        <v>2024</v>
      </c>
      <c r="B259" s="2" t="s">
        <v>283</v>
      </c>
      <c r="C259" s="2" t="s">
        <v>283</v>
      </c>
      <c r="D259" s="1" t="s">
        <v>628</v>
      </c>
      <c r="E259" s="3">
        <v>11083010</v>
      </c>
      <c r="F259" s="3">
        <v>2239</v>
      </c>
      <c r="G259" s="3">
        <v>0</v>
      </c>
      <c r="H259" s="3">
        <v>34464</v>
      </c>
      <c r="I259" s="1">
        <v>0</v>
      </c>
      <c r="J259" s="3">
        <v>11080771</v>
      </c>
      <c r="K259" s="3">
        <v>11046307</v>
      </c>
      <c r="L259" s="3">
        <v>11046307</v>
      </c>
      <c r="M259" s="3">
        <v>513124</v>
      </c>
      <c r="N259" s="3">
        <v>990534</v>
      </c>
      <c r="O259" s="3">
        <v>132620</v>
      </c>
      <c r="P259" s="3">
        <v>125689</v>
      </c>
      <c r="Q259" s="3">
        <v>552942</v>
      </c>
      <c r="R259" s="3">
        <v>8765862</v>
      </c>
      <c r="S259" s="3">
        <v>8731398</v>
      </c>
      <c r="T259" s="3">
        <v>8731398</v>
      </c>
      <c r="U259" s="3">
        <v>1108077</v>
      </c>
      <c r="V259" s="3">
        <v>1108077</v>
      </c>
      <c r="W259" s="3">
        <v>1108077</v>
      </c>
      <c r="X259" s="3">
        <v>1108077</v>
      </c>
      <c r="Y259" s="3">
        <v>1102333</v>
      </c>
      <c r="Z259" s="3">
        <v>1102333</v>
      </c>
      <c r="AA259" s="4">
        <v>1102333</v>
      </c>
      <c r="AB259" s="4">
        <v>1102333</v>
      </c>
      <c r="AC259" s="4">
        <v>1102333</v>
      </c>
      <c r="AD259" s="4">
        <v>1102334</v>
      </c>
      <c r="AE259" s="4">
        <v>1108077</v>
      </c>
      <c r="AF259" s="4">
        <v>2216154</v>
      </c>
      <c r="AG259" s="4">
        <v>3324231</v>
      </c>
      <c r="AH259" s="4">
        <v>4432308</v>
      </c>
      <c r="AI259" s="4">
        <v>5534641</v>
      </c>
      <c r="AJ259" s="4">
        <v>6636974</v>
      </c>
      <c r="AK259" s="4">
        <v>7739307</v>
      </c>
      <c r="AL259" s="4">
        <v>8841640</v>
      </c>
      <c r="AM259" s="4">
        <v>9943973</v>
      </c>
      <c r="AN259" s="4">
        <v>11046307</v>
      </c>
      <c r="AO259" s="150">
        <v>870328</v>
      </c>
    </row>
    <row r="260" spans="1:41" x14ac:dyDescent="0.2">
      <c r="A260" s="1">
        <v>2024</v>
      </c>
      <c r="B260" s="2" t="s">
        <v>284</v>
      </c>
      <c r="C260" s="2" t="s">
        <v>284</v>
      </c>
      <c r="D260" s="1" t="s">
        <v>629</v>
      </c>
      <c r="E260" s="3">
        <v>129858257</v>
      </c>
      <c r="F260" s="3">
        <v>10084</v>
      </c>
      <c r="G260" s="3">
        <v>0</v>
      </c>
      <c r="H260" s="3">
        <v>340864</v>
      </c>
      <c r="I260" s="3">
        <v>0</v>
      </c>
      <c r="J260" s="3">
        <v>129848173</v>
      </c>
      <c r="K260" s="3">
        <v>129507309</v>
      </c>
      <c r="L260" s="3">
        <v>129507309</v>
      </c>
      <c r="M260" s="3">
        <v>2310956</v>
      </c>
      <c r="N260" s="3">
        <v>9468343</v>
      </c>
      <c r="O260" s="3">
        <v>1385119</v>
      </c>
      <c r="P260" s="3">
        <v>1122460</v>
      </c>
      <c r="Q260" s="3">
        <v>5468801</v>
      </c>
      <c r="R260" s="3">
        <v>110092494</v>
      </c>
      <c r="S260" s="3">
        <v>109751630</v>
      </c>
      <c r="T260" s="3">
        <v>109751630</v>
      </c>
      <c r="U260" s="3">
        <v>12984817</v>
      </c>
      <c r="V260" s="3">
        <v>12984817</v>
      </c>
      <c r="W260" s="3">
        <v>12984817</v>
      </c>
      <c r="X260" s="3">
        <v>12984817</v>
      </c>
      <c r="Y260" s="3">
        <v>12928007</v>
      </c>
      <c r="Z260" s="3">
        <v>12928007</v>
      </c>
      <c r="AA260" s="4">
        <v>12928007</v>
      </c>
      <c r="AB260" s="4">
        <v>12928007</v>
      </c>
      <c r="AC260" s="4">
        <v>12928007</v>
      </c>
      <c r="AD260" s="4">
        <v>12928006</v>
      </c>
      <c r="AE260" s="4">
        <v>12984817</v>
      </c>
      <c r="AF260" s="4">
        <v>25969634</v>
      </c>
      <c r="AG260" s="4">
        <v>38954451</v>
      </c>
      <c r="AH260" s="4">
        <v>51939268</v>
      </c>
      <c r="AI260" s="4">
        <v>64867275</v>
      </c>
      <c r="AJ260" s="4">
        <v>77795282</v>
      </c>
      <c r="AK260" s="4">
        <v>90723289</v>
      </c>
      <c r="AL260" s="4">
        <v>103651296</v>
      </c>
      <c r="AM260" s="4">
        <v>116579303</v>
      </c>
      <c r="AN260" s="4">
        <v>129507309</v>
      </c>
      <c r="AO260" s="150">
        <v>7820131</v>
      </c>
    </row>
    <row r="261" spans="1:41" x14ac:dyDescent="0.2">
      <c r="A261" s="1">
        <v>2024</v>
      </c>
      <c r="B261" s="2" t="s">
        <v>285</v>
      </c>
      <c r="C261" s="2" t="s">
        <v>701</v>
      </c>
      <c r="D261" s="1" t="s">
        <v>630</v>
      </c>
      <c r="E261" s="3">
        <v>2730281</v>
      </c>
      <c r="F261" s="3">
        <v>564</v>
      </c>
      <c r="G261" s="3">
        <v>21423</v>
      </c>
      <c r="H261" s="3">
        <v>10137</v>
      </c>
      <c r="I261" s="1">
        <v>0</v>
      </c>
      <c r="J261" s="3">
        <v>2708294</v>
      </c>
      <c r="K261" s="3">
        <v>2698157</v>
      </c>
      <c r="L261" s="3">
        <v>2698157</v>
      </c>
      <c r="M261" s="3">
        <v>129231</v>
      </c>
      <c r="N261" s="3">
        <v>342043</v>
      </c>
      <c r="O261" s="3">
        <v>36248</v>
      </c>
      <c r="P261" s="3">
        <v>39139</v>
      </c>
      <c r="Q261" s="3">
        <v>162632</v>
      </c>
      <c r="R261" s="3">
        <v>1999001</v>
      </c>
      <c r="S261" s="3">
        <v>1988864</v>
      </c>
      <c r="T261" s="3">
        <v>1988864</v>
      </c>
      <c r="U261" s="3">
        <v>270829</v>
      </c>
      <c r="V261" s="3">
        <v>270829</v>
      </c>
      <c r="W261" s="3">
        <v>270829</v>
      </c>
      <c r="X261" s="3">
        <v>270829</v>
      </c>
      <c r="Y261" s="3">
        <v>269140</v>
      </c>
      <c r="Z261" s="3">
        <v>269140</v>
      </c>
      <c r="AA261" s="4">
        <v>269140</v>
      </c>
      <c r="AB261" s="4">
        <v>269140</v>
      </c>
      <c r="AC261" s="4">
        <v>269140</v>
      </c>
      <c r="AD261" s="4">
        <v>269141</v>
      </c>
      <c r="AE261" s="4">
        <v>270829</v>
      </c>
      <c r="AF261" s="4">
        <v>541658</v>
      </c>
      <c r="AG261" s="4">
        <v>812487</v>
      </c>
      <c r="AH261" s="4">
        <v>1083316</v>
      </c>
      <c r="AI261" s="4">
        <v>1352456</v>
      </c>
      <c r="AJ261" s="4">
        <v>1621596</v>
      </c>
      <c r="AK261" s="4">
        <v>1890736</v>
      </c>
      <c r="AL261" s="4">
        <v>2159876</v>
      </c>
      <c r="AM261" s="4">
        <v>2429016</v>
      </c>
      <c r="AN261" s="4">
        <v>2698157</v>
      </c>
      <c r="AO261" s="150">
        <v>216371</v>
      </c>
    </row>
    <row r="262" spans="1:41" x14ac:dyDescent="0.2">
      <c r="A262" s="1">
        <v>2024</v>
      </c>
      <c r="B262" s="2" t="s">
        <v>286</v>
      </c>
      <c r="C262" s="2" t="s">
        <v>286</v>
      </c>
      <c r="D262" s="1" t="s">
        <v>631</v>
      </c>
      <c r="E262" s="3">
        <v>5256336</v>
      </c>
      <c r="F262" s="3">
        <v>846</v>
      </c>
      <c r="G262" s="3">
        <v>0</v>
      </c>
      <c r="H262" s="3">
        <v>21328</v>
      </c>
      <c r="I262" s="1">
        <v>0</v>
      </c>
      <c r="J262" s="3">
        <v>5255490</v>
      </c>
      <c r="K262" s="3">
        <v>5234162</v>
      </c>
      <c r="L262" s="3">
        <v>5234162</v>
      </c>
      <c r="M262" s="3">
        <v>193847</v>
      </c>
      <c r="N262" s="3">
        <v>667220</v>
      </c>
      <c r="O262" s="3">
        <v>73017</v>
      </c>
      <c r="P262" s="3">
        <v>68913</v>
      </c>
      <c r="Q262" s="3">
        <v>342180</v>
      </c>
      <c r="R262" s="3">
        <v>3910313</v>
      </c>
      <c r="S262" s="3">
        <v>3888985</v>
      </c>
      <c r="T262" s="3">
        <v>3888985</v>
      </c>
      <c r="U262" s="3">
        <v>525549</v>
      </c>
      <c r="V262" s="3">
        <v>525549</v>
      </c>
      <c r="W262" s="3">
        <v>525549</v>
      </c>
      <c r="X262" s="3">
        <v>525549</v>
      </c>
      <c r="Y262" s="3">
        <v>521994</v>
      </c>
      <c r="Z262" s="3">
        <v>521994</v>
      </c>
      <c r="AA262" s="4">
        <v>521995</v>
      </c>
      <c r="AB262" s="4">
        <v>521995</v>
      </c>
      <c r="AC262" s="4">
        <v>521995</v>
      </c>
      <c r="AD262" s="4">
        <v>521993</v>
      </c>
      <c r="AE262" s="4">
        <v>525549</v>
      </c>
      <c r="AF262" s="4">
        <v>1051098</v>
      </c>
      <c r="AG262" s="4">
        <v>1576647</v>
      </c>
      <c r="AH262" s="4">
        <v>2102196</v>
      </c>
      <c r="AI262" s="4">
        <v>2624190</v>
      </c>
      <c r="AJ262" s="4">
        <v>3146184</v>
      </c>
      <c r="AK262" s="4">
        <v>3668179</v>
      </c>
      <c r="AL262" s="4">
        <v>4190174</v>
      </c>
      <c r="AM262" s="4">
        <v>4712169</v>
      </c>
      <c r="AN262" s="4">
        <v>5234162</v>
      </c>
      <c r="AO262" s="150">
        <v>453680</v>
      </c>
    </row>
    <row r="263" spans="1:41" x14ac:dyDescent="0.2">
      <c r="A263" s="1">
        <v>2024</v>
      </c>
      <c r="B263" s="2" t="s">
        <v>287</v>
      </c>
      <c r="C263" s="2" t="s">
        <v>287</v>
      </c>
      <c r="D263" s="1" t="s">
        <v>632</v>
      </c>
      <c r="E263" s="3">
        <v>9423516</v>
      </c>
      <c r="F263" s="3">
        <v>1028</v>
      </c>
      <c r="G263" s="3">
        <v>0</v>
      </c>
      <c r="H263" s="3">
        <v>33336</v>
      </c>
      <c r="I263" s="3">
        <v>0</v>
      </c>
      <c r="J263" s="3">
        <v>9422488</v>
      </c>
      <c r="K263" s="3">
        <v>9389152</v>
      </c>
      <c r="L263" s="3">
        <v>9389152</v>
      </c>
      <c r="M263" s="3">
        <v>235657</v>
      </c>
      <c r="N263" s="3">
        <v>913637</v>
      </c>
      <c r="O263" s="3">
        <v>89386</v>
      </c>
      <c r="P263" s="3">
        <v>95583</v>
      </c>
      <c r="Q263" s="3">
        <v>534848</v>
      </c>
      <c r="R263" s="3">
        <v>7553377</v>
      </c>
      <c r="S263" s="3">
        <v>7520041</v>
      </c>
      <c r="T263" s="3">
        <v>7520041</v>
      </c>
      <c r="U263" s="3">
        <v>942249</v>
      </c>
      <c r="V263" s="3">
        <v>942249</v>
      </c>
      <c r="W263" s="3">
        <v>942249</v>
      </c>
      <c r="X263" s="3">
        <v>942249</v>
      </c>
      <c r="Y263" s="3">
        <v>936693</v>
      </c>
      <c r="Z263" s="3">
        <v>936693</v>
      </c>
      <c r="AA263" s="4">
        <v>936693</v>
      </c>
      <c r="AB263" s="4">
        <v>936693</v>
      </c>
      <c r="AC263" s="4">
        <v>936693</v>
      </c>
      <c r="AD263" s="4">
        <v>936691</v>
      </c>
      <c r="AE263" s="4">
        <v>942249</v>
      </c>
      <c r="AF263" s="4">
        <v>1884498</v>
      </c>
      <c r="AG263" s="4">
        <v>2826747</v>
      </c>
      <c r="AH263" s="4">
        <v>3768996</v>
      </c>
      <c r="AI263" s="4">
        <v>4705689</v>
      </c>
      <c r="AJ263" s="4">
        <v>5642382</v>
      </c>
      <c r="AK263" s="4">
        <v>6579075</v>
      </c>
      <c r="AL263" s="4">
        <v>7515768</v>
      </c>
      <c r="AM263" s="4">
        <v>8452461</v>
      </c>
      <c r="AN263" s="4">
        <v>9389152</v>
      </c>
      <c r="AO263" s="150">
        <v>701333</v>
      </c>
    </row>
    <row r="264" spans="1:41" x14ac:dyDescent="0.2">
      <c r="A264" s="1">
        <v>2024</v>
      </c>
      <c r="B264" s="2" t="s">
        <v>288</v>
      </c>
      <c r="C264" s="2" t="s">
        <v>288</v>
      </c>
      <c r="D264" s="1" t="s">
        <v>633</v>
      </c>
      <c r="E264" s="3">
        <v>3769064</v>
      </c>
      <c r="F264" s="3">
        <v>348</v>
      </c>
      <c r="G264" s="3">
        <v>0</v>
      </c>
      <c r="H264" s="3">
        <v>11616</v>
      </c>
      <c r="I264" s="1">
        <v>0</v>
      </c>
      <c r="J264" s="3">
        <v>3768716</v>
      </c>
      <c r="K264" s="3">
        <v>3757100</v>
      </c>
      <c r="L264" s="3">
        <v>3757100</v>
      </c>
      <c r="M264" s="3">
        <v>79820</v>
      </c>
      <c r="N264" s="3">
        <v>344061</v>
      </c>
      <c r="O264" s="3">
        <v>35626</v>
      </c>
      <c r="P264" s="3">
        <v>36562</v>
      </c>
      <c r="Q264" s="3">
        <v>190171</v>
      </c>
      <c r="R264" s="3">
        <v>3082476</v>
      </c>
      <c r="S264" s="3">
        <v>3070860</v>
      </c>
      <c r="T264" s="3">
        <v>3070860</v>
      </c>
      <c r="U264" s="3">
        <v>376872</v>
      </c>
      <c r="V264" s="3">
        <v>376872</v>
      </c>
      <c r="W264" s="3">
        <v>376872</v>
      </c>
      <c r="X264" s="3">
        <v>376872</v>
      </c>
      <c r="Y264" s="3">
        <v>374935</v>
      </c>
      <c r="Z264" s="3">
        <v>374935</v>
      </c>
      <c r="AA264" s="4">
        <v>374936</v>
      </c>
      <c r="AB264" s="4">
        <v>374936</v>
      </c>
      <c r="AC264" s="4">
        <v>374936</v>
      </c>
      <c r="AD264" s="4">
        <v>374934</v>
      </c>
      <c r="AE264" s="4">
        <v>376872</v>
      </c>
      <c r="AF264" s="4">
        <v>753744</v>
      </c>
      <c r="AG264" s="4">
        <v>1130616</v>
      </c>
      <c r="AH264" s="4">
        <v>1507488</v>
      </c>
      <c r="AI264" s="4">
        <v>1882423</v>
      </c>
      <c r="AJ264" s="4">
        <v>2257358</v>
      </c>
      <c r="AK264" s="4">
        <v>2632294</v>
      </c>
      <c r="AL264" s="4">
        <v>3007230</v>
      </c>
      <c r="AM264" s="4">
        <v>3382166</v>
      </c>
      <c r="AN264" s="4">
        <v>3757100</v>
      </c>
      <c r="AO264" s="150">
        <v>239540</v>
      </c>
    </row>
    <row r="265" spans="1:41" x14ac:dyDescent="0.2">
      <c r="A265" s="1">
        <v>2024</v>
      </c>
      <c r="B265" s="2" t="s">
        <v>289</v>
      </c>
      <c r="C265" s="2" t="s">
        <v>289</v>
      </c>
      <c r="D265" s="1" t="s">
        <v>634</v>
      </c>
      <c r="E265" s="3">
        <v>3657057</v>
      </c>
      <c r="F265" s="3">
        <v>580</v>
      </c>
      <c r="G265" s="3">
        <v>0</v>
      </c>
      <c r="H265" s="3">
        <v>14395</v>
      </c>
      <c r="I265" s="1">
        <v>0</v>
      </c>
      <c r="J265" s="3">
        <v>3656477</v>
      </c>
      <c r="K265" s="3">
        <v>3642082</v>
      </c>
      <c r="L265" s="3">
        <v>3642082</v>
      </c>
      <c r="M265" s="3">
        <v>133033</v>
      </c>
      <c r="N265" s="3">
        <v>451105</v>
      </c>
      <c r="O265" s="3">
        <v>51283</v>
      </c>
      <c r="P265" s="3">
        <v>53107</v>
      </c>
      <c r="Q265" s="3">
        <v>230958</v>
      </c>
      <c r="R265" s="3">
        <v>2736991</v>
      </c>
      <c r="S265" s="3">
        <v>2722596</v>
      </c>
      <c r="T265" s="3">
        <v>2722596</v>
      </c>
      <c r="U265" s="3">
        <v>365648</v>
      </c>
      <c r="V265" s="3">
        <v>365648</v>
      </c>
      <c r="W265" s="3">
        <v>365648</v>
      </c>
      <c r="X265" s="3">
        <v>365648</v>
      </c>
      <c r="Y265" s="3">
        <v>363248</v>
      </c>
      <c r="Z265" s="3">
        <v>363248</v>
      </c>
      <c r="AA265" s="4">
        <v>363249</v>
      </c>
      <c r="AB265" s="4">
        <v>363249</v>
      </c>
      <c r="AC265" s="4">
        <v>363249</v>
      </c>
      <c r="AD265" s="4">
        <v>363247</v>
      </c>
      <c r="AE265" s="4">
        <v>365648</v>
      </c>
      <c r="AF265" s="4">
        <v>731296</v>
      </c>
      <c r="AG265" s="4">
        <v>1096944</v>
      </c>
      <c r="AH265" s="4">
        <v>1462592</v>
      </c>
      <c r="AI265" s="4">
        <v>1825840</v>
      </c>
      <c r="AJ265" s="4">
        <v>2189088</v>
      </c>
      <c r="AK265" s="4">
        <v>2552337</v>
      </c>
      <c r="AL265" s="4">
        <v>2915586</v>
      </c>
      <c r="AM265" s="4">
        <v>3278835</v>
      </c>
      <c r="AN265" s="4">
        <v>3642082</v>
      </c>
      <c r="AO265" s="150">
        <v>302019</v>
      </c>
    </row>
    <row r="266" spans="1:41" x14ac:dyDescent="0.2">
      <c r="A266" s="1">
        <v>2024</v>
      </c>
      <c r="B266" s="2" t="s">
        <v>290</v>
      </c>
      <c r="C266" s="2" t="s">
        <v>290</v>
      </c>
      <c r="D266" s="1" t="s">
        <v>837</v>
      </c>
      <c r="E266" s="3">
        <v>7011396</v>
      </c>
      <c r="F266" s="3">
        <v>796</v>
      </c>
      <c r="G266" s="3">
        <v>0</v>
      </c>
      <c r="H266" s="3">
        <v>25122</v>
      </c>
      <c r="I266" s="3">
        <v>0</v>
      </c>
      <c r="J266" s="3">
        <v>7010600</v>
      </c>
      <c r="K266" s="3">
        <v>6985478</v>
      </c>
      <c r="L266" s="3">
        <v>6985478</v>
      </c>
      <c r="M266" s="3">
        <v>182444</v>
      </c>
      <c r="N266" s="3">
        <v>783264</v>
      </c>
      <c r="O266" s="3">
        <v>89388</v>
      </c>
      <c r="P266" s="3">
        <v>92243</v>
      </c>
      <c r="Q266" s="3">
        <v>403061</v>
      </c>
      <c r="R266" s="3">
        <v>5460200</v>
      </c>
      <c r="S266" s="3">
        <v>5435078</v>
      </c>
      <c r="T266" s="3">
        <v>5435078</v>
      </c>
      <c r="U266" s="3">
        <v>701060</v>
      </c>
      <c r="V266" s="3">
        <v>701060</v>
      </c>
      <c r="W266" s="3">
        <v>701060</v>
      </c>
      <c r="X266" s="3">
        <v>701060</v>
      </c>
      <c r="Y266" s="3">
        <v>696873</v>
      </c>
      <c r="Z266" s="3">
        <v>696873</v>
      </c>
      <c r="AA266" s="4">
        <v>696873</v>
      </c>
      <c r="AB266" s="4">
        <v>696873</v>
      </c>
      <c r="AC266" s="4">
        <v>696873</v>
      </c>
      <c r="AD266" s="4">
        <v>696873</v>
      </c>
      <c r="AE266" s="4">
        <v>701060</v>
      </c>
      <c r="AF266" s="4">
        <v>1402120</v>
      </c>
      <c r="AG266" s="4">
        <v>2103180</v>
      </c>
      <c r="AH266" s="4">
        <v>2804240</v>
      </c>
      <c r="AI266" s="4">
        <v>3501113</v>
      </c>
      <c r="AJ266" s="4">
        <v>4197986</v>
      </c>
      <c r="AK266" s="4">
        <v>4894859</v>
      </c>
      <c r="AL266" s="4">
        <v>5591732</v>
      </c>
      <c r="AM266" s="4">
        <v>6288605</v>
      </c>
      <c r="AN266" s="4">
        <v>6985478</v>
      </c>
      <c r="AO266" s="150">
        <v>526674</v>
      </c>
    </row>
    <row r="267" spans="1:41" x14ac:dyDescent="0.2">
      <c r="A267" s="1">
        <v>2024</v>
      </c>
      <c r="B267" s="2" t="s">
        <v>291</v>
      </c>
      <c r="C267" s="2" t="s">
        <v>291</v>
      </c>
      <c r="D267" s="1" t="s">
        <v>636</v>
      </c>
      <c r="E267" s="3">
        <v>1230433</v>
      </c>
      <c r="F267" s="3">
        <v>33</v>
      </c>
      <c r="G267" s="3">
        <v>0</v>
      </c>
      <c r="H267" s="3">
        <v>4442</v>
      </c>
      <c r="I267" s="1">
        <v>0</v>
      </c>
      <c r="J267" s="3">
        <v>1230400</v>
      </c>
      <c r="K267" s="3">
        <v>1225958</v>
      </c>
      <c r="L267" s="3">
        <v>1225958</v>
      </c>
      <c r="M267" s="3">
        <v>7602</v>
      </c>
      <c r="N267" s="3">
        <v>148490</v>
      </c>
      <c r="O267" s="3">
        <v>12769</v>
      </c>
      <c r="P267" s="3">
        <v>15088</v>
      </c>
      <c r="Q267" s="3">
        <v>72669</v>
      </c>
      <c r="R267" s="3">
        <v>973782</v>
      </c>
      <c r="S267" s="3">
        <v>969340</v>
      </c>
      <c r="T267" s="3">
        <v>969340</v>
      </c>
      <c r="U267" s="3">
        <v>123040</v>
      </c>
      <c r="V267" s="3">
        <v>123040</v>
      </c>
      <c r="W267" s="3">
        <v>123040</v>
      </c>
      <c r="X267" s="3">
        <v>123040</v>
      </c>
      <c r="Y267" s="3">
        <v>122300</v>
      </c>
      <c r="Z267" s="3">
        <v>122300</v>
      </c>
      <c r="AA267" s="4">
        <v>122300</v>
      </c>
      <c r="AB267" s="4">
        <v>122300</v>
      </c>
      <c r="AC267" s="4">
        <v>122300</v>
      </c>
      <c r="AD267" s="4">
        <v>122298</v>
      </c>
      <c r="AE267" s="4">
        <v>123040</v>
      </c>
      <c r="AF267" s="4">
        <v>246080</v>
      </c>
      <c r="AG267" s="4">
        <v>369120</v>
      </c>
      <c r="AH267" s="4">
        <v>492160</v>
      </c>
      <c r="AI267" s="4">
        <v>614460</v>
      </c>
      <c r="AJ267" s="4">
        <v>736760</v>
      </c>
      <c r="AK267" s="4">
        <v>859060</v>
      </c>
      <c r="AL267" s="4">
        <v>981360</v>
      </c>
      <c r="AM267" s="4">
        <v>1103660</v>
      </c>
      <c r="AN267" s="4">
        <v>1225958</v>
      </c>
      <c r="AO267" s="150">
        <v>93753</v>
      </c>
    </row>
    <row r="268" spans="1:41" x14ac:dyDescent="0.2">
      <c r="A268" s="1">
        <v>2024</v>
      </c>
      <c r="B268" s="2" t="s">
        <v>292</v>
      </c>
      <c r="C268" s="2" t="s">
        <v>292</v>
      </c>
      <c r="D268" s="1" t="s">
        <v>637</v>
      </c>
      <c r="E268" s="3">
        <v>11701699</v>
      </c>
      <c r="F268" s="3">
        <v>1144</v>
      </c>
      <c r="G268" s="3">
        <v>0</v>
      </c>
      <c r="H268" s="3">
        <v>33247</v>
      </c>
      <c r="I268" s="3">
        <v>0</v>
      </c>
      <c r="J268" s="3">
        <v>11700555</v>
      </c>
      <c r="K268" s="3">
        <v>11667308</v>
      </c>
      <c r="L268" s="3">
        <v>11667308</v>
      </c>
      <c r="M268" s="3">
        <v>262264</v>
      </c>
      <c r="N268" s="3">
        <v>974896</v>
      </c>
      <c r="O268" s="3">
        <v>126430</v>
      </c>
      <c r="P268" s="3">
        <v>102534</v>
      </c>
      <c r="Q268" s="3">
        <v>533410</v>
      </c>
      <c r="R268" s="3">
        <v>9701021</v>
      </c>
      <c r="S268" s="3">
        <v>9667774</v>
      </c>
      <c r="T268" s="3">
        <v>9667774</v>
      </c>
      <c r="U268" s="3">
        <v>1170056</v>
      </c>
      <c r="V268" s="3">
        <v>1170056</v>
      </c>
      <c r="W268" s="3">
        <v>1170056</v>
      </c>
      <c r="X268" s="3">
        <v>1170056</v>
      </c>
      <c r="Y268" s="3">
        <v>1164514</v>
      </c>
      <c r="Z268" s="3">
        <v>1164514</v>
      </c>
      <c r="AA268" s="4">
        <v>1164514</v>
      </c>
      <c r="AB268" s="4">
        <v>1164514</v>
      </c>
      <c r="AC268" s="4">
        <v>1164514</v>
      </c>
      <c r="AD268" s="4">
        <v>1164514</v>
      </c>
      <c r="AE268" s="4">
        <v>1170056</v>
      </c>
      <c r="AF268" s="4">
        <v>2340112</v>
      </c>
      <c r="AG268" s="4">
        <v>3510168</v>
      </c>
      <c r="AH268" s="4">
        <v>4680224</v>
      </c>
      <c r="AI268" s="4">
        <v>5844738</v>
      </c>
      <c r="AJ268" s="4">
        <v>7009252</v>
      </c>
      <c r="AK268" s="4">
        <v>8173766</v>
      </c>
      <c r="AL268" s="4">
        <v>9338280</v>
      </c>
      <c r="AM268" s="4">
        <v>10502794</v>
      </c>
      <c r="AN268" s="4">
        <v>11667308</v>
      </c>
      <c r="AO268" s="150">
        <v>736920</v>
      </c>
    </row>
    <row r="269" spans="1:41" x14ac:dyDescent="0.2">
      <c r="A269" s="1">
        <v>2024</v>
      </c>
      <c r="B269" s="2" t="s">
        <v>293</v>
      </c>
      <c r="C269" s="2" t="s">
        <v>293</v>
      </c>
      <c r="D269" s="1" t="s">
        <v>638</v>
      </c>
      <c r="E269" s="3">
        <v>3530821</v>
      </c>
      <c r="F269" s="1">
        <v>862</v>
      </c>
      <c r="G269" s="1">
        <v>0</v>
      </c>
      <c r="H269" s="3">
        <v>11869</v>
      </c>
      <c r="I269" s="1">
        <v>0</v>
      </c>
      <c r="J269" s="3">
        <v>3529959</v>
      </c>
      <c r="K269" s="3">
        <v>3518090</v>
      </c>
      <c r="L269" s="3">
        <v>3518090</v>
      </c>
      <c r="M269" s="3">
        <v>197648</v>
      </c>
      <c r="N269" s="3">
        <v>348612</v>
      </c>
      <c r="O269" s="3">
        <v>31839</v>
      </c>
      <c r="P269" s="3">
        <v>40060</v>
      </c>
      <c r="Q269" s="3">
        <v>190419</v>
      </c>
      <c r="R269" s="3">
        <v>2721381</v>
      </c>
      <c r="S269" s="3">
        <v>2709512</v>
      </c>
      <c r="T269" s="3">
        <v>2709512</v>
      </c>
      <c r="U269" s="3">
        <v>352996</v>
      </c>
      <c r="V269" s="3">
        <v>352996</v>
      </c>
      <c r="W269" s="3">
        <v>352996</v>
      </c>
      <c r="X269" s="3">
        <v>352996</v>
      </c>
      <c r="Y269" s="3">
        <v>351018</v>
      </c>
      <c r="Z269" s="3">
        <v>351018</v>
      </c>
      <c r="AA269" s="4">
        <v>351018</v>
      </c>
      <c r="AB269" s="4">
        <v>351018</v>
      </c>
      <c r="AC269" s="4">
        <v>351018</v>
      </c>
      <c r="AD269" s="4">
        <v>351016</v>
      </c>
      <c r="AE269" s="4">
        <v>352996</v>
      </c>
      <c r="AF269" s="4">
        <v>705992</v>
      </c>
      <c r="AG269" s="4">
        <v>1058988</v>
      </c>
      <c r="AH269" s="4">
        <v>1411984</v>
      </c>
      <c r="AI269" s="4">
        <v>1763002</v>
      </c>
      <c r="AJ269" s="4">
        <v>2114020</v>
      </c>
      <c r="AK269" s="4">
        <v>2465038</v>
      </c>
      <c r="AL269" s="4">
        <v>2816056</v>
      </c>
      <c r="AM269" s="4">
        <v>3167074</v>
      </c>
      <c r="AN269" s="4">
        <v>3518090</v>
      </c>
      <c r="AO269" s="150">
        <v>274671</v>
      </c>
    </row>
    <row r="270" spans="1:41" x14ac:dyDescent="0.2">
      <c r="A270" s="1">
        <v>2024</v>
      </c>
      <c r="B270" s="2" t="s">
        <v>294</v>
      </c>
      <c r="C270" s="2" t="s">
        <v>294</v>
      </c>
      <c r="D270" s="1" t="s">
        <v>639</v>
      </c>
      <c r="E270" s="3">
        <v>53863347</v>
      </c>
      <c r="F270" s="3">
        <v>4594</v>
      </c>
      <c r="G270" s="3">
        <v>11364</v>
      </c>
      <c r="H270" s="3">
        <v>165637</v>
      </c>
      <c r="I270" s="3">
        <v>0</v>
      </c>
      <c r="J270" s="3">
        <v>53847389</v>
      </c>
      <c r="K270" s="3">
        <v>53681752</v>
      </c>
      <c r="L270" s="3">
        <v>53681752</v>
      </c>
      <c r="M270" s="3">
        <v>1052854</v>
      </c>
      <c r="N270" s="3">
        <v>4476733</v>
      </c>
      <c r="O270" s="3">
        <v>513712</v>
      </c>
      <c r="P270" s="3">
        <v>511909</v>
      </c>
      <c r="Q270" s="3">
        <v>2657470</v>
      </c>
      <c r="R270" s="3">
        <v>44634711</v>
      </c>
      <c r="S270" s="3">
        <v>44469074</v>
      </c>
      <c r="T270" s="3">
        <v>44469074</v>
      </c>
      <c r="U270" s="3">
        <v>5384739</v>
      </c>
      <c r="V270" s="3">
        <v>5384739</v>
      </c>
      <c r="W270" s="3">
        <v>5384739</v>
      </c>
      <c r="X270" s="3">
        <v>5384739</v>
      </c>
      <c r="Y270" s="3">
        <v>5357133</v>
      </c>
      <c r="Z270" s="3">
        <v>5357133</v>
      </c>
      <c r="AA270" s="4">
        <v>5357133</v>
      </c>
      <c r="AB270" s="4">
        <v>5357133</v>
      </c>
      <c r="AC270" s="4">
        <v>5357133</v>
      </c>
      <c r="AD270" s="4">
        <v>5357131</v>
      </c>
      <c r="AE270" s="4">
        <v>5384739</v>
      </c>
      <c r="AF270" s="4">
        <v>10769478</v>
      </c>
      <c r="AG270" s="4">
        <v>16154217</v>
      </c>
      <c r="AH270" s="4">
        <v>21538956</v>
      </c>
      <c r="AI270" s="4">
        <v>26896089</v>
      </c>
      <c r="AJ270" s="4">
        <v>32253222</v>
      </c>
      <c r="AK270" s="4">
        <v>37610355</v>
      </c>
      <c r="AL270" s="4">
        <v>42967488</v>
      </c>
      <c r="AM270" s="4">
        <v>48324621</v>
      </c>
      <c r="AN270" s="4">
        <v>53681752</v>
      </c>
      <c r="AO270" s="150">
        <v>3681235</v>
      </c>
    </row>
    <row r="271" spans="1:41" x14ac:dyDescent="0.2">
      <c r="A271" s="1">
        <v>2024</v>
      </c>
      <c r="B271" s="2" t="s">
        <v>295</v>
      </c>
      <c r="C271" s="2" t="s">
        <v>295</v>
      </c>
      <c r="D271" s="1" t="s">
        <v>640</v>
      </c>
      <c r="E271" s="3">
        <v>15668814</v>
      </c>
      <c r="F271" s="3">
        <v>2687</v>
      </c>
      <c r="G271" s="3">
        <v>6355</v>
      </c>
      <c r="H271" s="3">
        <v>46521</v>
      </c>
      <c r="I271" s="1">
        <v>0</v>
      </c>
      <c r="J271" s="3">
        <v>15659772</v>
      </c>
      <c r="K271" s="3">
        <v>15613251</v>
      </c>
      <c r="L271" s="3">
        <v>15613251</v>
      </c>
      <c r="M271" s="3">
        <v>615748</v>
      </c>
      <c r="N271" s="3">
        <v>1342430</v>
      </c>
      <c r="O271" s="3">
        <v>159776</v>
      </c>
      <c r="P271" s="3">
        <v>161072</v>
      </c>
      <c r="Q271" s="3">
        <v>746384</v>
      </c>
      <c r="R271" s="3">
        <v>12634362</v>
      </c>
      <c r="S271" s="3">
        <v>12587841</v>
      </c>
      <c r="T271" s="3">
        <v>12587841</v>
      </c>
      <c r="U271" s="3">
        <v>1565977</v>
      </c>
      <c r="V271" s="3">
        <v>1565977</v>
      </c>
      <c r="W271" s="3">
        <v>1565977</v>
      </c>
      <c r="X271" s="3">
        <v>1565977</v>
      </c>
      <c r="Y271" s="3">
        <v>1558224</v>
      </c>
      <c r="Z271" s="3">
        <v>1558224</v>
      </c>
      <c r="AA271" s="4">
        <v>1558224</v>
      </c>
      <c r="AB271" s="4">
        <v>1558224</v>
      </c>
      <c r="AC271" s="4">
        <v>1558224</v>
      </c>
      <c r="AD271" s="4">
        <v>1558223</v>
      </c>
      <c r="AE271" s="4">
        <v>1565977</v>
      </c>
      <c r="AF271" s="4">
        <v>3131954</v>
      </c>
      <c r="AG271" s="4">
        <v>4697931</v>
      </c>
      <c r="AH271" s="4">
        <v>6263908</v>
      </c>
      <c r="AI271" s="4">
        <v>7822132</v>
      </c>
      <c r="AJ271" s="4">
        <v>9380356</v>
      </c>
      <c r="AK271" s="4">
        <v>10938580</v>
      </c>
      <c r="AL271" s="4">
        <v>12496804</v>
      </c>
      <c r="AM271" s="4">
        <v>14055028</v>
      </c>
      <c r="AN271" s="4">
        <v>15613251</v>
      </c>
      <c r="AO271" s="150">
        <v>1089087</v>
      </c>
    </row>
    <row r="272" spans="1:41" x14ac:dyDescent="0.2">
      <c r="A272" s="1">
        <v>2024</v>
      </c>
      <c r="B272" s="2" t="s">
        <v>296</v>
      </c>
      <c r="C272" s="2" t="s">
        <v>296</v>
      </c>
      <c r="D272" s="1" t="s">
        <v>641</v>
      </c>
      <c r="E272" s="3">
        <v>3096770</v>
      </c>
      <c r="F272" s="3">
        <v>1244</v>
      </c>
      <c r="G272" s="3">
        <v>0</v>
      </c>
      <c r="H272" s="3">
        <v>26827</v>
      </c>
      <c r="I272" s="1">
        <v>0</v>
      </c>
      <c r="J272" s="3">
        <v>3095526</v>
      </c>
      <c r="K272" s="3">
        <v>3068699</v>
      </c>
      <c r="L272" s="3">
        <v>3068699</v>
      </c>
      <c r="M272" s="3">
        <v>285069</v>
      </c>
      <c r="N272" s="3">
        <v>768023</v>
      </c>
      <c r="O272" s="3">
        <v>87873</v>
      </c>
      <c r="P272" s="3">
        <v>90664</v>
      </c>
      <c r="Q272" s="3">
        <v>430406</v>
      </c>
      <c r="R272" s="3">
        <v>1433491</v>
      </c>
      <c r="S272" s="3">
        <v>1406664</v>
      </c>
      <c r="T272" s="3">
        <v>1406664</v>
      </c>
      <c r="U272" s="3">
        <v>309553</v>
      </c>
      <c r="V272" s="3">
        <v>309553</v>
      </c>
      <c r="W272" s="3">
        <v>309553</v>
      </c>
      <c r="X272" s="3">
        <v>309553</v>
      </c>
      <c r="Y272" s="3">
        <v>305081</v>
      </c>
      <c r="Z272" s="3">
        <v>305081</v>
      </c>
      <c r="AA272" s="4">
        <v>305081</v>
      </c>
      <c r="AB272" s="4">
        <v>305081</v>
      </c>
      <c r="AC272" s="4">
        <v>305081</v>
      </c>
      <c r="AD272" s="4">
        <v>305082</v>
      </c>
      <c r="AE272" s="4">
        <v>309553</v>
      </c>
      <c r="AF272" s="4">
        <v>619106</v>
      </c>
      <c r="AG272" s="4">
        <v>928659</v>
      </c>
      <c r="AH272" s="4">
        <v>1238212</v>
      </c>
      <c r="AI272" s="4">
        <v>1543293</v>
      </c>
      <c r="AJ272" s="4">
        <v>1848374</v>
      </c>
      <c r="AK272" s="4">
        <v>2153455</v>
      </c>
      <c r="AL272" s="4">
        <v>2458536</v>
      </c>
      <c r="AM272" s="4">
        <v>2763617</v>
      </c>
      <c r="AN272" s="4">
        <v>3068699</v>
      </c>
      <c r="AO272" s="150">
        <v>576729</v>
      </c>
    </row>
    <row r="273" spans="1:41" x14ac:dyDescent="0.2">
      <c r="A273" s="1">
        <v>2024</v>
      </c>
      <c r="B273" s="2" t="s">
        <v>297</v>
      </c>
      <c r="C273" s="2" t="s">
        <v>297</v>
      </c>
      <c r="D273" s="1" t="s">
        <v>642</v>
      </c>
      <c r="E273" s="3">
        <v>2855450</v>
      </c>
      <c r="F273" s="3">
        <v>431</v>
      </c>
      <c r="G273" s="3">
        <v>0</v>
      </c>
      <c r="H273" s="3">
        <v>9342</v>
      </c>
      <c r="I273" s="1">
        <v>0</v>
      </c>
      <c r="J273" s="3">
        <v>2855019</v>
      </c>
      <c r="K273" s="3">
        <v>2845677</v>
      </c>
      <c r="L273" s="3">
        <v>2845677</v>
      </c>
      <c r="M273" s="3">
        <v>98824</v>
      </c>
      <c r="N273" s="3">
        <v>285438</v>
      </c>
      <c r="O273" s="3">
        <v>26248</v>
      </c>
      <c r="P273" s="3">
        <v>27851</v>
      </c>
      <c r="Q273" s="3">
        <v>149881</v>
      </c>
      <c r="R273" s="3">
        <v>2266777</v>
      </c>
      <c r="S273" s="3">
        <v>2257435</v>
      </c>
      <c r="T273" s="3">
        <v>2257435</v>
      </c>
      <c r="U273" s="3">
        <v>285502</v>
      </c>
      <c r="V273" s="3">
        <v>285502</v>
      </c>
      <c r="W273" s="3">
        <v>285502</v>
      </c>
      <c r="X273" s="3">
        <v>285502</v>
      </c>
      <c r="Y273" s="3">
        <v>283945</v>
      </c>
      <c r="Z273" s="3">
        <v>283945</v>
      </c>
      <c r="AA273" s="4">
        <v>283945</v>
      </c>
      <c r="AB273" s="4">
        <v>283945</v>
      </c>
      <c r="AC273" s="4">
        <v>283945</v>
      </c>
      <c r="AD273" s="4">
        <v>283944</v>
      </c>
      <c r="AE273" s="4">
        <v>285502</v>
      </c>
      <c r="AF273" s="4">
        <v>571004</v>
      </c>
      <c r="AG273" s="4">
        <v>856506</v>
      </c>
      <c r="AH273" s="4">
        <v>1142008</v>
      </c>
      <c r="AI273" s="4">
        <v>1425953</v>
      </c>
      <c r="AJ273" s="4">
        <v>1709898</v>
      </c>
      <c r="AK273" s="4">
        <v>1993843</v>
      </c>
      <c r="AL273" s="4">
        <v>2277788</v>
      </c>
      <c r="AM273" s="4">
        <v>2561733</v>
      </c>
      <c r="AN273" s="4">
        <v>2845677</v>
      </c>
      <c r="AO273" s="150">
        <v>189586</v>
      </c>
    </row>
    <row r="274" spans="1:41" x14ac:dyDescent="0.2">
      <c r="A274" s="1">
        <v>2024</v>
      </c>
      <c r="B274" s="2" t="s">
        <v>298</v>
      </c>
      <c r="C274" s="2" t="s">
        <v>298</v>
      </c>
      <c r="D274" s="1" t="s">
        <v>643</v>
      </c>
      <c r="E274" s="3">
        <v>1511906</v>
      </c>
      <c r="F274" s="3">
        <v>381</v>
      </c>
      <c r="G274" s="3">
        <v>0</v>
      </c>
      <c r="H274" s="3">
        <v>4525</v>
      </c>
      <c r="I274" s="1">
        <v>0</v>
      </c>
      <c r="J274" s="3">
        <v>1511525</v>
      </c>
      <c r="K274" s="3">
        <v>1507000</v>
      </c>
      <c r="L274" s="3">
        <v>1507000</v>
      </c>
      <c r="M274" s="3">
        <v>87422</v>
      </c>
      <c r="N274" s="3">
        <v>146982</v>
      </c>
      <c r="O274" s="3">
        <v>15025</v>
      </c>
      <c r="P274" s="3">
        <v>18039</v>
      </c>
      <c r="Q274" s="3">
        <v>72600</v>
      </c>
      <c r="R274" s="3">
        <v>1171457</v>
      </c>
      <c r="S274" s="3">
        <v>1166932</v>
      </c>
      <c r="T274" s="3">
        <v>1166932</v>
      </c>
      <c r="U274" s="3">
        <v>151153</v>
      </c>
      <c r="V274" s="3">
        <v>151153</v>
      </c>
      <c r="W274" s="3">
        <v>151153</v>
      </c>
      <c r="X274" s="3">
        <v>151153</v>
      </c>
      <c r="Y274" s="3">
        <v>150398</v>
      </c>
      <c r="Z274" s="3">
        <v>150398</v>
      </c>
      <c r="AA274" s="4">
        <v>150398</v>
      </c>
      <c r="AB274" s="4">
        <v>150398</v>
      </c>
      <c r="AC274" s="4">
        <v>150398</v>
      </c>
      <c r="AD274" s="4">
        <v>150398</v>
      </c>
      <c r="AE274" s="4">
        <v>151153</v>
      </c>
      <c r="AF274" s="4">
        <v>302306</v>
      </c>
      <c r="AG274" s="4">
        <v>453459</v>
      </c>
      <c r="AH274" s="4">
        <v>604612</v>
      </c>
      <c r="AI274" s="4">
        <v>755010</v>
      </c>
      <c r="AJ274" s="4">
        <v>905408</v>
      </c>
      <c r="AK274" s="4">
        <v>1055806</v>
      </c>
      <c r="AL274" s="4">
        <v>1206204</v>
      </c>
      <c r="AM274" s="4">
        <v>1356602</v>
      </c>
      <c r="AN274" s="4">
        <v>1507000</v>
      </c>
      <c r="AO274" s="150">
        <v>90159</v>
      </c>
    </row>
    <row r="275" spans="1:41" x14ac:dyDescent="0.2">
      <c r="A275" s="1">
        <v>2024</v>
      </c>
      <c r="B275" s="2" t="s">
        <v>299</v>
      </c>
      <c r="C275" s="2" t="s">
        <v>299</v>
      </c>
      <c r="D275" s="1" t="s">
        <v>644</v>
      </c>
      <c r="E275" s="3">
        <v>4081401</v>
      </c>
      <c r="F275" s="3">
        <v>498</v>
      </c>
      <c r="G275" s="3">
        <v>0</v>
      </c>
      <c r="H275" s="3">
        <v>13428</v>
      </c>
      <c r="I275" s="1">
        <v>0</v>
      </c>
      <c r="J275" s="3">
        <v>4080903</v>
      </c>
      <c r="K275" s="3">
        <v>4067475</v>
      </c>
      <c r="L275" s="3">
        <v>4067475</v>
      </c>
      <c r="M275" s="3">
        <v>114027</v>
      </c>
      <c r="N275" s="3">
        <v>418026</v>
      </c>
      <c r="O275" s="3">
        <v>51355</v>
      </c>
      <c r="P275" s="3">
        <v>46445</v>
      </c>
      <c r="Q275" s="3">
        <v>216326</v>
      </c>
      <c r="R275" s="3">
        <v>3234724</v>
      </c>
      <c r="S275" s="3">
        <v>3221296</v>
      </c>
      <c r="T275" s="3">
        <v>3221296</v>
      </c>
      <c r="U275" s="3">
        <v>408090</v>
      </c>
      <c r="V275" s="3">
        <v>408090</v>
      </c>
      <c r="W275" s="3">
        <v>408090</v>
      </c>
      <c r="X275" s="3">
        <v>408090</v>
      </c>
      <c r="Y275" s="3">
        <v>405853</v>
      </c>
      <c r="Z275" s="3">
        <v>405853</v>
      </c>
      <c r="AA275" s="4">
        <v>405852</v>
      </c>
      <c r="AB275" s="4">
        <v>405852</v>
      </c>
      <c r="AC275" s="4">
        <v>405852</v>
      </c>
      <c r="AD275" s="4">
        <v>405853</v>
      </c>
      <c r="AE275" s="4">
        <v>408090</v>
      </c>
      <c r="AF275" s="4">
        <v>816180</v>
      </c>
      <c r="AG275" s="4">
        <v>1224270</v>
      </c>
      <c r="AH275" s="4">
        <v>1632360</v>
      </c>
      <c r="AI275" s="4">
        <v>2038213</v>
      </c>
      <c r="AJ275" s="4">
        <v>2444066</v>
      </c>
      <c r="AK275" s="4">
        <v>2849918</v>
      </c>
      <c r="AL275" s="4">
        <v>3255770</v>
      </c>
      <c r="AM275" s="4">
        <v>3661622</v>
      </c>
      <c r="AN275" s="4">
        <v>4067475</v>
      </c>
      <c r="AO275" s="150">
        <v>291096</v>
      </c>
    </row>
    <row r="276" spans="1:41" x14ac:dyDescent="0.2">
      <c r="A276" s="1">
        <v>2024</v>
      </c>
      <c r="B276" s="2" t="s">
        <v>300</v>
      </c>
      <c r="C276" s="2" t="s">
        <v>300</v>
      </c>
      <c r="D276" s="1" t="s">
        <v>645</v>
      </c>
      <c r="E276" s="3">
        <v>22777776</v>
      </c>
      <c r="F276" s="3">
        <v>2770</v>
      </c>
      <c r="G276" s="3">
        <v>2441</v>
      </c>
      <c r="H276" s="3">
        <v>58153</v>
      </c>
      <c r="I276" s="1">
        <v>0</v>
      </c>
      <c r="J276" s="3">
        <v>22772565</v>
      </c>
      <c r="K276" s="3">
        <v>22714412</v>
      </c>
      <c r="L276" s="3">
        <v>22714412</v>
      </c>
      <c r="M276" s="3">
        <v>634753</v>
      </c>
      <c r="N276" s="3">
        <v>1623098</v>
      </c>
      <c r="O276" s="3">
        <v>235195</v>
      </c>
      <c r="P276" s="3">
        <v>186764</v>
      </c>
      <c r="Q276" s="3">
        <v>933007</v>
      </c>
      <c r="R276" s="3">
        <v>19159748</v>
      </c>
      <c r="S276" s="3">
        <v>19101595</v>
      </c>
      <c r="T276" s="3">
        <v>19101595</v>
      </c>
      <c r="U276" s="3">
        <v>2277257</v>
      </c>
      <c r="V276" s="3">
        <v>2277257</v>
      </c>
      <c r="W276" s="3">
        <v>2277257</v>
      </c>
      <c r="X276" s="3">
        <v>2277257</v>
      </c>
      <c r="Y276" s="3">
        <v>2267564</v>
      </c>
      <c r="Z276" s="3">
        <v>2267564</v>
      </c>
      <c r="AA276" s="4">
        <v>2267564</v>
      </c>
      <c r="AB276" s="4">
        <v>2267564</v>
      </c>
      <c r="AC276" s="4">
        <v>2267564</v>
      </c>
      <c r="AD276" s="4">
        <v>2267564</v>
      </c>
      <c r="AE276" s="4">
        <v>2277257</v>
      </c>
      <c r="AF276" s="4">
        <v>4554514</v>
      </c>
      <c r="AG276" s="4">
        <v>6831771</v>
      </c>
      <c r="AH276" s="4">
        <v>9109028</v>
      </c>
      <c r="AI276" s="4">
        <v>11376592</v>
      </c>
      <c r="AJ276" s="4">
        <v>13644156</v>
      </c>
      <c r="AK276" s="4">
        <v>15911720</v>
      </c>
      <c r="AL276" s="4">
        <v>18179284</v>
      </c>
      <c r="AM276" s="4">
        <v>20446848</v>
      </c>
      <c r="AN276" s="4">
        <v>22714412</v>
      </c>
      <c r="AO276" s="150">
        <v>1351736</v>
      </c>
    </row>
    <row r="277" spans="1:41" x14ac:dyDescent="0.2">
      <c r="A277" s="1">
        <v>2024</v>
      </c>
      <c r="B277" s="2" t="s">
        <v>301</v>
      </c>
      <c r="C277" s="2" t="s">
        <v>301</v>
      </c>
      <c r="D277" s="1" t="s">
        <v>646</v>
      </c>
      <c r="E277" s="3">
        <v>916889</v>
      </c>
      <c r="F277" s="3">
        <v>282</v>
      </c>
      <c r="G277" s="3">
        <v>0</v>
      </c>
      <c r="H277" s="3">
        <v>3050</v>
      </c>
      <c r="I277" s="3">
        <v>0</v>
      </c>
      <c r="J277" s="3">
        <v>916607</v>
      </c>
      <c r="K277" s="3">
        <v>913557</v>
      </c>
      <c r="L277" s="3">
        <v>913557</v>
      </c>
      <c r="M277" s="3">
        <v>64616</v>
      </c>
      <c r="N277" s="3">
        <v>84129</v>
      </c>
      <c r="O277" s="3">
        <v>9473</v>
      </c>
      <c r="P277" s="3">
        <v>8361</v>
      </c>
      <c r="Q277" s="3">
        <v>48941</v>
      </c>
      <c r="R277" s="3">
        <v>701087</v>
      </c>
      <c r="S277" s="3">
        <v>698037</v>
      </c>
      <c r="T277" s="3">
        <v>698037</v>
      </c>
      <c r="U277" s="3">
        <v>91661</v>
      </c>
      <c r="V277" s="3">
        <v>91661</v>
      </c>
      <c r="W277" s="3">
        <v>91661</v>
      </c>
      <c r="X277" s="3">
        <v>91661</v>
      </c>
      <c r="Y277" s="3">
        <v>91152</v>
      </c>
      <c r="Z277" s="3">
        <v>91152</v>
      </c>
      <c r="AA277" s="4">
        <v>91152</v>
      </c>
      <c r="AB277" s="4">
        <v>91152</v>
      </c>
      <c r="AC277" s="4">
        <v>91152</v>
      </c>
      <c r="AD277" s="4">
        <v>91153</v>
      </c>
      <c r="AE277" s="4">
        <v>91661</v>
      </c>
      <c r="AF277" s="4">
        <v>183322</v>
      </c>
      <c r="AG277" s="4">
        <v>274983</v>
      </c>
      <c r="AH277" s="4">
        <v>366644</v>
      </c>
      <c r="AI277" s="4">
        <v>457796</v>
      </c>
      <c r="AJ277" s="4">
        <v>548948</v>
      </c>
      <c r="AK277" s="4">
        <v>640100</v>
      </c>
      <c r="AL277" s="4">
        <v>731252</v>
      </c>
      <c r="AM277" s="4">
        <v>822404</v>
      </c>
      <c r="AN277" s="4">
        <v>913557</v>
      </c>
      <c r="AO277" s="150">
        <v>74890</v>
      </c>
    </row>
    <row r="278" spans="1:41" x14ac:dyDescent="0.2">
      <c r="A278" s="1">
        <v>2024</v>
      </c>
      <c r="B278" s="2" t="s">
        <v>302</v>
      </c>
      <c r="C278" s="2" t="s">
        <v>302</v>
      </c>
      <c r="D278" s="1" t="s">
        <v>647</v>
      </c>
      <c r="E278" s="3">
        <v>5519248</v>
      </c>
      <c r="F278" s="3">
        <v>813</v>
      </c>
      <c r="G278" s="3">
        <v>7576</v>
      </c>
      <c r="H278" s="3">
        <v>21757</v>
      </c>
      <c r="I278" s="1">
        <v>0</v>
      </c>
      <c r="J278" s="3">
        <v>5510859</v>
      </c>
      <c r="K278" s="3">
        <v>5489102</v>
      </c>
      <c r="L278" s="3">
        <v>5489102</v>
      </c>
      <c r="M278" s="3">
        <v>186245</v>
      </c>
      <c r="N278" s="3">
        <v>634094</v>
      </c>
      <c r="O278" s="3">
        <v>69638</v>
      </c>
      <c r="P278" s="3">
        <v>63140</v>
      </c>
      <c r="Q278" s="3">
        <v>349072</v>
      </c>
      <c r="R278" s="3">
        <v>4208670</v>
      </c>
      <c r="S278" s="3">
        <v>4186913</v>
      </c>
      <c r="T278" s="3">
        <v>4186913</v>
      </c>
      <c r="U278" s="3">
        <v>551086</v>
      </c>
      <c r="V278" s="3">
        <v>551086</v>
      </c>
      <c r="W278" s="3">
        <v>551086</v>
      </c>
      <c r="X278" s="3">
        <v>551086</v>
      </c>
      <c r="Y278" s="3">
        <v>547460</v>
      </c>
      <c r="Z278" s="3">
        <v>547460</v>
      </c>
      <c r="AA278" s="4">
        <v>547460</v>
      </c>
      <c r="AB278" s="4">
        <v>547460</v>
      </c>
      <c r="AC278" s="4">
        <v>547460</v>
      </c>
      <c r="AD278" s="4">
        <v>547458</v>
      </c>
      <c r="AE278" s="4">
        <v>551086</v>
      </c>
      <c r="AF278" s="4">
        <v>1102172</v>
      </c>
      <c r="AG278" s="4">
        <v>1653258</v>
      </c>
      <c r="AH278" s="4">
        <v>2204344</v>
      </c>
      <c r="AI278" s="4">
        <v>2751804</v>
      </c>
      <c r="AJ278" s="4">
        <v>3299264</v>
      </c>
      <c r="AK278" s="4">
        <v>3846724</v>
      </c>
      <c r="AL278" s="4">
        <v>4394184</v>
      </c>
      <c r="AM278" s="4">
        <v>4941644</v>
      </c>
      <c r="AN278" s="4">
        <v>5489102</v>
      </c>
      <c r="AO278" s="150">
        <v>456094</v>
      </c>
    </row>
    <row r="279" spans="1:41" x14ac:dyDescent="0.2">
      <c r="A279" s="1">
        <v>2024</v>
      </c>
      <c r="B279" s="2" t="s">
        <v>303</v>
      </c>
      <c r="C279" s="2" t="s">
        <v>303</v>
      </c>
      <c r="D279" s="1" t="s">
        <v>648</v>
      </c>
      <c r="E279" s="3">
        <v>5155548</v>
      </c>
      <c r="F279" s="3">
        <v>746</v>
      </c>
      <c r="G279" s="3">
        <v>0</v>
      </c>
      <c r="H279" s="3">
        <v>17678</v>
      </c>
      <c r="I279" s="1">
        <v>0</v>
      </c>
      <c r="J279" s="3">
        <v>5154802</v>
      </c>
      <c r="K279" s="3">
        <v>5137124</v>
      </c>
      <c r="L279" s="3">
        <v>5137124</v>
      </c>
      <c r="M279" s="3">
        <v>171042</v>
      </c>
      <c r="N279" s="3">
        <v>517310</v>
      </c>
      <c r="O279" s="3">
        <v>53780</v>
      </c>
      <c r="P279" s="3">
        <v>57089</v>
      </c>
      <c r="Q279" s="3">
        <v>283621</v>
      </c>
      <c r="R279" s="3">
        <v>4071960</v>
      </c>
      <c r="S279" s="3">
        <v>4054282</v>
      </c>
      <c r="T279" s="3">
        <v>4054282</v>
      </c>
      <c r="U279" s="3">
        <v>515480</v>
      </c>
      <c r="V279" s="3">
        <v>515480</v>
      </c>
      <c r="W279" s="3">
        <v>515480</v>
      </c>
      <c r="X279" s="3">
        <v>515480</v>
      </c>
      <c r="Y279" s="3">
        <v>512534</v>
      </c>
      <c r="Z279" s="3">
        <v>512534</v>
      </c>
      <c r="AA279" s="4">
        <v>512534</v>
      </c>
      <c r="AB279" s="4">
        <v>512534</v>
      </c>
      <c r="AC279" s="4">
        <v>512534</v>
      </c>
      <c r="AD279" s="4">
        <v>512534</v>
      </c>
      <c r="AE279" s="4">
        <v>515480</v>
      </c>
      <c r="AF279" s="4">
        <v>1030960</v>
      </c>
      <c r="AG279" s="4">
        <v>1546440</v>
      </c>
      <c r="AH279" s="4">
        <v>2061920</v>
      </c>
      <c r="AI279" s="4">
        <v>2574454</v>
      </c>
      <c r="AJ279" s="4">
        <v>3086988</v>
      </c>
      <c r="AK279" s="4">
        <v>3599522</v>
      </c>
      <c r="AL279" s="4">
        <v>4112056</v>
      </c>
      <c r="AM279" s="4">
        <v>4624590</v>
      </c>
      <c r="AN279" s="4">
        <v>5137124</v>
      </c>
      <c r="AO279" s="150">
        <v>380765</v>
      </c>
    </row>
    <row r="280" spans="1:41" x14ac:dyDescent="0.2">
      <c r="A280" s="1">
        <v>2024</v>
      </c>
      <c r="B280" s="2" t="s">
        <v>304</v>
      </c>
      <c r="C280" s="2" t="s">
        <v>304</v>
      </c>
      <c r="D280" s="1" t="s">
        <v>649</v>
      </c>
      <c r="E280" s="3">
        <v>5862492</v>
      </c>
      <c r="F280" s="1">
        <v>531</v>
      </c>
      <c r="G280" s="1">
        <v>0</v>
      </c>
      <c r="H280" s="3">
        <v>19035</v>
      </c>
      <c r="I280" s="1">
        <v>0</v>
      </c>
      <c r="J280" s="3">
        <v>5861961</v>
      </c>
      <c r="K280" s="3">
        <v>5842926</v>
      </c>
      <c r="L280" s="3">
        <v>5842926</v>
      </c>
      <c r="M280" s="3">
        <v>121629</v>
      </c>
      <c r="N280" s="3">
        <v>533973</v>
      </c>
      <c r="O280" s="3">
        <v>62948</v>
      </c>
      <c r="P280" s="3">
        <v>57230</v>
      </c>
      <c r="Q280" s="3">
        <v>305401</v>
      </c>
      <c r="R280" s="3">
        <v>4780780</v>
      </c>
      <c r="S280" s="3">
        <v>4761745</v>
      </c>
      <c r="T280" s="3">
        <v>4761745</v>
      </c>
      <c r="U280" s="3">
        <v>586196</v>
      </c>
      <c r="V280" s="3">
        <v>586196</v>
      </c>
      <c r="W280" s="3">
        <v>586196</v>
      </c>
      <c r="X280" s="3">
        <v>586196</v>
      </c>
      <c r="Y280" s="3">
        <v>583024</v>
      </c>
      <c r="Z280" s="3">
        <v>583024</v>
      </c>
      <c r="AA280" s="4">
        <v>583024</v>
      </c>
      <c r="AB280" s="4">
        <v>583024</v>
      </c>
      <c r="AC280" s="4">
        <v>583024</v>
      </c>
      <c r="AD280" s="4">
        <v>583022</v>
      </c>
      <c r="AE280" s="4">
        <v>586196</v>
      </c>
      <c r="AF280" s="4">
        <v>1172392</v>
      </c>
      <c r="AG280" s="4">
        <v>1758588</v>
      </c>
      <c r="AH280" s="4">
        <v>2344784</v>
      </c>
      <c r="AI280" s="4">
        <v>2927808</v>
      </c>
      <c r="AJ280" s="4">
        <v>3510832</v>
      </c>
      <c r="AK280" s="4">
        <v>4093856</v>
      </c>
      <c r="AL280" s="4">
        <v>4676880</v>
      </c>
      <c r="AM280" s="4">
        <v>5259904</v>
      </c>
      <c r="AN280" s="4">
        <v>5842926</v>
      </c>
      <c r="AO280" s="150">
        <v>412145</v>
      </c>
    </row>
    <row r="281" spans="1:41" x14ac:dyDescent="0.2">
      <c r="A281" s="1">
        <v>2024</v>
      </c>
      <c r="B281" s="2" t="s">
        <v>305</v>
      </c>
      <c r="C281" s="2" t="s">
        <v>305</v>
      </c>
      <c r="D281" s="1" t="s">
        <v>650</v>
      </c>
      <c r="E281" s="3">
        <v>3413548</v>
      </c>
      <c r="F281" s="3">
        <v>0</v>
      </c>
      <c r="G281" s="3">
        <v>0</v>
      </c>
      <c r="H281" s="3">
        <v>13212</v>
      </c>
      <c r="I281" s="3">
        <v>0</v>
      </c>
      <c r="J281" s="3">
        <v>3413548</v>
      </c>
      <c r="K281" s="3">
        <v>3400336</v>
      </c>
      <c r="L281" s="3">
        <v>3400336</v>
      </c>
      <c r="M281" s="3">
        <v>0</v>
      </c>
      <c r="N281" s="3">
        <v>380702</v>
      </c>
      <c r="O281" s="3">
        <v>42392</v>
      </c>
      <c r="P281" s="3">
        <v>40333</v>
      </c>
      <c r="Q281" s="3">
        <v>211978</v>
      </c>
      <c r="R281" s="3">
        <v>2738143</v>
      </c>
      <c r="S281" s="3">
        <v>2724931</v>
      </c>
      <c r="T281" s="3">
        <v>2724931</v>
      </c>
      <c r="U281" s="3">
        <v>341355</v>
      </c>
      <c r="V281" s="3">
        <v>341355</v>
      </c>
      <c r="W281" s="3">
        <v>341355</v>
      </c>
      <c r="X281" s="3">
        <v>341355</v>
      </c>
      <c r="Y281" s="3">
        <v>339153</v>
      </c>
      <c r="Z281" s="3">
        <v>339153</v>
      </c>
      <c r="AA281" s="4">
        <v>339153</v>
      </c>
      <c r="AB281" s="4">
        <v>339153</v>
      </c>
      <c r="AC281" s="4">
        <v>339153</v>
      </c>
      <c r="AD281" s="4">
        <v>339151</v>
      </c>
      <c r="AE281" s="4">
        <v>341355</v>
      </c>
      <c r="AF281" s="4">
        <v>682710</v>
      </c>
      <c r="AG281" s="4">
        <v>1024065</v>
      </c>
      <c r="AH281" s="4">
        <v>1365420</v>
      </c>
      <c r="AI281" s="4">
        <v>1704573</v>
      </c>
      <c r="AJ281" s="4">
        <v>2043726</v>
      </c>
      <c r="AK281" s="4">
        <v>2382879</v>
      </c>
      <c r="AL281" s="4">
        <v>2722032</v>
      </c>
      <c r="AM281" s="4">
        <v>3061185</v>
      </c>
      <c r="AN281" s="4">
        <v>3400336</v>
      </c>
      <c r="AO281" s="150">
        <v>279992</v>
      </c>
    </row>
    <row r="282" spans="1:41" x14ac:dyDescent="0.2">
      <c r="A282" s="1">
        <v>2024</v>
      </c>
      <c r="B282" s="2" t="s">
        <v>306</v>
      </c>
      <c r="C282" s="2" t="s">
        <v>306</v>
      </c>
      <c r="D282" s="1" t="s">
        <v>651</v>
      </c>
      <c r="E282" s="3">
        <v>4561277</v>
      </c>
      <c r="F282" s="1">
        <v>697</v>
      </c>
      <c r="G282" s="1">
        <v>0</v>
      </c>
      <c r="H282" s="3">
        <v>15071</v>
      </c>
      <c r="I282" s="1">
        <v>0</v>
      </c>
      <c r="J282" s="3">
        <v>4560580</v>
      </c>
      <c r="K282" s="3">
        <v>4545509</v>
      </c>
      <c r="L282" s="3">
        <v>4545509</v>
      </c>
      <c r="M282" s="3">
        <v>159638</v>
      </c>
      <c r="N282" s="3">
        <v>432390</v>
      </c>
      <c r="O282" s="3">
        <v>47941</v>
      </c>
      <c r="P282" s="3">
        <v>48486</v>
      </c>
      <c r="Q282" s="3">
        <v>241793</v>
      </c>
      <c r="R282" s="3">
        <v>3630332</v>
      </c>
      <c r="S282" s="3">
        <v>3615261</v>
      </c>
      <c r="T282" s="3">
        <v>3615261</v>
      </c>
      <c r="U282" s="3">
        <v>456058</v>
      </c>
      <c r="V282" s="3">
        <v>456058</v>
      </c>
      <c r="W282" s="3">
        <v>456058</v>
      </c>
      <c r="X282" s="3">
        <v>456058</v>
      </c>
      <c r="Y282" s="3">
        <v>453546</v>
      </c>
      <c r="Z282" s="3">
        <v>453546</v>
      </c>
      <c r="AA282" s="4">
        <v>453546</v>
      </c>
      <c r="AB282" s="4">
        <v>453546</v>
      </c>
      <c r="AC282" s="4">
        <v>453546</v>
      </c>
      <c r="AD282" s="4">
        <v>453547</v>
      </c>
      <c r="AE282" s="4">
        <v>456058</v>
      </c>
      <c r="AF282" s="4">
        <v>912116</v>
      </c>
      <c r="AG282" s="4">
        <v>1368174</v>
      </c>
      <c r="AH282" s="4">
        <v>1824232</v>
      </c>
      <c r="AI282" s="4">
        <v>2277778</v>
      </c>
      <c r="AJ282" s="4">
        <v>2731324</v>
      </c>
      <c r="AK282" s="4">
        <v>3184870</v>
      </c>
      <c r="AL282" s="4">
        <v>3638416</v>
      </c>
      <c r="AM282" s="4">
        <v>4091962</v>
      </c>
      <c r="AN282" s="4">
        <v>4545509</v>
      </c>
      <c r="AO282" s="150">
        <v>313968</v>
      </c>
    </row>
    <row r="283" spans="1:41" x14ac:dyDescent="0.2">
      <c r="A283" s="1">
        <v>2024</v>
      </c>
      <c r="B283" s="2" t="s">
        <v>307</v>
      </c>
      <c r="C283" s="2" t="s">
        <v>307</v>
      </c>
      <c r="D283" s="1" t="s">
        <v>652</v>
      </c>
      <c r="E283" s="3">
        <v>1784212</v>
      </c>
      <c r="F283" s="3">
        <v>216</v>
      </c>
      <c r="G283" s="3">
        <v>0</v>
      </c>
      <c r="H283" s="3">
        <v>6105</v>
      </c>
      <c r="I283" s="1">
        <v>0</v>
      </c>
      <c r="J283" s="3">
        <v>1783996</v>
      </c>
      <c r="K283" s="3">
        <v>1777891</v>
      </c>
      <c r="L283" s="3">
        <v>1777891</v>
      </c>
      <c r="M283" s="3">
        <v>49412</v>
      </c>
      <c r="N283" s="3">
        <v>198300</v>
      </c>
      <c r="O283" s="3">
        <v>23369</v>
      </c>
      <c r="P283" s="3">
        <v>18579</v>
      </c>
      <c r="Q283" s="3">
        <v>97955</v>
      </c>
      <c r="R283" s="3">
        <v>1396381</v>
      </c>
      <c r="S283" s="3">
        <v>1390276</v>
      </c>
      <c r="T283" s="3">
        <v>1390276</v>
      </c>
      <c r="U283" s="3">
        <v>178400</v>
      </c>
      <c r="V283" s="3">
        <v>178400</v>
      </c>
      <c r="W283" s="3">
        <v>178400</v>
      </c>
      <c r="X283" s="3">
        <v>178400</v>
      </c>
      <c r="Y283" s="3">
        <v>177382</v>
      </c>
      <c r="Z283" s="3">
        <v>177382</v>
      </c>
      <c r="AA283" s="4">
        <v>177382</v>
      </c>
      <c r="AB283" s="4">
        <v>177382</v>
      </c>
      <c r="AC283" s="4">
        <v>177382</v>
      </c>
      <c r="AD283" s="4">
        <v>177381</v>
      </c>
      <c r="AE283" s="4">
        <v>178400</v>
      </c>
      <c r="AF283" s="4">
        <v>356800</v>
      </c>
      <c r="AG283" s="4">
        <v>535200</v>
      </c>
      <c r="AH283" s="4">
        <v>713600</v>
      </c>
      <c r="AI283" s="4">
        <v>890982</v>
      </c>
      <c r="AJ283" s="4">
        <v>1068364</v>
      </c>
      <c r="AK283" s="4">
        <v>1245746</v>
      </c>
      <c r="AL283" s="4">
        <v>1423128</v>
      </c>
      <c r="AM283" s="4">
        <v>1600510</v>
      </c>
      <c r="AN283" s="4">
        <v>1777891</v>
      </c>
      <c r="AO283" s="150">
        <v>122597</v>
      </c>
    </row>
    <row r="284" spans="1:41" x14ac:dyDescent="0.2">
      <c r="A284" s="1">
        <v>2024</v>
      </c>
      <c r="B284" s="2" t="s">
        <v>308</v>
      </c>
      <c r="C284" s="2" t="s">
        <v>308</v>
      </c>
      <c r="D284" s="1" t="s">
        <v>653</v>
      </c>
      <c r="E284" s="3">
        <v>2781528</v>
      </c>
      <c r="F284" s="1">
        <v>0</v>
      </c>
      <c r="G284" s="1">
        <v>0</v>
      </c>
      <c r="H284" s="3">
        <v>8745</v>
      </c>
      <c r="I284" s="1">
        <v>0</v>
      </c>
      <c r="J284" s="3">
        <v>2781528</v>
      </c>
      <c r="K284" s="3">
        <v>2772783</v>
      </c>
      <c r="L284" s="3">
        <v>2772783</v>
      </c>
      <c r="M284" s="3">
        <v>0</v>
      </c>
      <c r="N284" s="3">
        <v>269296</v>
      </c>
      <c r="O284" s="3">
        <v>29108</v>
      </c>
      <c r="P284" s="3">
        <v>28058</v>
      </c>
      <c r="Q284" s="3">
        <v>140299</v>
      </c>
      <c r="R284" s="3">
        <v>2314767</v>
      </c>
      <c r="S284" s="3">
        <v>2306022</v>
      </c>
      <c r="T284" s="3">
        <v>2306022</v>
      </c>
      <c r="U284" s="3">
        <v>278153</v>
      </c>
      <c r="V284" s="3">
        <v>278153</v>
      </c>
      <c r="W284" s="3">
        <v>278153</v>
      </c>
      <c r="X284" s="3">
        <v>278153</v>
      </c>
      <c r="Y284" s="3">
        <v>276695</v>
      </c>
      <c r="Z284" s="3">
        <v>276695</v>
      </c>
      <c r="AA284" s="4">
        <v>276695</v>
      </c>
      <c r="AB284" s="4">
        <v>276695</v>
      </c>
      <c r="AC284" s="4">
        <v>276695</v>
      </c>
      <c r="AD284" s="4">
        <v>276696</v>
      </c>
      <c r="AE284" s="4">
        <v>278153</v>
      </c>
      <c r="AF284" s="4">
        <v>556306</v>
      </c>
      <c r="AG284" s="4">
        <v>834459</v>
      </c>
      <c r="AH284" s="4">
        <v>1112612</v>
      </c>
      <c r="AI284" s="4">
        <v>1389307</v>
      </c>
      <c r="AJ284" s="4">
        <v>1666002</v>
      </c>
      <c r="AK284" s="4">
        <v>1942697</v>
      </c>
      <c r="AL284" s="4">
        <v>2219392</v>
      </c>
      <c r="AM284" s="4">
        <v>2496087</v>
      </c>
      <c r="AN284" s="4">
        <v>2772783</v>
      </c>
      <c r="AO284" s="150">
        <v>193878</v>
      </c>
    </row>
    <row r="285" spans="1:41" x14ac:dyDescent="0.2">
      <c r="A285" s="1">
        <v>2024</v>
      </c>
      <c r="B285" s="2" t="s">
        <v>309</v>
      </c>
      <c r="C285" s="2" t="s">
        <v>309</v>
      </c>
      <c r="D285" s="1" t="s">
        <v>654</v>
      </c>
      <c r="E285" s="3">
        <v>2222419</v>
      </c>
      <c r="F285" s="1">
        <v>547</v>
      </c>
      <c r="G285" s="1">
        <v>0</v>
      </c>
      <c r="H285" s="3">
        <v>8150</v>
      </c>
      <c r="I285" s="3">
        <v>0</v>
      </c>
      <c r="J285" s="3">
        <v>2221872</v>
      </c>
      <c r="K285" s="3">
        <v>2213722</v>
      </c>
      <c r="L285" s="3">
        <v>2213722</v>
      </c>
      <c r="M285" s="3">
        <v>125431</v>
      </c>
      <c r="N285" s="3">
        <v>248928</v>
      </c>
      <c r="O285" s="3">
        <v>21572</v>
      </c>
      <c r="P285" s="3">
        <v>28498</v>
      </c>
      <c r="Q285" s="3">
        <v>130754</v>
      </c>
      <c r="R285" s="3">
        <v>1666689</v>
      </c>
      <c r="S285" s="3">
        <v>1658539</v>
      </c>
      <c r="T285" s="3">
        <v>1658539</v>
      </c>
      <c r="U285" s="3">
        <v>222187</v>
      </c>
      <c r="V285" s="3">
        <v>222187</v>
      </c>
      <c r="W285" s="3">
        <v>222187</v>
      </c>
      <c r="X285" s="3">
        <v>222187</v>
      </c>
      <c r="Y285" s="3">
        <v>220829</v>
      </c>
      <c r="Z285" s="3">
        <v>220829</v>
      </c>
      <c r="AA285" s="4">
        <v>220829</v>
      </c>
      <c r="AB285" s="4">
        <v>220829</v>
      </c>
      <c r="AC285" s="4">
        <v>220829</v>
      </c>
      <c r="AD285" s="4">
        <v>220829</v>
      </c>
      <c r="AE285" s="4">
        <v>222187</v>
      </c>
      <c r="AF285" s="4">
        <v>444374</v>
      </c>
      <c r="AG285" s="4">
        <v>666561</v>
      </c>
      <c r="AH285" s="4">
        <v>888748</v>
      </c>
      <c r="AI285" s="4">
        <v>1109577</v>
      </c>
      <c r="AJ285" s="4">
        <v>1330406</v>
      </c>
      <c r="AK285" s="4">
        <v>1551235</v>
      </c>
      <c r="AL285" s="4">
        <v>1772064</v>
      </c>
      <c r="AM285" s="4">
        <v>1992893</v>
      </c>
      <c r="AN285" s="4">
        <v>2213722</v>
      </c>
      <c r="AO285" s="150">
        <v>177239</v>
      </c>
    </row>
    <row r="286" spans="1:41" x14ac:dyDescent="0.2">
      <c r="A286" s="1">
        <v>2024</v>
      </c>
      <c r="B286" s="2" t="s">
        <v>310</v>
      </c>
      <c r="C286" s="2" t="s">
        <v>310</v>
      </c>
      <c r="D286" s="1" t="s">
        <v>655</v>
      </c>
      <c r="E286" s="3">
        <v>2559024</v>
      </c>
      <c r="F286" s="1">
        <v>232</v>
      </c>
      <c r="G286" s="1">
        <v>0</v>
      </c>
      <c r="H286" s="3">
        <v>7419</v>
      </c>
      <c r="I286" s="1">
        <v>0</v>
      </c>
      <c r="J286" s="3">
        <v>2558792</v>
      </c>
      <c r="K286" s="3">
        <v>2551373</v>
      </c>
      <c r="L286" s="3">
        <v>2551373</v>
      </c>
      <c r="M286" s="3">
        <v>53213</v>
      </c>
      <c r="N286" s="3">
        <v>229459</v>
      </c>
      <c r="O286" s="3">
        <v>27981</v>
      </c>
      <c r="P286" s="3">
        <v>24160</v>
      </c>
      <c r="Q286" s="3">
        <v>119035</v>
      </c>
      <c r="R286" s="3">
        <v>2104944</v>
      </c>
      <c r="S286" s="3">
        <v>2097525</v>
      </c>
      <c r="T286" s="3">
        <v>2097525</v>
      </c>
      <c r="U286" s="3">
        <v>255879</v>
      </c>
      <c r="V286" s="3">
        <v>255879</v>
      </c>
      <c r="W286" s="3">
        <v>255879</v>
      </c>
      <c r="X286" s="3">
        <v>255879</v>
      </c>
      <c r="Y286" s="3">
        <v>254643</v>
      </c>
      <c r="Z286" s="3">
        <v>254643</v>
      </c>
      <c r="AA286" s="4">
        <v>254643</v>
      </c>
      <c r="AB286" s="4">
        <v>254643</v>
      </c>
      <c r="AC286" s="4">
        <v>254643</v>
      </c>
      <c r="AD286" s="4">
        <v>254642</v>
      </c>
      <c r="AE286" s="4">
        <v>255879</v>
      </c>
      <c r="AF286" s="4">
        <v>511758</v>
      </c>
      <c r="AG286" s="4">
        <v>767637</v>
      </c>
      <c r="AH286" s="4">
        <v>1023516</v>
      </c>
      <c r="AI286" s="4">
        <v>1278159</v>
      </c>
      <c r="AJ286" s="4">
        <v>1532802</v>
      </c>
      <c r="AK286" s="4">
        <v>1787445</v>
      </c>
      <c r="AL286" s="4">
        <v>2042088</v>
      </c>
      <c r="AM286" s="4">
        <v>2296731</v>
      </c>
      <c r="AN286" s="4">
        <v>2551373</v>
      </c>
      <c r="AO286" s="150">
        <v>156743</v>
      </c>
    </row>
    <row r="287" spans="1:41" x14ac:dyDescent="0.2">
      <c r="A287" s="1">
        <v>2024</v>
      </c>
      <c r="B287" s="2" t="s">
        <v>311</v>
      </c>
      <c r="C287" s="2" t="s">
        <v>311</v>
      </c>
      <c r="D287" s="1" t="s">
        <v>656</v>
      </c>
      <c r="E287" s="3">
        <v>809823</v>
      </c>
      <c r="F287" s="1">
        <v>33</v>
      </c>
      <c r="G287" s="1">
        <v>0</v>
      </c>
      <c r="H287" s="3">
        <v>3675</v>
      </c>
      <c r="I287" s="1">
        <v>0</v>
      </c>
      <c r="J287" s="3">
        <v>809790</v>
      </c>
      <c r="K287" s="3">
        <v>806115</v>
      </c>
      <c r="L287" s="3">
        <v>806115</v>
      </c>
      <c r="M287" s="3">
        <v>7602</v>
      </c>
      <c r="N287" s="3">
        <v>117045</v>
      </c>
      <c r="O287" s="3">
        <v>11654</v>
      </c>
      <c r="P287" s="3">
        <v>11656</v>
      </c>
      <c r="Q287" s="3">
        <v>58965</v>
      </c>
      <c r="R287" s="3">
        <v>602868</v>
      </c>
      <c r="S287" s="3">
        <v>599193</v>
      </c>
      <c r="T287" s="3">
        <v>599193</v>
      </c>
      <c r="U287" s="3">
        <v>80979</v>
      </c>
      <c r="V287" s="3">
        <v>80979</v>
      </c>
      <c r="W287" s="3">
        <v>80979</v>
      </c>
      <c r="X287" s="3">
        <v>80979</v>
      </c>
      <c r="Y287" s="3">
        <v>80367</v>
      </c>
      <c r="Z287" s="3">
        <v>80367</v>
      </c>
      <c r="AA287" s="4">
        <v>80366</v>
      </c>
      <c r="AB287" s="4">
        <v>80366</v>
      </c>
      <c r="AC287" s="4">
        <v>80366</v>
      </c>
      <c r="AD287" s="4">
        <v>80367</v>
      </c>
      <c r="AE287" s="4">
        <v>80979</v>
      </c>
      <c r="AF287" s="4">
        <v>161958</v>
      </c>
      <c r="AG287" s="4">
        <v>242937</v>
      </c>
      <c r="AH287" s="4">
        <v>323916</v>
      </c>
      <c r="AI287" s="4">
        <v>404283</v>
      </c>
      <c r="AJ287" s="4">
        <v>484650</v>
      </c>
      <c r="AK287" s="4">
        <v>565016</v>
      </c>
      <c r="AL287" s="4">
        <v>645382</v>
      </c>
      <c r="AM287" s="4">
        <v>725748</v>
      </c>
      <c r="AN287" s="4">
        <v>806115</v>
      </c>
      <c r="AO287" s="150">
        <v>82151</v>
      </c>
    </row>
    <row r="288" spans="1:41" x14ac:dyDescent="0.2">
      <c r="A288" s="1">
        <v>2024</v>
      </c>
      <c r="B288" s="2" t="s">
        <v>312</v>
      </c>
      <c r="C288" s="2" t="s">
        <v>312</v>
      </c>
      <c r="D288" s="1" t="s">
        <v>657</v>
      </c>
      <c r="E288" s="3">
        <v>5146379</v>
      </c>
      <c r="F288" s="1">
        <v>580</v>
      </c>
      <c r="G288" s="1">
        <v>0</v>
      </c>
      <c r="H288" s="3">
        <v>17565</v>
      </c>
      <c r="I288" s="1">
        <v>0</v>
      </c>
      <c r="J288" s="3">
        <v>5145799</v>
      </c>
      <c r="K288" s="3">
        <v>5128234</v>
      </c>
      <c r="L288" s="3">
        <v>5128234</v>
      </c>
      <c r="M288" s="3">
        <v>133033</v>
      </c>
      <c r="N288" s="3">
        <v>479612</v>
      </c>
      <c r="O288" s="3">
        <v>55112</v>
      </c>
      <c r="P288" s="3">
        <v>50011</v>
      </c>
      <c r="Q288" s="3">
        <v>281815</v>
      </c>
      <c r="R288" s="3">
        <v>4146216</v>
      </c>
      <c r="S288" s="3">
        <v>4128651</v>
      </c>
      <c r="T288" s="3">
        <v>4128651</v>
      </c>
      <c r="U288" s="3">
        <v>514580</v>
      </c>
      <c r="V288" s="3">
        <v>514580</v>
      </c>
      <c r="W288" s="3">
        <v>514580</v>
      </c>
      <c r="X288" s="3">
        <v>514580</v>
      </c>
      <c r="Y288" s="3">
        <v>511652</v>
      </c>
      <c r="Z288" s="3">
        <v>511652</v>
      </c>
      <c r="AA288" s="4">
        <v>511653</v>
      </c>
      <c r="AB288" s="4">
        <v>511653</v>
      </c>
      <c r="AC288" s="4">
        <v>511653</v>
      </c>
      <c r="AD288" s="4">
        <v>511651</v>
      </c>
      <c r="AE288" s="4">
        <v>514580</v>
      </c>
      <c r="AF288" s="4">
        <v>1029160</v>
      </c>
      <c r="AG288" s="4">
        <v>1543740</v>
      </c>
      <c r="AH288" s="4">
        <v>2058320</v>
      </c>
      <c r="AI288" s="4">
        <v>2569972</v>
      </c>
      <c r="AJ288" s="4">
        <v>3081624</v>
      </c>
      <c r="AK288" s="4">
        <v>3593277</v>
      </c>
      <c r="AL288" s="4">
        <v>4104930</v>
      </c>
      <c r="AM288" s="4">
        <v>4616583</v>
      </c>
      <c r="AN288" s="4">
        <v>5128234</v>
      </c>
      <c r="AO288" s="150">
        <v>376121</v>
      </c>
    </row>
    <row r="289" spans="1:41" x14ac:dyDescent="0.2">
      <c r="A289" s="1">
        <v>2024</v>
      </c>
      <c r="B289" s="2" t="s">
        <v>313</v>
      </c>
      <c r="C289" s="2" t="s">
        <v>313</v>
      </c>
      <c r="D289" s="1" t="s">
        <v>658</v>
      </c>
      <c r="E289" s="3">
        <v>1633564</v>
      </c>
      <c r="F289" s="1">
        <v>879</v>
      </c>
      <c r="G289" s="1">
        <v>0</v>
      </c>
      <c r="H289" s="3">
        <v>8864</v>
      </c>
      <c r="I289" s="1">
        <v>0</v>
      </c>
      <c r="J289" s="3">
        <v>1632685</v>
      </c>
      <c r="K289" s="3">
        <v>1623821</v>
      </c>
      <c r="L289" s="3">
        <v>1623821</v>
      </c>
      <c r="M289" s="3">
        <v>201449</v>
      </c>
      <c r="N289" s="3">
        <v>223035</v>
      </c>
      <c r="O289" s="3">
        <v>29818</v>
      </c>
      <c r="P289" s="3">
        <v>19924</v>
      </c>
      <c r="Q289" s="3">
        <v>142216</v>
      </c>
      <c r="R289" s="3">
        <v>1016243</v>
      </c>
      <c r="S289" s="3">
        <v>1007379</v>
      </c>
      <c r="T289" s="3">
        <v>1007379</v>
      </c>
      <c r="U289" s="3">
        <v>163269</v>
      </c>
      <c r="V289" s="3">
        <v>163269</v>
      </c>
      <c r="W289" s="3">
        <v>163269</v>
      </c>
      <c r="X289" s="3">
        <v>163269</v>
      </c>
      <c r="Y289" s="3">
        <v>161791</v>
      </c>
      <c r="Z289" s="3">
        <v>161791</v>
      </c>
      <c r="AA289" s="4">
        <v>161791</v>
      </c>
      <c r="AB289" s="4">
        <v>161791</v>
      </c>
      <c r="AC289" s="4">
        <v>161791</v>
      </c>
      <c r="AD289" s="4">
        <v>161790</v>
      </c>
      <c r="AE289" s="4">
        <v>163269</v>
      </c>
      <c r="AF289" s="4">
        <v>326538</v>
      </c>
      <c r="AG289" s="4">
        <v>489807</v>
      </c>
      <c r="AH289" s="4">
        <v>653076</v>
      </c>
      <c r="AI289" s="4">
        <v>814867</v>
      </c>
      <c r="AJ289" s="4">
        <v>976658</v>
      </c>
      <c r="AK289" s="4">
        <v>1138449</v>
      </c>
      <c r="AL289" s="4">
        <v>1300240</v>
      </c>
      <c r="AM289" s="4">
        <v>1462031</v>
      </c>
      <c r="AN289" s="4">
        <v>1623821</v>
      </c>
      <c r="AO289" s="150">
        <v>177078</v>
      </c>
    </row>
    <row r="290" spans="1:41" x14ac:dyDescent="0.2">
      <c r="A290" s="1">
        <v>2024</v>
      </c>
      <c r="B290" s="2" t="s">
        <v>314</v>
      </c>
      <c r="C290" s="2" t="s">
        <v>314</v>
      </c>
      <c r="D290" s="1" t="s">
        <v>659</v>
      </c>
      <c r="E290" s="3">
        <v>23744162</v>
      </c>
      <c r="F290" s="3">
        <v>3251</v>
      </c>
      <c r="G290" s="3">
        <v>41710</v>
      </c>
      <c r="H290" s="3">
        <v>79201</v>
      </c>
      <c r="I290" s="1">
        <v>0</v>
      </c>
      <c r="J290" s="3">
        <v>23699201</v>
      </c>
      <c r="K290" s="3">
        <v>23620000</v>
      </c>
      <c r="L290" s="3">
        <v>23620000</v>
      </c>
      <c r="M290" s="3">
        <v>748686</v>
      </c>
      <c r="N290" s="3">
        <v>2284300</v>
      </c>
      <c r="O290" s="3">
        <v>261600</v>
      </c>
      <c r="P290" s="3">
        <v>268220</v>
      </c>
      <c r="Q290" s="3">
        <v>1270691</v>
      </c>
      <c r="R290" s="3">
        <v>18865704</v>
      </c>
      <c r="S290" s="3">
        <v>18786503</v>
      </c>
      <c r="T290" s="3">
        <v>18786503</v>
      </c>
      <c r="U290" s="3">
        <v>2369920</v>
      </c>
      <c r="V290" s="3">
        <v>2369920</v>
      </c>
      <c r="W290" s="3">
        <v>2369920</v>
      </c>
      <c r="X290" s="3">
        <v>2369920</v>
      </c>
      <c r="Y290" s="3">
        <v>2356720</v>
      </c>
      <c r="Z290" s="3">
        <v>2356720</v>
      </c>
      <c r="AA290" s="4">
        <v>2356720</v>
      </c>
      <c r="AB290" s="4">
        <v>2356720</v>
      </c>
      <c r="AC290" s="4">
        <v>2356720</v>
      </c>
      <c r="AD290" s="4">
        <v>2356720</v>
      </c>
      <c r="AE290" s="4">
        <v>2369920</v>
      </c>
      <c r="AF290" s="4">
        <v>4739840</v>
      </c>
      <c r="AG290" s="4">
        <v>7109760</v>
      </c>
      <c r="AH290" s="4">
        <v>9479680</v>
      </c>
      <c r="AI290" s="4">
        <v>11836400</v>
      </c>
      <c r="AJ290" s="4">
        <v>14193120</v>
      </c>
      <c r="AK290" s="4">
        <v>16549840</v>
      </c>
      <c r="AL290" s="4">
        <v>18906560</v>
      </c>
      <c r="AM290" s="4">
        <v>21263280</v>
      </c>
      <c r="AN290" s="4">
        <v>23620000</v>
      </c>
      <c r="AO290" s="150">
        <v>1714409</v>
      </c>
    </row>
    <row r="291" spans="1:41" x14ac:dyDescent="0.2">
      <c r="A291" s="1">
        <v>2024</v>
      </c>
      <c r="B291" s="2" t="s">
        <v>316</v>
      </c>
      <c r="C291" s="2" t="s">
        <v>316</v>
      </c>
      <c r="D291" s="1" t="s">
        <v>804</v>
      </c>
      <c r="E291" s="3">
        <v>6287372</v>
      </c>
      <c r="F291" s="3">
        <v>929</v>
      </c>
      <c r="G291" s="3">
        <v>37880</v>
      </c>
      <c r="H291" s="3">
        <v>22214</v>
      </c>
      <c r="I291" s="3">
        <v>0</v>
      </c>
      <c r="J291" s="3">
        <v>6248563</v>
      </c>
      <c r="K291" s="3">
        <v>6226349</v>
      </c>
      <c r="L291" s="3">
        <v>6226349</v>
      </c>
      <c r="M291" s="3">
        <v>212851</v>
      </c>
      <c r="N291" s="3">
        <v>632996</v>
      </c>
      <c r="O291" s="3">
        <v>76546</v>
      </c>
      <c r="P291" s="3">
        <v>63442</v>
      </c>
      <c r="Q291" s="3">
        <v>356405</v>
      </c>
      <c r="R291" s="3">
        <v>4906323</v>
      </c>
      <c r="S291" s="3">
        <v>4884109</v>
      </c>
      <c r="T291" s="3">
        <v>4884109</v>
      </c>
      <c r="U291" s="3">
        <v>624856</v>
      </c>
      <c r="V291" s="3">
        <v>624856</v>
      </c>
      <c r="W291" s="3">
        <v>624856</v>
      </c>
      <c r="X291" s="3">
        <v>624856</v>
      </c>
      <c r="Y291" s="3">
        <v>621154</v>
      </c>
      <c r="Z291" s="3">
        <v>621154</v>
      </c>
      <c r="AA291" s="4">
        <v>621154</v>
      </c>
      <c r="AB291" s="4">
        <v>621154</v>
      </c>
      <c r="AC291" s="4">
        <v>621154</v>
      </c>
      <c r="AD291" s="4">
        <v>621155</v>
      </c>
      <c r="AE291" s="4">
        <v>624856</v>
      </c>
      <c r="AF291" s="4">
        <v>1249712</v>
      </c>
      <c r="AG291" s="4">
        <v>1874568</v>
      </c>
      <c r="AH291" s="4">
        <v>2499424</v>
      </c>
      <c r="AI291" s="4">
        <v>3120578</v>
      </c>
      <c r="AJ291" s="4">
        <v>3741732</v>
      </c>
      <c r="AK291" s="4">
        <v>4362886</v>
      </c>
      <c r="AL291" s="4">
        <v>4984040</v>
      </c>
      <c r="AM291" s="4">
        <v>5605194</v>
      </c>
      <c r="AN291" s="4">
        <v>6226349</v>
      </c>
      <c r="AO291" s="150">
        <v>456069</v>
      </c>
    </row>
    <row r="292" spans="1:41" x14ac:dyDescent="0.2">
      <c r="A292" s="1">
        <v>2024</v>
      </c>
      <c r="B292" s="2" t="s">
        <v>317</v>
      </c>
      <c r="C292" s="2" t="s">
        <v>317</v>
      </c>
      <c r="D292" s="1" t="s">
        <v>660</v>
      </c>
      <c r="E292" s="3">
        <v>5989515</v>
      </c>
      <c r="F292" s="3">
        <v>829</v>
      </c>
      <c r="G292" s="3">
        <v>1894</v>
      </c>
      <c r="H292" s="3">
        <v>20547</v>
      </c>
      <c r="I292" s="1">
        <v>0</v>
      </c>
      <c r="J292" s="3">
        <v>5986792</v>
      </c>
      <c r="K292" s="3">
        <v>5966245</v>
      </c>
      <c r="L292" s="3">
        <v>5966245</v>
      </c>
      <c r="M292" s="3">
        <v>190046</v>
      </c>
      <c r="N292" s="3">
        <v>601802</v>
      </c>
      <c r="O292" s="3">
        <v>66274</v>
      </c>
      <c r="P292" s="3">
        <v>62776</v>
      </c>
      <c r="Q292" s="3">
        <v>329650</v>
      </c>
      <c r="R292" s="3">
        <v>4736244</v>
      </c>
      <c r="S292" s="3">
        <v>4715697</v>
      </c>
      <c r="T292" s="3">
        <v>4715697</v>
      </c>
      <c r="U292" s="3">
        <v>598679</v>
      </c>
      <c r="V292" s="3">
        <v>598679</v>
      </c>
      <c r="W292" s="3">
        <v>598679</v>
      </c>
      <c r="X292" s="3">
        <v>598679</v>
      </c>
      <c r="Y292" s="3">
        <v>595255</v>
      </c>
      <c r="Z292" s="3">
        <v>595255</v>
      </c>
      <c r="AA292" s="4">
        <v>595255</v>
      </c>
      <c r="AB292" s="4">
        <v>595255</v>
      </c>
      <c r="AC292" s="4">
        <v>595255</v>
      </c>
      <c r="AD292" s="4">
        <v>595254</v>
      </c>
      <c r="AE292" s="4">
        <v>598679</v>
      </c>
      <c r="AF292" s="4">
        <v>1197358</v>
      </c>
      <c r="AG292" s="4">
        <v>1796037</v>
      </c>
      <c r="AH292" s="4">
        <v>2394716</v>
      </c>
      <c r="AI292" s="4">
        <v>2989971</v>
      </c>
      <c r="AJ292" s="4">
        <v>3585226</v>
      </c>
      <c r="AK292" s="4">
        <v>4180481</v>
      </c>
      <c r="AL292" s="4">
        <v>4775736</v>
      </c>
      <c r="AM292" s="4">
        <v>5370991</v>
      </c>
      <c r="AN292" s="4">
        <v>5966245</v>
      </c>
      <c r="AO292" s="150">
        <v>429010</v>
      </c>
    </row>
    <row r="293" spans="1:41" x14ac:dyDescent="0.2">
      <c r="A293" s="1">
        <v>2024</v>
      </c>
      <c r="B293" s="2" t="s">
        <v>318</v>
      </c>
      <c r="C293" s="2" t="s">
        <v>318</v>
      </c>
      <c r="D293" s="1" t="s">
        <v>661</v>
      </c>
      <c r="E293" s="3">
        <v>2088381</v>
      </c>
      <c r="F293" s="3">
        <v>265</v>
      </c>
      <c r="G293" s="3">
        <v>0</v>
      </c>
      <c r="H293" s="3">
        <v>7146</v>
      </c>
      <c r="I293" s="1">
        <v>0</v>
      </c>
      <c r="J293" s="3">
        <v>2088116</v>
      </c>
      <c r="K293" s="3">
        <v>2080970</v>
      </c>
      <c r="L293" s="3">
        <v>2080970</v>
      </c>
      <c r="M293" s="3">
        <v>60815</v>
      </c>
      <c r="N293" s="3">
        <v>207992</v>
      </c>
      <c r="O293" s="3">
        <v>25485</v>
      </c>
      <c r="P293" s="3">
        <v>22496</v>
      </c>
      <c r="Q293" s="3">
        <v>114650</v>
      </c>
      <c r="R293" s="3">
        <v>1656678</v>
      </c>
      <c r="S293" s="3">
        <v>1649532</v>
      </c>
      <c r="T293" s="3">
        <v>1649532</v>
      </c>
      <c r="U293" s="3">
        <v>208812</v>
      </c>
      <c r="V293" s="3">
        <v>208812</v>
      </c>
      <c r="W293" s="3">
        <v>208812</v>
      </c>
      <c r="X293" s="3">
        <v>208812</v>
      </c>
      <c r="Y293" s="3">
        <v>207620</v>
      </c>
      <c r="Z293" s="3">
        <v>207620</v>
      </c>
      <c r="AA293" s="4">
        <v>207621</v>
      </c>
      <c r="AB293" s="4">
        <v>207621</v>
      </c>
      <c r="AC293" s="4">
        <v>207621</v>
      </c>
      <c r="AD293" s="4">
        <v>207619</v>
      </c>
      <c r="AE293" s="4">
        <v>208812</v>
      </c>
      <c r="AF293" s="4">
        <v>417624</v>
      </c>
      <c r="AG293" s="4">
        <v>626436</v>
      </c>
      <c r="AH293" s="4">
        <v>835248</v>
      </c>
      <c r="AI293" s="4">
        <v>1042868</v>
      </c>
      <c r="AJ293" s="4">
        <v>1250488</v>
      </c>
      <c r="AK293" s="4">
        <v>1458109</v>
      </c>
      <c r="AL293" s="4">
        <v>1665730</v>
      </c>
      <c r="AM293" s="4">
        <v>1873351</v>
      </c>
      <c r="AN293" s="4">
        <v>2080970</v>
      </c>
      <c r="AO293" s="150">
        <v>144305</v>
      </c>
    </row>
    <row r="294" spans="1:41" x14ac:dyDescent="0.2">
      <c r="A294" s="1">
        <v>2024</v>
      </c>
      <c r="B294" s="2" t="s">
        <v>319</v>
      </c>
      <c r="C294" s="2" t="s">
        <v>319</v>
      </c>
      <c r="D294" s="1" t="s">
        <v>662</v>
      </c>
      <c r="E294" s="3">
        <v>11755048</v>
      </c>
      <c r="F294" s="3">
        <v>1426</v>
      </c>
      <c r="G294" s="3">
        <v>1641</v>
      </c>
      <c r="H294" s="3">
        <v>37246</v>
      </c>
      <c r="I294" s="1">
        <v>0</v>
      </c>
      <c r="J294" s="3">
        <v>11751981</v>
      </c>
      <c r="K294" s="3">
        <v>11714735</v>
      </c>
      <c r="L294" s="3">
        <v>11714735</v>
      </c>
      <c r="M294" s="3">
        <v>326879</v>
      </c>
      <c r="N294" s="3">
        <v>1096864</v>
      </c>
      <c r="O294" s="3">
        <v>120964</v>
      </c>
      <c r="P294" s="3">
        <v>123493</v>
      </c>
      <c r="Q294" s="3">
        <v>597571</v>
      </c>
      <c r="R294" s="3">
        <v>9486210</v>
      </c>
      <c r="S294" s="3">
        <v>9448964</v>
      </c>
      <c r="T294" s="3">
        <v>9448964</v>
      </c>
      <c r="U294" s="3">
        <v>1175198</v>
      </c>
      <c r="V294" s="3">
        <v>1175198</v>
      </c>
      <c r="W294" s="3">
        <v>1175198</v>
      </c>
      <c r="X294" s="3">
        <v>1175198</v>
      </c>
      <c r="Y294" s="3">
        <v>1168991</v>
      </c>
      <c r="Z294" s="3">
        <v>1168991</v>
      </c>
      <c r="AA294" s="4">
        <v>1168990</v>
      </c>
      <c r="AB294" s="4">
        <v>1168990</v>
      </c>
      <c r="AC294" s="4">
        <v>1168990</v>
      </c>
      <c r="AD294" s="4">
        <v>1168991</v>
      </c>
      <c r="AE294" s="4">
        <v>1175198</v>
      </c>
      <c r="AF294" s="4">
        <v>2350396</v>
      </c>
      <c r="AG294" s="4">
        <v>3525594</v>
      </c>
      <c r="AH294" s="4">
        <v>4700792</v>
      </c>
      <c r="AI294" s="4">
        <v>5869783</v>
      </c>
      <c r="AJ294" s="4">
        <v>7038774</v>
      </c>
      <c r="AK294" s="4">
        <v>8207764</v>
      </c>
      <c r="AL294" s="4">
        <v>9376754</v>
      </c>
      <c r="AM294" s="4">
        <v>10545744</v>
      </c>
      <c r="AN294" s="4">
        <v>11714735</v>
      </c>
      <c r="AO294" s="150">
        <v>779231</v>
      </c>
    </row>
    <row r="295" spans="1:41" x14ac:dyDescent="0.2">
      <c r="A295" s="1">
        <v>2024</v>
      </c>
      <c r="B295" s="2" t="s">
        <v>320</v>
      </c>
      <c r="C295" s="2" t="s">
        <v>320</v>
      </c>
      <c r="D295" s="1" t="s">
        <v>663</v>
      </c>
      <c r="E295" s="3">
        <v>3781183</v>
      </c>
      <c r="F295" s="3">
        <v>514</v>
      </c>
      <c r="G295" s="3">
        <v>0</v>
      </c>
      <c r="H295" s="3">
        <v>11242</v>
      </c>
      <c r="I295" s="1">
        <v>0</v>
      </c>
      <c r="J295" s="3">
        <v>3780669</v>
      </c>
      <c r="K295" s="3">
        <v>3769427</v>
      </c>
      <c r="L295" s="3">
        <v>3769427</v>
      </c>
      <c r="M295" s="3">
        <v>117829</v>
      </c>
      <c r="N295" s="3">
        <v>356078</v>
      </c>
      <c r="O295" s="3">
        <v>38888</v>
      </c>
      <c r="P295" s="3">
        <v>38325</v>
      </c>
      <c r="Q295" s="3">
        <v>180359</v>
      </c>
      <c r="R295" s="3">
        <v>3049190</v>
      </c>
      <c r="S295" s="3">
        <v>3037948</v>
      </c>
      <c r="T295" s="3">
        <v>3037948</v>
      </c>
      <c r="U295" s="3">
        <v>378067</v>
      </c>
      <c r="V295" s="3">
        <v>378067</v>
      </c>
      <c r="W295" s="3">
        <v>378067</v>
      </c>
      <c r="X295" s="3">
        <v>378067</v>
      </c>
      <c r="Y295" s="3">
        <v>376193</v>
      </c>
      <c r="Z295" s="3">
        <v>376193</v>
      </c>
      <c r="AA295" s="4">
        <v>376193</v>
      </c>
      <c r="AB295" s="4">
        <v>376193</v>
      </c>
      <c r="AC295" s="4">
        <v>376193</v>
      </c>
      <c r="AD295" s="4">
        <v>376194</v>
      </c>
      <c r="AE295" s="4">
        <v>378067</v>
      </c>
      <c r="AF295" s="4">
        <v>756134</v>
      </c>
      <c r="AG295" s="4">
        <v>1134201</v>
      </c>
      <c r="AH295" s="4">
        <v>1512268</v>
      </c>
      <c r="AI295" s="4">
        <v>1888461</v>
      </c>
      <c r="AJ295" s="4">
        <v>2264654</v>
      </c>
      <c r="AK295" s="4">
        <v>2640847</v>
      </c>
      <c r="AL295" s="4">
        <v>3017040</v>
      </c>
      <c r="AM295" s="4">
        <v>3393233</v>
      </c>
      <c r="AN295" s="4">
        <v>3769427</v>
      </c>
      <c r="AO295" s="150">
        <v>236491</v>
      </c>
    </row>
    <row r="296" spans="1:41" x14ac:dyDescent="0.2">
      <c r="A296" s="1">
        <v>2024</v>
      </c>
      <c r="B296" s="2" t="s">
        <v>321</v>
      </c>
      <c r="C296" s="2" t="s">
        <v>321</v>
      </c>
      <c r="D296" s="1" t="s">
        <v>664</v>
      </c>
      <c r="E296" s="3">
        <v>5137221</v>
      </c>
      <c r="F296" s="3">
        <v>580</v>
      </c>
      <c r="G296" s="3">
        <v>0</v>
      </c>
      <c r="H296" s="3">
        <v>19191</v>
      </c>
      <c r="I296" s="1">
        <v>0</v>
      </c>
      <c r="J296" s="3">
        <v>5136641</v>
      </c>
      <c r="K296" s="3">
        <v>5117450</v>
      </c>
      <c r="L296" s="3">
        <v>5117450</v>
      </c>
      <c r="M296" s="3">
        <v>129326</v>
      </c>
      <c r="N296" s="3">
        <v>579494</v>
      </c>
      <c r="O296" s="3">
        <v>67007</v>
      </c>
      <c r="P296" s="3">
        <v>61735</v>
      </c>
      <c r="Q296" s="3">
        <v>307907</v>
      </c>
      <c r="R296" s="3">
        <v>3991172</v>
      </c>
      <c r="S296" s="3">
        <v>3971981</v>
      </c>
      <c r="T296" s="3">
        <v>3971981</v>
      </c>
      <c r="U296" s="3">
        <v>513664</v>
      </c>
      <c r="V296" s="3">
        <v>513664</v>
      </c>
      <c r="W296" s="3">
        <v>513664</v>
      </c>
      <c r="X296" s="3">
        <v>513664</v>
      </c>
      <c r="Y296" s="3">
        <v>510466</v>
      </c>
      <c r="Z296" s="3">
        <v>510466</v>
      </c>
      <c r="AA296" s="4">
        <v>510466</v>
      </c>
      <c r="AB296" s="4">
        <v>510466</v>
      </c>
      <c r="AC296" s="4">
        <v>510466</v>
      </c>
      <c r="AD296" s="4">
        <v>510464</v>
      </c>
      <c r="AE296" s="4">
        <v>513664</v>
      </c>
      <c r="AF296" s="4">
        <v>1027328</v>
      </c>
      <c r="AG296" s="4">
        <v>1540992</v>
      </c>
      <c r="AH296" s="4">
        <v>2054656</v>
      </c>
      <c r="AI296" s="4">
        <v>2565122</v>
      </c>
      <c r="AJ296" s="4">
        <v>3075588</v>
      </c>
      <c r="AK296" s="4">
        <v>3586054</v>
      </c>
      <c r="AL296" s="4">
        <v>4096520</v>
      </c>
      <c r="AM296" s="4">
        <v>4606986</v>
      </c>
      <c r="AN296" s="4">
        <v>5117450</v>
      </c>
      <c r="AO296" s="150">
        <v>414842</v>
      </c>
    </row>
    <row r="297" spans="1:41" x14ac:dyDescent="0.2">
      <c r="A297" s="1">
        <v>2024</v>
      </c>
      <c r="B297" s="2" t="s">
        <v>322</v>
      </c>
      <c r="C297" s="2" t="s">
        <v>322</v>
      </c>
      <c r="D297" s="1" t="s">
        <v>665</v>
      </c>
      <c r="E297" s="3">
        <v>3743617</v>
      </c>
      <c r="F297" s="3">
        <v>431</v>
      </c>
      <c r="G297" s="3">
        <v>0</v>
      </c>
      <c r="H297" s="3">
        <v>12275</v>
      </c>
      <c r="I297" s="1">
        <v>0</v>
      </c>
      <c r="J297" s="3">
        <v>3743186</v>
      </c>
      <c r="K297" s="3">
        <v>3730911</v>
      </c>
      <c r="L297" s="3">
        <v>3730911</v>
      </c>
      <c r="M297" s="3">
        <v>98824</v>
      </c>
      <c r="N297" s="3">
        <v>368501</v>
      </c>
      <c r="O297" s="3">
        <v>45873</v>
      </c>
      <c r="P297" s="3">
        <v>38541</v>
      </c>
      <c r="Q297" s="3">
        <v>196942</v>
      </c>
      <c r="R297" s="3">
        <v>2994505</v>
      </c>
      <c r="S297" s="3">
        <v>2982230</v>
      </c>
      <c r="T297" s="3">
        <v>2982230</v>
      </c>
      <c r="U297" s="3">
        <v>374319</v>
      </c>
      <c r="V297" s="3">
        <v>374319</v>
      </c>
      <c r="W297" s="3">
        <v>374319</v>
      </c>
      <c r="X297" s="3">
        <v>374319</v>
      </c>
      <c r="Y297" s="3">
        <v>372273</v>
      </c>
      <c r="Z297" s="3">
        <v>372273</v>
      </c>
      <c r="AA297" s="4">
        <v>372272</v>
      </c>
      <c r="AB297" s="4">
        <v>372272</v>
      </c>
      <c r="AC297" s="4">
        <v>372272</v>
      </c>
      <c r="AD297" s="4">
        <v>372273</v>
      </c>
      <c r="AE297" s="4">
        <v>374319</v>
      </c>
      <c r="AF297" s="4">
        <v>748638</v>
      </c>
      <c r="AG297" s="4">
        <v>1122957</v>
      </c>
      <c r="AH297" s="4">
        <v>1497276</v>
      </c>
      <c r="AI297" s="4">
        <v>1869549</v>
      </c>
      <c r="AJ297" s="4">
        <v>2241822</v>
      </c>
      <c r="AK297" s="4">
        <v>2614094</v>
      </c>
      <c r="AL297" s="4">
        <v>2986366</v>
      </c>
      <c r="AM297" s="4">
        <v>3358638</v>
      </c>
      <c r="AN297" s="4">
        <v>3730911</v>
      </c>
      <c r="AO297" s="150">
        <v>275810</v>
      </c>
    </row>
    <row r="298" spans="1:41" x14ac:dyDescent="0.2">
      <c r="A298" s="1">
        <v>2024</v>
      </c>
      <c r="B298" s="2" t="s">
        <v>323</v>
      </c>
      <c r="C298" s="2" t="s">
        <v>323</v>
      </c>
      <c r="D298" s="1" t="s">
        <v>666</v>
      </c>
      <c r="E298" s="3">
        <v>4802033</v>
      </c>
      <c r="F298" s="3">
        <v>763</v>
      </c>
      <c r="G298" s="3">
        <v>0</v>
      </c>
      <c r="H298" s="3">
        <v>15107</v>
      </c>
      <c r="I298" s="3">
        <v>0</v>
      </c>
      <c r="J298" s="3">
        <v>4801270</v>
      </c>
      <c r="K298" s="3">
        <v>4786163</v>
      </c>
      <c r="L298" s="3">
        <v>4786163</v>
      </c>
      <c r="M298" s="3">
        <v>174842</v>
      </c>
      <c r="N298" s="3">
        <v>463896</v>
      </c>
      <c r="O298" s="3">
        <v>51162</v>
      </c>
      <c r="P298" s="3">
        <v>48407</v>
      </c>
      <c r="Q298" s="3">
        <v>242382</v>
      </c>
      <c r="R298" s="3">
        <v>3820581</v>
      </c>
      <c r="S298" s="3">
        <v>3805474</v>
      </c>
      <c r="T298" s="3">
        <v>3805474</v>
      </c>
      <c r="U298" s="3">
        <v>480127</v>
      </c>
      <c r="V298" s="3">
        <v>480127</v>
      </c>
      <c r="W298" s="3">
        <v>480127</v>
      </c>
      <c r="X298" s="3">
        <v>480127</v>
      </c>
      <c r="Y298" s="3">
        <v>477609</v>
      </c>
      <c r="Z298" s="3">
        <v>477609</v>
      </c>
      <c r="AA298" s="4">
        <v>477609</v>
      </c>
      <c r="AB298" s="4">
        <v>477609</v>
      </c>
      <c r="AC298" s="4">
        <v>477609</v>
      </c>
      <c r="AD298" s="4">
        <v>477610</v>
      </c>
      <c r="AE298" s="4">
        <v>480127</v>
      </c>
      <c r="AF298" s="4">
        <v>960254</v>
      </c>
      <c r="AG298" s="4">
        <v>1440381</v>
      </c>
      <c r="AH298" s="4">
        <v>1920508</v>
      </c>
      <c r="AI298" s="4">
        <v>2398117</v>
      </c>
      <c r="AJ298" s="4">
        <v>2875726</v>
      </c>
      <c r="AK298" s="4">
        <v>3353335</v>
      </c>
      <c r="AL298" s="4">
        <v>3830944</v>
      </c>
      <c r="AM298" s="4">
        <v>4308553</v>
      </c>
      <c r="AN298" s="4">
        <v>4786163</v>
      </c>
      <c r="AO298" s="150">
        <v>330464</v>
      </c>
    </row>
    <row r="299" spans="1:41" x14ac:dyDescent="0.2">
      <c r="A299" s="1">
        <v>2024</v>
      </c>
      <c r="B299" s="2" t="s">
        <v>324</v>
      </c>
      <c r="C299" s="2" t="s">
        <v>324</v>
      </c>
      <c r="D299" s="1" t="s">
        <v>667</v>
      </c>
      <c r="E299" s="3">
        <v>12475282</v>
      </c>
      <c r="F299" s="3">
        <v>1443</v>
      </c>
      <c r="G299" s="3">
        <v>9638</v>
      </c>
      <c r="H299" s="3">
        <v>37349</v>
      </c>
      <c r="I299" s="1">
        <v>0</v>
      </c>
      <c r="J299" s="3">
        <v>12464201</v>
      </c>
      <c r="K299" s="3">
        <v>12426852</v>
      </c>
      <c r="L299" s="3">
        <v>12426852</v>
      </c>
      <c r="M299" s="3">
        <v>330680</v>
      </c>
      <c r="N299" s="3">
        <v>1068233</v>
      </c>
      <c r="O299" s="3">
        <v>131495</v>
      </c>
      <c r="P299" s="3">
        <v>118649</v>
      </c>
      <c r="Q299" s="3">
        <v>599230</v>
      </c>
      <c r="R299" s="3">
        <v>10215914</v>
      </c>
      <c r="S299" s="3">
        <v>10178565</v>
      </c>
      <c r="T299" s="3">
        <v>10178565</v>
      </c>
      <c r="U299" s="3">
        <v>1246420</v>
      </c>
      <c r="V299" s="3">
        <v>1246420</v>
      </c>
      <c r="W299" s="3">
        <v>1246420</v>
      </c>
      <c r="X299" s="3">
        <v>1246420</v>
      </c>
      <c r="Y299" s="3">
        <v>1240195</v>
      </c>
      <c r="Z299" s="3">
        <v>1240195</v>
      </c>
      <c r="AA299" s="4">
        <v>1240196</v>
      </c>
      <c r="AB299" s="4">
        <v>1240196</v>
      </c>
      <c r="AC299" s="4">
        <v>1240196</v>
      </c>
      <c r="AD299" s="4">
        <v>1240194</v>
      </c>
      <c r="AE299" s="4">
        <v>1246420</v>
      </c>
      <c r="AF299" s="4">
        <v>2492840</v>
      </c>
      <c r="AG299" s="4">
        <v>3739260</v>
      </c>
      <c r="AH299" s="4">
        <v>4985680</v>
      </c>
      <c r="AI299" s="4">
        <v>6225875</v>
      </c>
      <c r="AJ299" s="4">
        <v>7466070</v>
      </c>
      <c r="AK299" s="4">
        <v>8706266</v>
      </c>
      <c r="AL299" s="4">
        <v>9946462</v>
      </c>
      <c r="AM299" s="4">
        <v>11186658</v>
      </c>
      <c r="AN299" s="4">
        <v>12426852</v>
      </c>
      <c r="AO299" s="150">
        <v>794920</v>
      </c>
    </row>
    <row r="300" spans="1:41" x14ac:dyDescent="0.2">
      <c r="A300" s="1">
        <v>2024</v>
      </c>
      <c r="B300" s="2" t="s">
        <v>325</v>
      </c>
      <c r="C300" s="2" t="s">
        <v>325</v>
      </c>
      <c r="D300" s="1" t="s">
        <v>668</v>
      </c>
      <c r="E300" s="3">
        <v>92884716</v>
      </c>
      <c r="F300" s="3">
        <v>8359</v>
      </c>
      <c r="G300" s="3">
        <v>13763</v>
      </c>
      <c r="H300" s="3">
        <v>245143</v>
      </c>
      <c r="I300" s="1">
        <v>0</v>
      </c>
      <c r="J300" s="3">
        <v>92862594</v>
      </c>
      <c r="K300" s="3">
        <v>92617451</v>
      </c>
      <c r="L300" s="3">
        <v>92617451</v>
      </c>
      <c r="M300" s="3">
        <v>1915661</v>
      </c>
      <c r="N300" s="3">
        <v>6881712</v>
      </c>
      <c r="O300" s="3">
        <v>944712</v>
      </c>
      <c r="P300" s="3">
        <v>753037</v>
      </c>
      <c r="Q300" s="3">
        <v>3933063</v>
      </c>
      <c r="R300" s="3">
        <v>78434409</v>
      </c>
      <c r="S300" s="3">
        <v>78189266</v>
      </c>
      <c r="T300" s="3">
        <v>78189266</v>
      </c>
      <c r="U300" s="3">
        <v>9286259</v>
      </c>
      <c r="V300" s="3">
        <v>9286259</v>
      </c>
      <c r="W300" s="3">
        <v>9286259</v>
      </c>
      <c r="X300" s="3">
        <v>9286259</v>
      </c>
      <c r="Y300" s="3">
        <v>9245403</v>
      </c>
      <c r="Z300" s="3">
        <v>9245403</v>
      </c>
      <c r="AA300" s="4">
        <v>9245402</v>
      </c>
      <c r="AB300" s="4">
        <v>9245402</v>
      </c>
      <c r="AC300" s="4">
        <v>9245402</v>
      </c>
      <c r="AD300" s="4">
        <v>9245403</v>
      </c>
      <c r="AE300" s="4">
        <v>9286259</v>
      </c>
      <c r="AF300" s="4">
        <v>18572518</v>
      </c>
      <c r="AG300" s="4">
        <v>27858777</v>
      </c>
      <c r="AH300" s="4">
        <v>37145036</v>
      </c>
      <c r="AI300" s="4">
        <v>46390439</v>
      </c>
      <c r="AJ300" s="4">
        <v>55635842</v>
      </c>
      <c r="AK300" s="4">
        <v>64881244</v>
      </c>
      <c r="AL300" s="4">
        <v>74126646</v>
      </c>
      <c r="AM300" s="4">
        <v>83372048</v>
      </c>
      <c r="AN300" s="4">
        <v>92617451</v>
      </c>
      <c r="AO300" s="150">
        <v>5826481</v>
      </c>
    </row>
    <row r="301" spans="1:41" x14ac:dyDescent="0.2">
      <c r="A301" s="1">
        <v>2024</v>
      </c>
      <c r="B301" s="2" t="s">
        <v>326</v>
      </c>
      <c r="C301" s="2" t="s">
        <v>326</v>
      </c>
      <c r="D301" s="1" t="s">
        <v>669</v>
      </c>
      <c r="E301" s="3">
        <v>83027163</v>
      </c>
      <c r="F301" s="3">
        <v>3649</v>
      </c>
      <c r="G301" s="3">
        <v>4967</v>
      </c>
      <c r="H301" s="3">
        <v>302146</v>
      </c>
      <c r="I301" s="3">
        <v>0</v>
      </c>
      <c r="J301" s="3">
        <v>83018547</v>
      </c>
      <c r="K301" s="3">
        <v>82716401</v>
      </c>
      <c r="L301" s="3">
        <v>82716401</v>
      </c>
      <c r="M301" s="3">
        <v>836201</v>
      </c>
      <c r="N301" s="3">
        <v>7713842</v>
      </c>
      <c r="O301" s="3">
        <v>1012061</v>
      </c>
      <c r="P301" s="3">
        <v>807123</v>
      </c>
      <c r="Q301" s="3">
        <v>4847607</v>
      </c>
      <c r="R301" s="3">
        <v>67801713</v>
      </c>
      <c r="S301" s="3">
        <v>67499567</v>
      </c>
      <c r="T301" s="3">
        <v>67499567</v>
      </c>
      <c r="U301" s="3">
        <v>8301855</v>
      </c>
      <c r="V301" s="3">
        <v>8301855</v>
      </c>
      <c r="W301" s="3">
        <v>8301855</v>
      </c>
      <c r="X301" s="3">
        <v>8301855</v>
      </c>
      <c r="Y301" s="3">
        <v>8251497</v>
      </c>
      <c r="Z301" s="3">
        <v>8251497</v>
      </c>
      <c r="AA301" s="4">
        <v>8251497</v>
      </c>
      <c r="AB301" s="4">
        <v>8251497</v>
      </c>
      <c r="AC301" s="4">
        <v>8251497</v>
      </c>
      <c r="AD301" s="4">
        <v>8251496</v>
      </c>
      <c r="AE301" s="4">
        <v>8301855</v>
      </c>
      <c r="AF301" s="4">
        <v>16603710</v>
      </c>
      <c r="AG301" s="4">
        <v>24905565</v>
      </c>
      <c r="AH301" s="4">
        <v>33207420</v>
      </c>
      <c r="AI301" s="4">
        <v>41458917</v>
      </c>
      <c r="AJ301" s="4">
        <v>49710414</v>
      </c>
      <c r="AK301" s="4">
        <v>57961911</v>
      </c>
      <c r="AL301" s="4">
        <v>66213408</v>
      </c>
      <c r="AM301" s="4">
        <v>74464905</v>
      </c>
      <c r="AN301" s="4">
        <v>82716401</v>
      </c>
      <c r="AO301" s="150">
        <v>6915402</v>
      </c>
    </row>
    <row r="302" spans="1:41" x14ac:dyDescent="0.2">
      <c r="A302" s="1">
        <v>2024</v>
      </c>
      <c r="B302" s="2" t="s">
        <v>327</v>
      </c>
      <c r="C302" s="2" t="s">
        <v>327</v>
      </c>
      <c r="D302" s="1" t="s">
        <v>670</v>
      </c>
      <c r="E302" s="3">
        <v>15706358</v>
      </c>
      <c r="F302" s="3">
        <v>1675</v>
      </c>
      <c r="G302" s="3">
        <v>0</v>
      </c>
      <c r="H302" s="3">
        <v>50484</v>
      </c>
      <c r="I302" s="1">
        <v>0</v>
      </c>
      <c r="J302" s="3">
        <v>15704683</v>
      </c>
      <c r="K302" s="3">
        <v>15654199</v>
      </c>
      <c r="L302" s="3">
        <v>15654199</v>
      </c>
      <c r="M302" s="3">
        <v>380186</v>
      </c>
      <c r="N302" s="3">
        <v>1530064</v>
      </c>
      <c r="O302" s="3">
        <v>148945</v>
      </c>
      <c r="P302" s="3">
        <v>170264</v>
      </c>
      <c r="Q302" s="3">
        <v>809955</v>
      </c>
      <c r="R302" s="3">
        <v>12665269</v>
      </c>
      <c r="S302" s="3">
        <v>12614785</v>
      </c>
      <c r="T302" s="3">
        <v>12614785</v>
      </c>
      <c r="U302" s="3">
        <v>1570468</v>
      </c>
      <c r="V302" s="3">
        <v>1570468</v>
      </c>
      <c r="W302" s="3">
        <v>1570468</v>
      </c>
      <c r="X302" s="3">
        <v>1570468</v>
      </c>
      <c r="Y302" s="3">
        <v>1562055</v>
      </c>
      <c r="Z302" s="3">
        <v>1562055</v>
      </c>
      <c r="AA302" s="4">
        <v>1562054</v>
      </c>
      <c r="AB302" s="4">
        <v>1562054</v>
      </c>
      <c r="AC302" s="4">
        <v>1562054</v>
      </c>
      <c r="AD302" s="4">
        <v>1562055</v>
      </c>
      <c r="AE302" s="4">
        <v>1570468</v>
      </c>
      <c r="AF302" s="4">
        <v>3140936</v>
      </c>
      <c r="AG302" s="4">
        <v>4711404</v>
      </c>
      <c r="AH302" s="4">
        <v>6281872</v>
      </c>
      <c r="AI302" s="4">
        <v>7843927</v>
      </c>
      <c r="AJ302" s="4">
        <v>9405982</v>
      </c>
      <c r="AK302" s="4">
        <v>10968036</v>
      </c>
      <c r="AL302" s="4">
        <v>12530090</v>
      </c>
      <c r="AM302" s="4">
        <v>14092144</v>
      </c>
      <c r="AN302" s="4">
        <v>15654199</v>
      </c>
      <c r="AO302" s="150">
        <v>1140569</v>
      </c>
    </row>
    <row r="303" spans="1:41" x14ac:dyDescent="0.2">
      <c r="A303" s="1">
        <v>2024</v>
      </c>
      <c r="B303" s="2" t="s">
        <v>328</v>
      </c>
      <c r="C303" s="2" t="s">
        <v>328</v>
      </c>
      <c r="D303" s="1" t="s">
        <v>671</v>
      </c>
      <c r="E303" s="3">
        <v>3662796</v>
      </c>
      <c r="F303" s="3">
        <v>365</v>
      </c>
      <c r="G303" s="3">
        <v>0</v>
      </c>
      <c r="H303" s="3">
        <v>13196</v>
      </c>
      <c r="I303" s="1">
        <v>0</v>
      </c>
      <c r="J303" s="3">
        <v>3662431</v>
      </c>
      <c r="K303" s="3">
        <v>3649235</v>
      </c>
      <c r="L303" s="3">
        <v>3649235</v>
      </c>
      <c r="M303" s="3">
        <v>83620</v>
      </c>
      <c r="N303" s="3">
        <v>435069</v>
      </c>
      <c r="O303" s="3">
        <v>49148</v>
      </c>
      <c r="P303" s="3">
        <v>48545</v>
      </c>
      <c r="Q303" s="3">
        <v>211720</v>
      </c>
      <c r="R303" s="3">
        <v>2834329</v>
      </c>
      <c r="S303" s="3">
        <v>2821133</v>
      </c>
      <c r="T303" s="3">
        <v>2821133</v>
      </c>
      <c r="U303" s="3">
        <v>366243</v>
      </c>
      <c r="V303" s="3">
        <v>366243</v>
      </c>
      <c r="W303" s="3">
        <v>366243</v>
      </c>
      <c r="X303" s="3">
        <v>366243</v>
      </c>
      <c r="Y303" s="3">
        <v>364044</v>
      </c>
      <c r="Z303" s="3">
        <v>364044</v>
      </c>
      <c r="AA303" s="4">
        <v>364044</v>
      </c>
      <c r="AB303" s="4">
        <v>364044</v>
      </c>
      <c r="AC303" s="4">
        <v>364044</v>
      </c>
      <c r="AD303" s="4">
        <v>364043</v>
      </c>
      <c r="AE303" s="4">
        <v>366243</v>
      </c>
      <c r="AF303" s="4">
        <v>732486</v>
      </c>
      <c r="AG303" s="4">
        <v>1098729</v>
      </c>
      <c r="AH303" s="4">
        <v>1464972</v>
      </c>
      <c r="AI303" s="4">
        <v>1829016</v>
      </c>
      <c r="AJ303" s="4">
        <v>2193060</v>
      </c>
      <c r="AK303" s="4">
        <v>2557104</v>
      </c>
      <c r="AL303" s="4">
        <v>2921148</v>
      </c>
      <c r="AM303" s="4">
        <v>3285192</v>
      </c>
      <c r="AN303" s="4">
        <v>3649235</v>
      </c>
      <c r="AO303" s="150">
        <v>270700</v>
      </c>
    </row>
    <row r="304" spans="1:41" x14ac:dyDescent="0.2">
      <c r="A304" s="1">
        <v>2024</v>
      </c>
      <c r="B304" s="2" t="s">
        <v>329</v>
      </c>
      <c r="C304" s="2" t="s">
        <v>329</v>
      </c>
      <c r="D304" s="1" t="s">
        <v>672</v>
      </c>
      <c r="E304" s="3">
        <v>11798627</v>
      </c>
      <c r="F304" s="3">
        <v>1791</v>
      </c>
      <c r="G304" s="3">
        <v>0</v>
      </c>
      <c r="H304" s="3">
        <v>39720</v>
      </c>
      <c r="I304" s="3">
        <v>0</v>
      </c>
      <c r="J304" s="3">
        <v>11796836</v>
      </c>
      <c r="K304" s="3">
        <v>11757116</v>
      </c>
      <c r="L304" s="3">
        <v>11757116</v>
      </c>
      <c r="M304" s="3">
        <v>410499</v>
      </c>
      <c r="N304" s="3">
        <v>1160553</v>
      </c>
      <c r="O304" s="3">
        <v>141950</v>
      </c>
      <c r="P304" s="3">
        <v>128376</v>
      </c>
      <c r="Q304" s="3">
        <v>637262</v>
      </c>
      <c r="R304" s="3">
        <v>9318196</v>
      </c>
      <c r="S304" s="3">
        <v>9278476</v>
      </c>
      <c r="T304" s="3">
        <v>9278476</v>
      </c>
      <c r="U304" s="3">
        <v>1179684</v>
      </c>
      <c r="V304" s="3">
        <v>1179684</v>
      </c>
      <c r="W304" s="3">
        <v>1179684</v>
      </c>
      <c r="X304" s="3">
        <v>1179684</v>
      </c>
      <c r="Y304" s="3">
        <v>1173063</v>
      </c>
      <c r="Z304" s="3">
        <v>1173063</v>
      </c>
      <c r="AA304" s="4">
        <v>1173064</v>
      </c>
      <c r="AB304" s="4">
        <v>1173064</v>
      </c>
      <c r="AC304" s="4">
        <v>1173064</v>
      </c>
      <c r="AD304" s="4">
        <v>1173062</v>
      </c>
      <c r="AE304" s="4">
        <v>1179684</v>
      </c>
      <c r="AF304" s="4">
        <v>2359368</v>
      </c>
      <c r="AG304" s="4">
        <v>3539052</v>
      </c>
      <c r="AH304" s="4">
        <v>4718736</v>
      </c>
      <c r="AI304" s="4">
        <v>5891799</v>
      </c>
      <c r="AJ304" s="4">
        <v>7064862</v>
      </c>
      <c r="AK304" s="4">
        <v>8237926</v>
      </c>
      <c r="AL304" s="4">
        <v>9410990</v>
      </c>
      <c r="AM304" s="4">
        <v>10584054</v>
      </c>
      <c r="AN304" s="4">
        <v>11757116</v>
      </c>
      <c r="AO304" s="150">
        <v>855835</v>
      </c>
    </row>
    <row r="305" spans="1:41" x14ac:dyDescent="0.2">
      <c r="A305" s="1">
        <v>2024</v>
      </c>
      <c r="B305" s="2" t="s">
        <v>330</v>
      </c>
      <c r="C305" s="2" t="s">
        <v>330</v>
      </c>
      <c r="D305" s="1" t="s">
        <v>673</v>
      </c>
      <c r="E305" s="3">
        <v>1722435</v>
      </c>
      <c r="F305" s="3">
        <v>265</v>
      </c>
      <c r="G305" s="3">
        <v>0</v>
      </c>
      <c r="H305" s="3">
        <v>7536</v>
      </c>
      <c r="I305" s="1">
        <v>0</v>
      </c>
      <c r="J305" s="3">
        <v>1722170</v>
      </c>
      <c r="K305" s="3">
        <v>1714634</v>
      </c>
      <c r="L305" s="3">
        <v>1714634</v>
      </c>
      <c r="M305" s="3">
        <v>60815</v>
      </c>
      <c r="N305" s="3">
        <v>240569</v>
      </c>
      <c r="O305" s="3">
        <v>23266</v>
      </c>
      <c r="P305" s="3">
        <v>25743</v>
      </c>
      <c r="Q305" s="3">
        <v>120915</v>
      </c>
      <c r="R305" s="3">
        <v>1250862</v>
      </c>
      <c r="S305" s="3">
        <v>1243326</v>
      </c>
      <c r="T305" s="3">
        <v>1243326</v>
      </c>
      <c r="U305" s="3">
        <v>172217</v>
      </c>
      <c r="V305" s="3">
        <v>172217</v>
      </c>
      <c r="W305" s="3">
        <v>172217</v>
      </c>
      <c r="X305" s="3">
        <v>172217</v>
      </c>
      <c r="Y305" s="3">
        <v>170961</v>
      </c>
      <c r="Z305" s="3">
        <v>170961</v>
      </c>
      <c r="AA305" s="4">
        <v>170961</v>
      </c>
      <c r="AB305" s="4">
        <v>170961</v>
      </c>
      <c r="AC305" s="4">
        <v>170961</v>
      </c>
      <c r="AD305" s="4">
        <v>170961</v>
      </c>
      <c r="AE305" s="4">
        <v>172217</v>
      </c>
      <c r="AF305" s="4">
        <v>344434</v>
      </c>
      <c r="AG305" s="4">
        <v>516651</v>
      </c>
      <c r="AH305" s="4">
        <v>688868</v>
      </c>
      <c r="AI305" s="4">
        <v>859829</v>
      </c>
      <c r="AJ305" s="4">
        <v>1030790</v>
      </c>
      <c r="AK305" s="4">
        <v>1201751</v>
      </c>
      <c r="AL305" s="4">
        <v>1372712</v>
      </c>
      <c r="AM305" s="4">
        <v>1543673</v>
      </c>
      <c r="AN305" s="4">
        <v>1714634</v>
      </c>
      <c r="AO305" s="150">
        <v>159108</v>
      </c>
    </row>
    <row r="306" spans="1:41" x14ac:dyDescent="0.2">
      <c r="A306" s="1">
        <v>2024</v>
      </c>
      <c r="B306" s="2" t="s">
        <v>331</v>
      </c>
      <c r="C306" s="2" t="s">
        <v>331</v>
      </c>
      <c r="D306" s="1" t="s">
        <v>674</v>
      </c>
      <c r="E306" s="3">
        <v>4977140</v>
      </c>
      <c r="F306" s="3">
        <v>862</v>
      </c>
      <c r="G306" s="3">
        <v>0</v>
      </c>
      <c r="H306" s="3">
        <v>18052</v>
      </c>
      <c r="I306" s="1">
        <v>0</v>
      </c>
      <c r="J306" s="3">
        <v>4976278</v>
      </c>
      <c r="K306" s="3">
        <v>4958226</v>
      </c>
      <c r="L306" s="3">
        <v>4958226</v>
      </c>
      <c r="M306" s="3">
        <v>197648</v>
      </c>
      <c r="N306" s="3">
        <v>510717</v>
      </c>
      <c r="O306" s="3">
        <v>56184</v>
      </c>
      <c r="P306" s="3">
        <v>54596</v>
      </c>
      <c r="Q306" s="3">
        <v>289628</v>
      </c>
      <c r="R306" s="3">
        <v>3867505</v>
      </c>
      <c r="S306" s="3">
        <v>3849453</v>
      </c>
      <c r="T306" s="3">
        <v>3849453</v>
      </c>
      <c r="U306" s="3">
        <v>497628</v>
      </c>
      <c r="V306" s="3">
        <v>497628</v>
      </c>
      <c r="W306" s="3">
        <v>497628</v>
      </c>
      <c r="X306" s="3">
        <v>497628</v>
      </c>
      <c r="Y306" s="3">
        <v>494619</v>
      </c>
      <c r="Z306" s="3">
        <v>494619</v>
      </c>
      <c r="AA306" s="4">
        <v>494619</v>
      </c>
      <c r="AB306" s="4">
        <v>494619</v>
      </c>
      <c r="AC306" s="4">
        <v>494619</v>
      </c>
      <c r="AD306" s="4">
        <v>494619</v>
      </c>
      <c r="AE306" s="4">
        <v>497628</v>
      </c>
      <c r="AF306" s="4">
        <v>995256</v>
      </c>
      <c r="AG306" s="4">
        <v>1492884</v>
      </c>
      <c r="AH306" s="4">
        <v>1990512</v>
      </c>
      <c r="AI306" s="4">
        <v>2485131</v>
      </c>
      <c r="AJ306" s="4">
        <v>2979750</v>
      </c>
      <c r="AK306" s="4">
        <v>3474369</v>
      </c>
      <c r="AL306" s="4">
        <v>3968988</v>
      </c>
      <c r="AM306" s="4">
        <v>4463607</v>
      </c>
      <c r="AN306" s="4">
        <v>4958226</v>
      </c>
      <c r="AO306" s="150">
        <v>386565</v>
      </c>
    </row>
    <row r="307" spans="1:41" x14ac:dyDescent="0.2">
      <c r="A307" s="1">
        <v>2024</v>
      </c>
      <c r="B307" s="2" t="s">
        <v>332</v>
      </c>
      <c r="C307" s="2" t="s">
        <v>332</v>
      </c>
      <c r="D307" s="1" t="s">
        <v>675</v>
      </c>
      <c r="E307" s="3">
        <v>2805265</v>
      </c>
      <c r="F307" s="3">
        <v>481</v>
      </c>
      <c r="G307" s="3">
        <v>0</v>
      </c>
      <c r="H307" s="3">
        <v>9303</v>
      </c>
      <c r="I307" s="1">
        <v>0</v>
      </c>
      <c r="J307" s="3">
        <v>2804784</v>
      </c>
      <c r="K307" s="3">
        <v>2795481</v>
      </c>
      <c r="L307" s="3">
        <v>2795481</v>
      </c>
      <c r="M307" s="3">
        <v>110227</v>
      </c>
      <c r="N307" s="3">
        <v>325818</v>
      </c>
      <c r="O307" s="3">
        <v>52155</v>
      </c>
      <c r="P307" s="3">
        <v>41629</v>
      </c>
      <c r="Q307" s="3">
        <v>152423</v>
      </c>
      <c r="R307" s="3">
        <v>2122532</v>
      </c>
      <c r="S307" s="3">
        <v>2113229</v>
      </c>
      <c r="T307" s="3">
        <v>2113229</v>
      </c>
      <c r="U307" s="3">
        <v>280478</v>
      </c>
      <c r="V307" s="3">
        <v>280478</v>
      </c>
      <c r="W307" s="3">
        <v>280478</v>
      </c>
      <c r="X307" s="3">
        <v>280478</v>
      </c>
      <c r="Y307" s="3">
        <v>278928</v>
      </c>
      <c r="Z307" s="3">
        <v>278928</v>
      </c>
      <c r="AA307" s="4">
        <v>278928</v>
      </c>
      <c r="AB307" s="4">
        <v>278928</v>
      </c>
      <c r="AC307" s="4">
        <v>278928</v>
      </c>
      <c r="AD307" s="4">
        <v>278929</v>
      </c>
      <c r="AE307" s="4">
        <v>280478</v>
      </c>
      <c r="AF307" s="4">
        <v>560956</v>
      </c>
      <c r="AG307" s="4">
        <v>841434</v>
      </c>
      <c r="AH307" s="4">
        <v>1121912</v>
      </c>
      <c r="AI307" s="4">
        <v>1400840</v>
      </c>
      <c r="AJ307" s="4">
        <v>1679768</v>
      </c>
      <c r="AK307" s="4">
        <v>1958696</v>
      </c>
      <c r="AL307" s="4">
        <v>2237624</v>
      </c>
      <c r="AM307" s="4">
        <v>2516552</v>
      </c>
      <c r="AN307" s="4">
        <v>2795481</v>
      </c>
      <c r="AO307" s="150">
        <v>204978</v>
      </c>
    </row>
    <row r="308" spans="1:41" x14ac:dyDescent="0.2">
      <c r="A308" s="1">
        <v>2024</v>
      </c>
      <c r="B308" s="2" t="s">
        <v>333</v>
      </c>
      <c r="C308" s="2" t="s">
        <v>333</v>
      </c>
      <c r="D308" s="1" t="s">
        <v>676</v>
      </c>
      <c r="E308" s="3">
        <v>1627428</v>
      </c>
      <c r="F308" s="3">
        <v>332</v>
      </c>
      <c r="G308" s="3">
        <v>0</v>
      </c>
      <c r="H308" s="3">
        <v>6161</v>
      </c>
      <c r="I308" s="1">
        <v>0</v>
      </c>
      <c r="J308" s="3">
        <v>1627096</v>
      </c>
      <c r="K308" s="3">
        <v>1620935</v>
      </c>
      <c r="L308" s="3">
        <v>1620935</v>
      </c>
      <c r="M308" s="3">
        <v>79725</v>
      </c>
      <c r="N308" s="3">
        <v>186619</v>
      </c>
      <c r="O308" s="3">
        <v>18487</v>
      </c>
      <c r="P308" s="3">
        <v>19646</v>
      </c>
      <c r="Q308" s="3">
        <v>98840</v>
      </c>
      <c r="R308" s="3">
        <v>1223779</v>
      </c>
      <c r="S308" s="3">
        <v>1217618</v>
      </c>
      <c r="T308" s="3">
        <v>1217618</v>
      </c>
      <c r="U308" s="3">
        <v>162710</v>
      </c>
      <c r="V308" s="3">
        <v>162710</v>
      </c>
      <c r="W308" s="3">
        <v>162710</v>
      </c>
      <c r="X308" s="3">
        <v>162710</v>
      </c>
      <c r="Y308" s="3">
        <v>161683</v>
      </c>
      <c r="Z308" s="3">
        <v>161683</v>
      </c>
      <c r="AA308" s="4">
        <v>161682</v>
      </c>
      <c r="AB308" s="4">
        <v>161682</v>
      </c>
      <c r="AC308" s="4">
        <v>161682</v>
      </c>
      <c r="AD308" s="4">
        <v>161683</v>
      </c>
      <c r="AE308" s="4">
        <v>162710</v>
      </c>
      <c r="AF308" s="4">
        <v>325420</v>
      </c>
      <c r="AG308" s="4">
        <v>488130</v>
      </c>
      <c r="AH308" s="4">
        <v>650840</v>
      </c>
      <c r="AI308" s="4">
        <v>812523</v>
      </c>
      <c r="AJ308" s="4">
        <v>974206</v>
      </c>
      <c r="AK308" s="4">
        <v>1135888</v>
      </c>
      <c r="AL308" s="4">
        <v>1297570</v>
      </c>
      <c r="AM308" s="4">
        <v>1459252</v>
      </c>
      <c r="AN308" s="4">
        <v>1620935</v>
      </c>
      <c r="AO308" s="150">
        <v>130432</v>
      </c>
    </row>
    <row r="309" spans="1:41" x14ac:dyDescent="0.2">
      <c r="A309" s="1">
        <v>2024</v>
      </c>
      <c r="B309" s="2" t="s">
        <v>334</v>
      </c>
      <c r="C309" s="2" t="s">
        <v>334</v>
      </c>
      <c r="D309" s="1" t="s">
        <v>677</v>
      </c>
      <c r="E309" s="3">
        <v>8936865</v>
      </c>
      <c r="F309" s="3">
        <v>1327</v>
      </c>
      <c r="G309" s="3">
        <v>0</v>
      </c>
      <c r="H309" s="3">
        <v>31320</v>
      </c>
      <c r="I309" s="1">
        <v>0</v>
      </c>
      <c r="J309" s="3">
        <v>8935538</v>
      </c>
      <c r="K309" s="3">
        <v>8904218</v>
      </c>
      <c r="L309" s="3">
        <v>8904218</v>
      </c>
      <c r="M309" s="3">
        <v>304073</v>
      </c>
      <c r="N309" s="3">
        <v>892997</v>
      </c>
      <c r="O309" s="3">
        <v>98704</v>
      </c>
      <c r="P309" s="3">
        <v>99276</v>
      </c>
      <c r="Q309" s="3">
        <v>502491</v>
      </c>
      <c r="R309" s="3">
        <v>7037997</v>
      </c>
      <c r="S309" s="3">
        <v>7006677</v>
      </c>
      <c r="T309" s="3">
        <v>7006677</v>
      </c>
      <c r="U309" s="3">
        <v>893554</v>
      </c>
      <c r="V309" s="3">
        <v>893554</v>
      </c>
      <c r="W309" s="3">
        <v>893554</v>
      </c>
      <c r="X309" s="3">
        <v>893554</v>
      </c>
      <c r="Y309" s="3">
        <v>888334</v>
      </c>
      <c r="Z309" s="3">
        <v>888334</v>
      </c>
      <c r="AA309" s="4">
        <v>888334</v>
      </c>
      <c r="AB309" s="4">
        <v>888334</v>
      </c>
      <c r="AC309" s="4">
        <v>888334</v>
      </c>
      <c r="AD309" s="4">
        <v>888332</v>
      </c>
      <c r="AE309" s="4">
        <v>893554</v>
      </c>
      <c r="AF309" s="4">
        <v>1787108</v>
      </c>
      <c r="AG309" s="4">
        <v>2680662</v>
      </c>
      <c r="AH309" s="4">
        <v>3574216</v>
      </c>
      <c r="AI309" s="4">
        <v>4462550</v>
      </c>
      <c r="AJ309" s="4">
        <v>5350884</v>
      </c>
      <c r="AK309" s="4">
        <v>6239218</v>
      </c>
      <c r="AL309" s="4">
        <v>7127552</v>
      </c>
      <c r="AM309" s="4">
        <v>8015886</v>
      </c>
      <c r="AN309" s="4">
        <v>8904218</v>
      </c>
      <c r="AO309" s="150">
        <v>686337</v>
      </c>
    </row>
    <row r="310" spans="1:41" x14ac:dyDescent="0.2">
      <c r="A310" s="1">
        <v>2024</v>
      </c>
      <c r="B310" s="2" t="s">
        <v>335</v>
      </c>
      <c r="C310" s="2" t="s">
        <v>335</v>
      </c>
      <c r="D310" s="1" t="s">
        <v>678</v>
      </c>
      <c r="E310" s="3">
        <v>51079366</v>
      </c>
      <c r="F310" s="3">
        <v>5921</v>
      </c>
      <c r="G310" s="3">
        <v>15152</v>
      </c>
      <c r="H310" s="3">
        <v>199348</v>
      </c>
      <c r="I310" s="3">
        <v>0</v>
      </c>
      <c r="J310" s="3">
        <v>51058293</v>
      </c>
      <c r="K310" s="3">
        <v>50858945</v>
      </c>
      <c r="L310" s="3">
        <v>50858945</v>
      </c>
      <c r="M310" s="3">
        <v>1360634</v>
      </c>
      <c r="N310" s="3">
        <v>5450768</v>
      </c>
      <c r="O310" s="3">
        <v>615226</v>
      </c>
      <c r="P310" s="3">
        <v>620693</v>
      </c>
      <c r="Q310" s="3">
        <v>3198324</v>
      </c>
      <c r="R310" s="3">
        <v>39812648</v>
      </c>
      <c r="S310" s="3">
        <v>39613300</v>
      </c>
      <c r="T310" s="3">
        <v>39613300</v>
      </c>
      <c r="U310" s="3">
        <v>5105829</v>
      </c>
      <c r="V310" s="3">
        <v>5105829</v>
      </c>
      <c r="W310" s="3">
        <v>5105829</v>
      </c>
      <c r="X310" s="3">
        <v>5105829</v>
      </c>
      <c r="Y310" s="3">
        <v>5072605</v>
      </c>
      <c r="Z310" s="3">
        <v>5072605</v>
      </c>
      <c r="AA310" s="4">
        <v>5072605</v>
      </c>
      <c r="AB310" s="4">
        <v>5072605</v>
      </c>
      <c r="AC310" s="4">
        <v>5072605</v>
      </c>
      <c r="AD310" s="4">
        <v>5072604</v>
      </c>
      <c r="AE310" s="4">
        <v>5105829</v>
      </c>
      <c r="AF310" s="4">
        <v>10211658</v>
      </c>
      <c r="AG310" s="4">
        <v>15317487</v>
      </c>
      <c r="AH310" s="4">
        <v>20423316</v>
      </c>
      <c r="AI310" s="4">
        <v>25495921</v>
      </c>
      <c r="AJ310" s="4">
        <v>30568526</v>
      </c>
      <c r="AK310" s="4">
        <v>35641131</v>
      </c>
      <c r="AL310" s="4">
        <v>40713736</v>
      </c>
      <c r="AM310" s="4">
        <v>45786341</v>
      </c>
      <c r="AN310" s="4">
        <v>50858945</v>
      </c>
      <c r="AO310" s="150">
        <v>4260853</v>
      </c>
    </row>
    <row r="311" spans="1:41" x14ac:dyDescent="0.2">
      <c r="A311" s="1">
        <v>2024</v>
      </c>
      <c r="B311" s="2" t="s">
        <v>336</v>
      </c>
      <c r="C311" s="2" t="s">
        <v>336</v>
      </c>
      <c r="D311" s="1" t="s">
        <v>679</v>
      </c>
      <c r="E311" s="3">
        <v>20482747</v>
      </c>
      <c r="F311" s="3">
        <v>4727</v>
      </c>
      <c r="G311" s="3">
        <v>0</v>
      </c>
      <c r="H311" s="3">
        <v>73509</v>
      </c>
      <c r="I311" s="1">
        <v>0</v>
      </c>
      <c r="J311" s="3">
        <v>20478020</v>
      </c>
      <c r="K311" s="3">
        <v>20404511</v>
      </c>
      <c r="L311" s="3">
        <v>20404511</v>
      </c>
      <c r="M311" s="3">
        <v>1083261</v>
      </c>
      <c r="N311" s="3">
        <v>2080098</v>
      </c>
      <c r="O311" s="3">
        <v>240271</v>
      </c>
      <c r="P311" s="3">
        <v>231630</v>
      </c>
      <c r="Q311" s="3">
        <v>1179370</v>
      </c>
      <c r="R311" s="3">
        <v>15663390</v>
      </c>
      <c r="S311" s="3">
        <v>15589881</v>
      </c>
      <c r="T311" s="3">
        <v>15589881</v>
      </c>
      <c r="U311" s="3">
        <v>2047802</v>
      </c>
      <c r="V311" s="3">
        <v>2047802</v>
      </c>
      <c r="W311" s="3">
        <v>2047802</v>
      </c>
      <c r="X311" s="3">
        <v>2047802</v>
      </c>
      <c r="Y311" s="3">
        <v>2035551</v>
      </c>
      <c r="Z311" s="3">
        <v>2035551</v>
      </c>
      <c r="AA311" s="4">
        <v>2035550</v>
      </c>
      <c r="AB311" s="4">
        <v>2035550</v>
      </c>
      <c r="AC311" s="4">
        <v>2035550</v>
      </c>
      <c r="AD311" s="4">
        <v>2035551</v>
      </c>
      <c r="AE311" s="4">
        <v>2047802</v>
      </c>
      <c r="AF311" s="4">
        <v>4095604</v>
      </c>
      <c r="AG311" s="4">
        <v>6143406</v>
      </c>
      <c r="AH311" s="4">
        <v>8191208</v>
      </c>
      <c r="AI311" s="4">
        <v>10226759</v>
      </c>
      <c r="AJ311" s="4">
        <v>12262310</v>
      </c>
      <c r="AK311" s="4">
        <v>14297860</v>
      </c>
      <c r="AL311" s="4">
        <v>16333410</v>
      </c>
      <c r="AM311" s="4">
        <v>18368960</v>
      </c>
      <c r="AN311" s="4">
        <v>20404511</v>
      </c>
      <c r="AO311" s="150">
        <v>1765581</v>
      </c>
    </row>
    <row r="312" spans="1:41" x14ac:dyDescent="0.2">
      <c r="A312" s="1">
        <v>2024</v>
      </c>
      <c r="B312" s="2" t="s">
        <v>337</v>
      </c>
      <c r="C312" s="2" t="s">
        <v>337</v>
      </c>
      <c r="D312" s="1" t="s">
        <v>680</v>
      </c>
      <c r="E312" s="3">
        <v>1995999</v>
      </c>
      <c r="F312" s="3">
        <v>199</v>
      </c>
      <c r="G312" s="3">
        <v>0</v>
      </c>
      <c r="H312" s="3">
        <v>8184</v>
      </c>
      <c r="I312" s="1">
        <v>0</v>
      </c>
      <c r="J312" s="3">
        <v>1995800</v>
      </c>
      <c r="K312" s="3">
        <v>1987616</v>
      </c>
      <c r="L312" s="3">
        <v>1987616</v>
      </c>
      <c r="M312" s="3">
        <v>45611</v>
      </c>
      <c r="N312" s="3">
        <v>239252</v>
      </c>
      <c r="O312" s="3">
        <v>22832</v>
      </c>
      <c r="P312" s="3">
        <v>26227</v>
      </c>
      <c r="Q312" s="3">
        <v>131307</v>
      </c>
      <c r="R312" s="3">
        <v>1530571</v>
      </c>
      <c r="S312" s="3">
        <v>1522387</v>
      </c>
      <c r="T312" s="3">
        <v>1522387</v>
      </c>
      <c r="U312" s="3">
        <v>199580</v>
      </c>
      <c r="V312" s="3">
        <v>199580</v>
      </c>
      <c r="W312" s="3">
        <v>199580</v>
      </c>
      <c r="X312" s="3">
        <v>199580</v>
      </c>
      <c r="Y312" s="3">
        <v>198216</v>
      </c>
      <c r="Z312" s="3">
        <v>198216</v>
      </c>
      <c r="AA312" s="4">
        <v>198216</v>
      </c>
      <c r="AB312" s="4">
        <v>198216</v>
      </c>
      <c r="AC312" s="4">
        <v>198216</v>
      </c>
      <c r="AD312" s="4">
        <v>198216</v>
      </c>
      <c r="AE312" s="4">
        <v>199580</v>
      </c>
      <c r="AF312" s="4">
        <v>399160</v>
      </c>
      <c r="AG312" s="4">
        <v>598740</v>
      </c>
      <c r="AH312" s="4">
        <v>798320</v>
      </c>
      <c r="AI312" s="4">
        <v>996536</v>
      </c>
      <c r="AJ312" s="4">
        <v>1194752</v>
      </c>
      <c r="AK312" s="4">
        <v>1392968</v>
      </c>
      <c r="AL312" s="4">
        <v>1591184</v>
      </c>
      <c r="AM312" s="4">
        <v>1789400</v>
      </c>
      <c r="AN312" s="4">
        <v>1987616</v>
      </c>
      <c r="AO312" s="150">
        <v>177190</v>
      </c>
    </row>
    <row r="313" spans="1:41" x14ac:dyDescent="0.2">
      <c r="A313" s="1">
        <v>2024</v>
      </c>
      <c r="B313" s="2" t="s">
        <v>338</v>
      </c>
      <c r="C313" s="2" t="s">
        <v>338</v>
      </c>
      <c r="D313" s="1" t="s">
        <v>681</v>
      </c>
      <c r="E313" s="3">
        <v>9817693</v>
      </c>
      <c r="F313" s="3">
        <v>1045</v>
      </c>
      <c r="G313" s="3">
        <v>0</v>
      </c>
      <c r="H313" s="3">
        <v>28370</v>
      </c>
      <c r="I313" s="1">
        <v>0</v>
      </c>
      <c r="J313" s="3">
        <v>9816648</v>
      </c>
      <c r="K313" s="3">
        <v>9788278</v>
      </c>
      <c r="L313" s="3">
        <v>9788278</v>
      </c>
      <c r="M313" s="3">
        <v>239458</v>
      </c>
      <c r="N313" s="3">
        <v>816982</v>
      </c>
      <c r="O313" s="3">
        <v>111023</v>
      </c>
      <c r="P313" s="3">
        <v>86161</v>
      </c>
      <c r="Q313" s="3">
        <v>455171</v>
      </c>
      <c r="R313" s="3">
        <v>8107853</v>
      </c>
      <c r="S313" s="3">
        <v>8079483</v>
      </c>
      <c r="T313" s="3">
        <v>8079483</v>
      </c>
      <c r="U313" s="3">
        <v>981665</v>
      </c>
      <c r="V313" s="3">
        <v>981665</v>
      </c>
      <c r="W313" s="3">
        <v>981665</v>
      </c>
      <c r="X313" s="3">
        <v>981665</v>
      </c>
      <c r="Y313" s="3">
        <v>976936</v>
      </c>
      <c r="Z313" s="3">
        <v>976936</v>
      </c>
      <c r="AA313" s="4">
        <v>976937</v>
      </c>
      <c r="AB313" s="4">
        <v>976937</v>
      </c>
      <c r="AC313" s="4">
        <v>976937</v>
      </c>
      <c r="AD313" s="4">
        <v>976935</v>
      </c>
      <c r="AE313" s="4">
        <v>981665</v>
      </c>
      <c r="AF313" s="4">
        <v>1963330</v>
      </c>
      <c r="AG313" s="4">
        <v>2944995</v>
      </c>
      <c r="AH313" s="4">
        <v>3926660</v>
      </c>
      <c r="AI313" s="4">
        <v>4903596</v>
      </c>
      <c r="AJ313" s="4">
        <v>5880532</v>
      </c>
      <c r="AK313" s="4">
        <v>6857469</v>
      </c>
      <c r="AL313" s="4">
        <v>7834406</v>
      </c>
      <c r="AM313" s="4">
        <v>8811343</v>
      </c>
      <c r="AN313" s="4">
        <v>9788278</v>
      </c>
      <c r="AO313" s="150">
        <v>596885</v>
      </c>
    </row>
    <row r="314" spans="1:41" x14ac:dyDescent="0.2">
      <c r="A314" s="1">
        <v>2024</v>
      </c>
      <c r="B314" s="2" t="s">
        <v>339</v>
      </c>
      <c r="C314" s="2" t="s">
        <v>339</v>
      </c>
      <c r="D314" s="1" t="s">
        <v>682</v>
      </c>
      <c r="E314" s="3">
        <v>5637044</v>
      </c>
      <c r="F314" s="3">
        <v>1310</v>
      </c>
      <c r="G314" s="3">
        <v>0</v>
      </c>
      <c r="H314" s="3">
        <v>21555</v>
      </c>
      <c r="I314" s="3">
        <v>0</v>
      </c>
      <c r="J314" s="3">
        <v>5635734</v>
      </c>
      <c r="K314" s="3">
        <v>5614179</v>
      </c>
      <c r="L314" s="3">
        <v>5614179</v>
      </c>
      <c r="M314" s="3">
        <v>300273</v>
      </c>
      <c r="N314" s="3">
        <v>582606</v>
      </c>
      <c r="O314" s="3">
        <v>67405</v>
      </c>
      <c r="P314" s="3">
        <v>65575</v>
      </c>
      <c r="Q314" s="3">
        <v>345829</v>
      </c>
      <c r="R314" s="3">
        <v>4274046</v>
      </c>
      <c r="S314" s="3">
        <v>4252491</v>
      </c>
      <c r="T314" s="3">
        <v>4252491</v>
      </c>
      <c r="U314" s="3">
        <v>563573</v>
      </c>
      <c r="V314" s="3">
        <v>563573</v>
      </c>
      <c r="W314" s="3">
        <v>563573</v>
      </c>
      <c r="X314" s="3">
        <v>563573</v>
      </c>
      <c r="Y314" s="3">
        <v>559981</v>
      </c>
      <c r="Z314" s="3">
        <v>559981</v>
      </c>
      <c r="AA314" s="4">
        <v>559981</v>
      </c>
      <c r="AB314" s="4">
        <v>559981</v>
      </c>
      <c r="AC314" s="4">
        <v>559981</v>
      </c>
      <c r="AD314" s="4">
        <v>559982</v>
      </c>
      <c r="AE314" s="4">
        <v>563573</v>
      </c>
      <c r="AF314" s="4">
        <v>1127146</v>
      </c>
      <c r="AG314" s="4">
        <v>1690719</v>
      </c>
      <c r="AH314" s="4">
        <v>2254292</v>
      </c>
      <c r="AI314" s="4">
        <v>2814273</v>
      </c>
      <c r="AJ314" s="4">
        <v>3374254</v>
      </c>
      <c r="AK314" s="4">
        <v>3934235</v>
      </c>
      <c r="AL314" s="4">
        <v>4494216</v>
      </c>
      <c r="AM314" s="4">
        <v>5054197</v>
      </c>
      <c r="AN314" s="4">
        <v>5614179</v>
      </c>
      <c r="AO314" s="150">
        <v>481392</v>
      </c>
    </row>
    <row r="315" spans="1:41" x14ac:dyDescent="0.2">
      <c r="A315" s="1">
        <v>2024</v>
      </c>
      <c r="B315" s="2" t="s">
        <v>340</v>
      </c>
      <c r="C315" s="2" t="s">
        <v>340</v>
      </c>
      <c r="D315" s="1" t="s">
        <v>683</v>
      </c>
      <c r="E315" s="3">
        <v>5209417</v>
      </c>
      <c r="F315" s="3">
        <v>779</v>
      </c>
      <c r="G315" s="3">
        <v>0</v>
      </c>
      <c r="H315" s="3">
        <v>18071</v>
      </c>
      <c r="I315" s="3">
        <v>0</v>
      </c>
      <c r="J315" s="3">
        <v>5208638</v>
      </c>
      <c r="K315" s="3">
        <v>5190567</v>
      </c>
      <c r="L315" s="3">
        <v>5190567</v>
      </c>
      <c r="M315" s="3">
        <v>178644</v>
      </c>
      <c r="N315" s="3">
        <v>517718</v>
      </c>
      <c r="O315" s="3">
        <v>62419</v>
      </c>
      <c r="P315" s="3">
        <v>51261</v>
      </c>
      <c r="Q315" s="3">
        <v>291106</v>
      </c>
      <c r="R315" s="3">
        <v>4107490</v>
      </c>
      <c r="S315" s="3">
        <v>4089419</v>
      </c>
      <c r="T315" s="3">
        <v>4089419</v>
      </c>
      <c r="U315" s="3">
        <v>520864</v>
      </c>
      <c r="V315" s="3">
        <v>520864</v>
      </c>
      <c r="W315" s="3">
        <v>520864</v>
      </c>
      <c r="X315" s="3">
        <v>520864</v>
      </c>
      <c r="Y315" s="3">
        <v>517852</v>
      </c>
      <c r="Z315" s="3">
        <v>517852</v>
      </c>
      <c r="AA315" s="4">
        <v>517852</v>
      </c>
      <c r="AB315" s="4">
        <v>517852</v>
      </c>
      <c r="AC315" s="4">
        <v>517852</v>
      </c>
      <c r="AD315" s="4">
        <v>517851</v>
      </c>
      <c r="AE315" s="4">
        <v>520864</v>
      </c>
      <c r="AF315" s="4">
        <v>1041728</v>
      </c>
      <c r="AG315" s="4">
        <v>1562592</v>
      </c>
      <c r="AH315" s="4">
        <v>2083456</v>
      </c>
      <c r="AI315" s="4">
        <v>2601308</v>
      </c>
      <c r="AJ315" s="4">
        <v>3119160</v>
      </c>
      <c r="AK315" s="4">
        <v>3637012</v>
      </c>
      <c r="AL315" s="4">
        <v>4154864</v>
      </c>
      <c r="AM315" s="4">
        <v>4672716</v>
      </c>
      <c r="AN315" s="4">
        <v>5190567</v>
      </c>
      <c r="AO315" s="150">
        <v>388792</v>
      </c>
    </row>
    <row r="316" spans="1:41" x14ac:dyDescent="0.2">
      <c r="A316" s="1">
        <v>2024</v>
      </c>
      <c r="B316" s="2" t="s">
        <v>341</v>
      </c>
      <c r="C316" s="2" t="s">
        <v>341</v>
      </c>
      <c r="D316" s="1" t="s">
        <v>684</v>
      </c>
      <c r="E316" s="3">
        <v>4022714</v>
      </c>
      <c r="F316" s="3">
        <v>531</v>
      </c>
      <c r="G316" s="3">
        <v>0</v>
      </c>
      <c r="H316" s="3">
        <v>13823</v>
      </c>
      <c r="I316" s="1">
        <v>0</v>
      </c>
      <c r="J316" s="3">
        <v>4022183</v>
      </c>
      <c r="K316" s="3">
        <v>4008360</v>
      </c>
      <c r="L316" s="3">
        <v>4008360</v>
      </c>
      <c r="M316" s="3">
        <v>117922</v>
      </c>
      <c r="N316" s="3">
        <v>407184</v>
      </c>
      <c r="O316" s="3">
        <v>46537</v>
      </c>
      <c r="P316" s="3">
        <v>43396</v>
      </c>
      <c r="Q316" s="3">
        <v>221781</v>
      </c>
      <c r="R316" s="3">
        <v>3185363</v>
      </c>
      <c r="S316" s="3">
        <v>3171540</v>
      </c>
      <c r="T316" s="3">
        <v>3171540</v>
      </c>
      <c r="U316" s="3">
        <v>402218</v>
      </c>
      <c r="V316" s="3">
        <v>402218</v>
      </c>
      <c r="W316" s="3">
        <v>402218</v>
      </c>
      <c r="X316" s="3">
        <v>402218</v>
      </c>
      <c r="Y316" s="3">
        <v>399915</v>
      </c>
      <c r="Z316" s="3">
        <v>399915</v>
      </c>
      <c r="AA316" s="4">
        <v>399915</v>
      </c>
      <c r="AB316" s="4">
        <v>399915</v>
      </c>
      <c r="AC316" s="4">
        <v>399915</v>
      </c>
      <c r="AD316" s="4">
        <v>399913</v>
      </c>
      <c r="AE316" s="4">
        <v>402218</v>
      </c>
      <c r="AF316" s="4">
        <v>804436</v>
      </c>
      <c r="AG316" s="4">
        <v>1206654</v>
      </c>
      <c r="AH316" s="4">
        <v>1608872</v>
      </c>
      <c r="AI316" s="4">
        <v>2008787</v>
      </c>
      <c r="AJ316" s="4">
        <v>2408702</v>
      </c>
      <c r="AK316" s="4">
        <v>2808617</v>
      </c>
      <c r="AL316" s="4">
        <v>3208532</v>
      </c>
      <c r="AM316" s="4">
        <v>3608447</v>
      </c>
      <c r="AN316" s="4">
        <v>4008360</v>
      </c>
      <c r="AO316" s="150">
        <v>305990</v>
      </c>
    </row>
    <row r="317" spans="1:41" x14ac:dyDescent="0.2">
      <c r="A317" s="1">
        <v>2024</v>
      </c>
      <c r="B317" s="2" t="s">
        <v>342</v>
      </c>
      <c r="C317" s="2" t="s">
        <v>342</v>
      </c>
      <c r="D317" s="1" t="s">
        <v>685</v>
      </c>
      <c r="E317" s="3">
        <v>6437827</v>
      </c>
      <c r="F317" s="3">
        <v>614</v>
      </c>
      <c r="G317" s="3">
        <v>0</v>
      </c>
      <c r="H317" s="3">
        <v>18263</v>
      </c>
      <c r="I317" s="3">
        <v>0</v>
      </c>
      <c r="J317" s="3">
        <v>6437213</v>
      </c>
      <c r="K317" s="3">
        <v>6418950</v>
      </c>
      <c r="L317" s="3">
        <v>6418950</v>
      </c>
      <c r="M317" s="3">
        <v>140634</v>
      </c>
      <c r="N317" s="3">
        <v>546210</v>
      </c>
      <c r="O317" s="3">
        <v>64991</v>
      </c>
      <c r="P317" s="3">
        <v>62662</v>
      </c>
      <c r="Q317" s="3">
        <v>293018</v>
      </c>
      <c r="R317" s="3">
        <v>5329698</v>
      </c>
      <c r="S317" s="3">
        <v>5311435</v>
      </c>
      <c r="T317" s="3">
        <v>5311435</v>
      </c>
      <c r="U317" s="3">
        <v>643721</v>
      </c>
      <c r="V317" s="3">
        <v>643721</v>
      </c>
      <c r="W317" s="3">
        <v>643721</v>
      </c>
      <c r="X317" s="3">
        <v>643721</v>
      </c>
      <c r="Y317" s="3">
        <v>640678</v>
      </c>
      <c r="Z317" s="3">
        <v>640678</v>
      </c>
      <c r="AA317" s="4">
        <v>640678</v>
      </c>
      <c r="AB317" s="4">
        <v>640678</v>
      </c>
      <c r="AC317" s="4">
        <v>640678</v>
      </c>
      <c r="AD317" s="4">
        <v>640676</v>
      </c>
      <c r="AE317" s="4">
        <v>643721</v>
      </c>
      <c r="AF317" s="4">
        <v>1287442</v>
      </c>
      <c r="AG317" s="4">
        <v>1931163</v>
      </c>
      <c r="AH317" s="4">
        <v>2574884</v>
      </c>
      <c r="AI317" s="4">
        <v>3215562</v>
      </c>
      <c r="AJ317" s="4">
        <v>3856240</v>
      </c>
      <c r="AK317" s="4">
        <v>4496918</v>
      </c>
      <c r="AL317" s="4">
        <v>5137596</v>
      </c>
      <c r="AM317" s="4">
        <v>5778274</v>
      </c>
      <c r="AN317" s="4">
        <v>6418950</v>
      </c>
      <c r="AO317" s="150">
        <v>417852</v>
      </c>
    </row>
    <row r="318" spans="1:41" x14ac:dyDescent="0.2">
      <c r="A318" s="1">
        <v>2024</v>
      </c>
      <c r="B318" s="2" t="s">
        <v>343</v>
      </c>
      <c r="C318" s="2" t="s">
        <v>343</v>
      </c>
      <c r="D318" s="1" t="s">
        <v>686</v>
      </c>
      <c r="E318" s="3">
        <v>2764238</v>
      </c>
      <c r="F318" s="3">
        <v>547</v>
      </c>
      <c r="G318" s="3">
        <v>0</v>
      </c>
      <c r="H318" s="3">
        <v>12213</v>
      </c>
      <c r="I318" s="3">
        <v>0</v>
      </c>
      <c r="J318" s="3">
        <v>2763691</v>
      </c>
      <c r="K318" s="3">
        <v>2751478</v>
      </c>
      <c r="L318" s="3">
        <v>2751478</v>
      </c>
      <c r="M318" s="3">
        <v>125431</v>
      </c>
      <c r="N318" s="3">
        <v>366990</v>
      </c>
      <c r="O318" s="3">
        <v>42031</v>
      </c>
      <c r="P318" s="3">
        <v>42254</v>
      </c>
      <c r="Q318" s="3">
        <v>195947</v>
      </c>
      <c r="R318" s="3">
        <v>1991038</v>
      </c>
      <c r="S318" s="3">
        <v>1978825</v>
      </c>
      <c r="T318" s="3">
        <v>1978825</v>
      </c>
      <c r="U318" s="3">
        <v>276369</v>
      </c>
      <c r="V318" s="3">
        <v>276369</v>
      </c>
      <c r="W318" s="3">
        <v>276369</v>
      </c>
      <c r="X318" s="3">
        <v>276369</v>
      </c>
      <c r="Y318" s="3">
        <v>274334</v>
      </c>
      <c r="Z318" s="3">
        <v>274334</v>
      </c>
      <c r="AA318" s="4">
        <v>274334</v>
      </c>
      <c r="AB318" s="4">
        <v>274334</v>
      </c>
      <c r="AC318" s="4">
        <v>274334</v>
      </c>
      <c r="AD318" s="4">
        <v>274332</v>
      </c>
      <c r="AE318" s="4">
        <v>276369</v>
      </c>
      <c r="AF318" s="4">
        <v>552738</v>
      </c>
      <c r="AG318" s="4">
        <v>829107</v>
      </c>
      <c r="AH318" s="4">
        <v>1105476</v>
      </c>
      <c r="AI318" s="4">
        <v>1379810</v>
      </c>
      <c r="AJ318" s="4">
        <v>1654144</v>
      </c>
      <c r="AK318" s="4">
        <v>1928478</v>
      </c>
      <c r="AL318" s="4">
        <v>2202812</v>
      </c>
      <c r="AM318" s="4">
        <v>2477146</v>
      </c>
      <c r="AN318" s="4">
        <v>2751478</v>
      </c>
      <c r="AO318" s="150">
        <v>259258</v>
      </c>
    </row>
    <row r="319" spans="1:41" x14ac:dyDescent="0.2">
      <c r="A319" s="1">
        <v>2024</v>
      </c>
      <c r="B319" s="2" t="s">
        <v>344</v>
      </c>
      <c r="C319" s="2" t="s">
        <v>344</v>
      </c>
      <c r="D319" s="1" t="s">
        <v>687</v>
      </c>
      <c r="E319" s="3">
        <v>1052381</v>
      </c>
      <c r="F319" s="3">
        <v>182</v>
      </c>
      <c r="G319" s="3">
        <v>0</v>
      </c>
      <c r="H319" s="3">
        <v>4236</v>
      </c>
      <c r="I319" s="1">
        <v>0</v>
      </c>
      <c r="J319" s="3">
        <v>1052199</v>
      </c>
      <c r="K319" s="3">
        <v>1047963</v>
      </c>
      <c r="L319" s="3">
        <v>1047963</v>
      </c>
      <c r="M319" s="3">
        <v>41811</v>
      </c>
      <c r="N319" s="3">
        <v>148903</v>
      </c>
      <c r="O319" s="3">
        <v>18474</v>
      </c>
      <c r="P319" s="3">
        <v>16793</v>
      </c>
      <c r="Q319" s="3">
        <v>69055</v>
      </c>
      <c r="R319" s="3">
        <v>757163</v>
      </c>
      <c r="S319" s="3">
        <v>752927</v>
      </c>
      <c r="T319" s="3">
        <v>752927</v>
      </c>
      <c r="U319" s="3">
        <v>105220</v>
      </c>
      <c r="V319" s="3">
        <v>105220</v>
      </c>
      <c r="W319" s="3">
        <v>105220</v>
      </c>
      <c r="X319" s="3">
        <v>105220</v>
      </c>
      <c r="Y319" s="3">
        <v>104514</v>
      </c>
      <c r="Z319" s="3">
        <v>104514</v>
      </c>
      <c r="AA319" s="4">
        <v>104514</v>
      </c>
      <c r="AB319" s="4">
        <v>104514</v>
      </c>
      <c r="AC319" s="4">
        <v>104514</v>
      </c>
      <c r="AD319" s="4">
        <v>104513</v>
      </c>
      <c r="AE319" s="4">
        <v>105220</v>
      </c>
      <c r="AF319" s="4">
        <v>210440</v>
      </c>
      <c r="AG319" s="4">
        <v>315660</v>
      </c>
      <c r="AH319" s="4">
        <v>420880</v>
      </c>
      <c r="AI319" s="4">
        <v>525394</v>
      </c>
      <c r="AJ319" s="4">
        <v>629908</v>
      </c>
      <c r="AK319" s="4">
        <v>734422</v>
      </c>
      <c r="AL319" s="4">
        <v>838936</v>
      </c>
      <c r="AM319" s="4">
        <v>943450</v>
      </c>
      <c r="AN319" s="4">
        <v>1047963</v>
      </c>
      <c r="AO319" s="150">
        <v>91137</v>
      </c>
    </row>
    <row r="320" spans="1:41" x14ac:dyDescent="0.2">
      <c r="A320" s="1">
        <v>2024</v>
      </c>
      <c r="B320" s="2" t="s">
        <v>345</v>
      </c>
      <c r="C320" s="2" t="s">
        <v>345</v>
      </c>
      <c r="D320" s="1" t="s">
        <v>688</v>
      </c>
      <c r="E320" s="3">
        <v>7812352</v>
      </c>
      <c r="F320" s="3">
        <v>1045</v>
      </c>
      <c r="G320" s="3">
        <v>0</v>
      </c>
      <c r="H320" s="3">
        <v>26650</v>
      </c>
      <c r="I320" s="1">
        <v>0</v>
      </c>
      <c r="J320" s="3">
        <v>7811307</v>
      </c>
      <c r="K320" s="3">
        <v>7784657</v>
      </c>
      <c r="L320" s="3">
        <v>7784657</v>
      </c>
      <c r="M320" s="3">
        <v>235751</v>
      </c>
      <c r="N320" s="3">
        <v>761022</v>
      </c>
      <c r="O320" s="3">
        <v>74670</v>
      </c>
      <c r="P320" s="3">
        <v>83546</v>
      </c>
      <c r="Q320" s="3">
        <v>427569</v>
      </c>
      <c r="R320" s="3">
        <v>6228749</v>
      </c>
      <c r="S320" s="3">
        <v>6202099</v>
      </c>
      <c r="T320" s="3">
        <v>6202099</v>
      </c>
      <c r="U320" s="3">
        <v>781131</v>
      </c>
      <c r="V320" s="3">
        <v>781131</v>
      </c>
      <c r="W320" s="3">
        <v>781131</v>
      </c>
      <c r="X320" s="3">
        <v>781131</v>
      </c>
      <c r="Y320" s="3">
        <v>776689</v>
      </c>
      <c r="Z320" s="3">
        <v>776689</v>
      </c>
      <c r="AA320" s="4">
        <v>776689</v>
      </c>
      <c r="AB320" s="4">
        <v>776689</v>
      </c>
      <c r="AC320" s="4">
        <v>776689</v>
      </c>
      <c r="AD320" s="4">
        <v>776688</v>
      </c>
      <c r="AE320" s="4">
        <v>781131</v>
      </c>
      <c r="AF320" s="4">
        <v>1562262</v>
      </c>
      <c r="AG320" s="4">
        <v>2343393</v>
      </c>
      <c r="AH320" s="4">
        <v>3124524</v>
      </c>
      <c r="AI320" s="4">
        <v>3901213</v>
      </c>
      <c r="AJ320" s="4">
        <v>4677902</v>
      </c>
      <c r="AK320" s="4">
        <v>5454591</v>
      </c>
      <c r="AL320" s="4">
        <v>6231280</v>
      </c>
      <c r="AM320" s="4">
        <v>7007969</v>
      </c>
      <c r="AN320" s="4">
        <v>7784657</v>
      </c>
      <c r="AO320" s="150">
        <v>561959</v>
      </c>
    </row>
    <row r="321" spans="1:41" x14ac:dyDescent="0.2">
      <c r="A321" s="1">
        <v>2024</v>
      </c>
      <c r="B321" s="2" t="s">
        <v>346</v>
      </c>
      <c r="C321" s="2" t="s">
        <v>346</v>
      </c>
      <c r="D321" s="1" t="s">
        <v>689</v>
      </c>
      <c r="E321" s="3">
        <v>6286735</v>
      </c>
      <c r="F321" s="3">
        <v>929</v>
      </c>
      <c r="G321" s="3">
        <v>0</v>
      </c>
      <c r="H321" s="3">
        <v>19568</v>
      </c>
      <c r="I321" s="3">
        <v>0</v>
      </c>
      <c r="J321" s="3">
        <v>6285806</v>
      </c>
      <c r="K321" s="3">
        <v>6266238</v>
      </c>
      <c r="L321" s="3">
        <v>6266238</v>
      </c>
      <c r="M321" s="3">
        <v>212851</v>
      </c>
      <c r="N321" s="3">
        <v>570739</v>
      </c>
      <c r="O321" s="3">
        <v>65281</v>
      </c>
      <c r="P321" s="3">
        <v>63824</v>
      </c>
      <c r="Q321" s="3">
        <v>313951</v>
      </c>
      <c r="R321" s="3">
        <v>5059160</v>
      </c>
      <c r="S321" s="3">
        <v>5039592</v>
      </c>
      <c r="T321" s="3">
        <v>5039592</v>
      </c>
      <c r="U321" s="3">
        <v>628581</v>
      </c>
      <c r="V321" s="3">
        <v>628581</v>
      </c>
      <c r="W321" s="3">
        <v>628581</v>
      </c>
      <c r="X321" s="3">
        <v>628581</v>
      </c>
      <c r="Y321" s="3">
        <v>625319</v>
      </c>
      <c r="Z321" s="3">
        <v>625319</v>
      </c>
      <c r="AA321" s="4">
        <v>625319</v>
      </c>
      <c r="AB321" s="4">
        <v>625319</v>
      </c>
      <c r="AC321" s="4">
        <v>625319</v>
      </c>
      <c r="AD321" s="4">
        <v>625319</v>
      </c>
      <c r="AE321" s="4">
        <v>628581</v>
      </c>
      <c r="AF321" s="4">
        <v>1257162</v>
      </c>
      <c r="AG321" s="4">
        <v>1885743</v>
      </c>
      <c r="AH321" s="4">
        <v>2514324</v>
      </c>
      <c r="AI321" s="4">
        <v>3139643</v>
      </c>
      <c r="AJ321" s="4">
        <v>3764962</v>
      </c>
      <c r="AK321" s="4">
        <v>4390281</v>
      </c>
      <c r="AL321" s="4">
        <v>5015600</v>
      </c>
      <c r="AM321" s="4">
        <v>5640919</v>
      </c>
      <c r="AN321" s="4">
        <v>6266238</v>
      </c>
      <c r="AO321" s="150">
        <v>406117</v>
      </c>
    </row>
    <row r="322" spans="1:41" x14ac:dyDescent="0.2">
      <c r="A322" s="1">
        <v>2024</v>
      </c>
      <c r="B322" s="2" t="s">
        <v>347</v>
      </c>
      <c r="C322" s="2" t="s">
        <v>347</v>
      </c>
      <c r="D322" s="1" t="s">
        <v>690</v>
      </c>
      <c r="E322" s="3">
        <v>2182790</v>
      </c>
      <c r="F322" s="3">
        <v>315</v>
      </c>
      <c r="G322" s="3">
        <v>0</v>
      </c>
      <c r="H322" s="3">
        <v>7033</v>
      </c>
      <c r="I322" s="1">
        <v>0</v>
      </c>
      <c r="J322" s="3">
        <v>2182475</v>
      </c>
      <c r="K322" s="3">
        <v>2175442</v>
      </c>
      <c r="L322" s="3">
        <v>2175442</v>
      </c>
      <c r="M322" s="3">
        <v>72218</v>
      </c>
      <c r="N322" s="3">
        <v>209148</v>
      </c>
      <c r="O322" s="3">
        <v>25747</v>
      </c>
      <c r="P322" s="3">
        <v>22775</v>
      </c>
      <c r="Q322" s="3">
        <v>112844</v>
      </c>
      <c r="R322" s="3">
        <v>1739743</v>
      </c>
      <c r="S322" s="3">
        <v>1732710</v>
      </c>
      <c r="T322" s="3">
        <v>1732710</v>
      </c>
      <c r="U322" s="3">
        <v>218248</v>
      </c>
      <c r="V322" s="3">
        <v>218248</v>
      </c>
      <c r="W322" s="3">
        <v>218248</v>
      </c>
      <c r="X322" s="3">
        <v>218248</v>
      </c>
      <c r="Y322" s="3">
        <v>217075</v>
      </c>
      <c r="Z322" s="3">
        <v>217075</v>
      </c>
      <c r="AA322" s="4">
        <v>217075</v>
      </c>
      <c r="AB322" s="4">
        <v>217075</v>
      </c>
      <c r="AC322" s="4">
        <v>217075</v>
      </c>
      <c r="AD322" s="4">
        <v>217075</v>
      </c>
      <c r="AE322" s="4">
        <v>218248</v>
      </c>
      <c r="AF322" s="4">
        <v>436496</v>
      </c>
      <c r="AG322" s="4">
        <v>654744</v>
      </c>
      <c r="AH322" s="4">
        <v>872992</v>
      </c>
      <c r="AI322" s="4">
        <v>1090067</v>
      </c>
      <c r="AJ322" s="4">
        <v>1307142</v>
      </c>
      <c r="AK322" s="4">
        <v>1524217</v>
      </c>
      <c r="AL322" s="4">
        <v>1741292</v>
      </c>
      <c r="AM322" s="4">
        <v>1958367</v>
      </c>
      <c r="AN322" s="4">
        <v>2175442</v>
      </c>
      <c r="AO322" s="150">
        <v>144548</v>
      </c>
    </row>
    <row r="323" spans="1:41" x14ac:dyDescent="0.2">
      <c r="A323" s="1">
        <v>2024</v>
      </c>
      <c r="B323" s="2" t="s">
        <v>348</v>
      </c>
      <c r="C323" s="2" t="s">
        <v>348</v>
      </c>
      <c r="D323" s="1" t="s">
        <v>691</v>
      </c>
      <c r="E323" s="3">
        <v>11817655</v>
      </c>
      <c r="F323" s="3">
        <v>1111</v>
      </c>
      <c r="G323" s="3">
        <v>0</v>
      </c>
      <c r="H323" s="3">
        <v>38298</v>
      </c>
      <c r="I323" s="1">
        <v>0</v>
      </c>
      <c r="J323" s="3">
        <v>11816544</v>
      </c>
      <c r="K323" s="3">
        <v>11778246</v>
      </c>
      <c r="L323" s="3">
        <v>11778246</v>
      </c>
      <c r="M323" s="3">
        <v>254662</v>
      </c>
      <c r="N323" s="3">
        <v>1061670</v>
      </c>
      <c r="O323" s="3">
        <v>137019</v>
      </c>
      <c r="P323" s="3">
        <v>115444</v>
      </c>
      <c r="Q323" s="3">
        <v>614450</v>
      </c>
      <c r="R323" s="3">
        <v>9633299</v>
      </c>
      <c r="S323" s="3">
        <v>9595001</v>
      </c>
      <c r="T323" s="3">
        <v>9595001</v>
      </c>
      <c r="U323" s="3">
        <v>1181654</v>
      </c>
      <c r="V323" s="3">
        <v>1181654</v>
      </c>
      <c r="W323" s="3">
        <v>1181654</v>
      </c>
      <c r="X323" s="3">
        <v>1181654</v>
      </c>
      <c r="Y323" s="3">
        <v>1175272</v>
      </c>
      <c r="Z323" s="3">
        <v>1175272</v>
      </c>
      <c r="AA323" s="4">
        <v>1175272</v>
      </c>
      <c r="AB323" s="4">
        <v>1175272</v>
      </c>
      <c r="AC323" s="4">
        <v>1175272</v>
      </c>
      <c r="AD323" s="4">
        <v>1175270</v>
      </c>
      <c r="AE323" s="4">
        <v>1181654</v>
      </c>
      <c r="AF323" s="4">
        <v>2363308</v>
      </c>
      <c r="AG323" s="4">
        <v>3544962</v>
      </c>
      <c r="AH323" s="4">
        <v>4726616</v>
      </c>
      <c r="AI323" s="4">
        <v>5901888</v>
      </c>
      <c r="AJ323" s="4">
        <v>7077160</v>
      </c>
      <c r="AK323" s="4">
        <v>8252432</v>
      </c>
      <c r="AL323" s="4">
        <v>9427704</v>
      </c>
      <c r="AM323" s="4">
        <v>10602976</v>
      </c>
      <c r="AN323" s="4">
        <v>11778246</v>
      </c>
      <c r="AO323" s="150">
        <v>793898</v>
      </c>
    </row>
    <row r="324" spans="1:41" x14ac:dyDescent="0.2">
      <c r="A324" s="1">
        <v>2024</v>
      </c>
      <c r="B324" s="2" t="s">
        <v>349</v>
      </c>
      <c r="C324" s="2" t="s">
        <v>349</v>
      </c>
      <c r="D324" s="1" t="s">
        <v>692</v>
      </c>
      <c r="E324" s="3">
        <v>3253647</v>
      </c>
      <c r="F324" s="1">
        <v>663</v>
      </c>
      <c r="G324" s="1">
        <v>0</v>
      </c>
      <c r="H324" s="3">
        <v>10704</v>
      </c>
      <c r="I324" s="3">
        <v>0</v>
      </c>
      <c r="J324" s="3">
        <v>3252984</v>
      </c>
      <c r="K324" s="3">
        <v>3242280</v>
      </c>
      <c r="L324" s="3">
        <v>3242280</v>
      </c>
      <c r="M324" s="3">
        <v>152037</v>
      </c>
      <c r="N324" s="3">
        <v>329290</v>
      </c>
      <c r="O324" s="3">
        <v>38543</v>
      </c>
      <c r="P324" s="3">
        <v>36917</v>
      </c>
      <c r="Q324" s="3">
        <v>171735</v>
      </c>
      <c r="R324" s="3">
        <v>2524462</v>
      </c>
      <c r="S324" s="3">
        <v>2513758</v>
      </c>
      <c r="T324" s="3">
        <v>2513758</v>
      </c>
      <c r="U324" s="3">
        <v>325298</v>
      </c>
      <c r="V324" s="3">
        <v>325298</v>
      </c>
      <c r="W324" s="3">
        <v>325298</v>
      </c>
      <c r="X324" s="3">
        <v>325298</v>
      </c>
      <c r="Y324" s="3">
        <v>323515</v>
      </c>
      <c r="Z324" s="3">
        <v>323515</v>
      </c>
      <c r="AA324" s="4">
        <v>323515</v>
      </c>
      <c r="AB324" s="4">
        <v>323515</v>
      </c>
      <c r="AC324" s="4">
        <v>323515</v>
      </c>
      <c r="AD324" s="4">
        <v>323513</v>
      </c>
      <c r="AE324" s="4">
        <v>325298</v>
      </c>
      <c r="AF324" s="4">
        <v>650596</v>
      </c>
      <c r="AG324" s="4">
        <v>975894</v>
      </c>
      <c r="AH324" s="4">
        <v>1301192</v>
      </c>
      <c r="AI324" s="4">
        <v>1624707</v>
      </c>
      <c r="AJ324" s="4">
        <v>1948222</v>
      </c>
      <c r="AK324" s="4">
        <v>2271737</v>
      </c>
      <c r="AL324" s="4">
        <v>2595252</v>
      </c>
      <c r="AM324" s="4">
        <v>2918767</v>
      </c>
      <c r="AN324" s="4">
        <v>3242280</v>
      </c>
      <c r="AO324" s="150">
        <v>222685</v>
      </c>
    </row>
    <row r="325" spans="1:41" x14ac:dyDescent="0.2">
      <c r="A325" s="1">
        <v>2024</v>
      </c>
      <c r="B325" s="2" t="s">
        <v>350</v>
      </c>
      <c r="C325" s="2" t="s">
        <v>350</v>
      </c>
      <c r="D325" s="1" t="s">
        <v>693</v>
      </c>
      <c r="E325" s="3">
        <v>3652493</v>
      </c>
      <c r="F325" s="3">
        <v>448</v>
      </c>
      <c r="G325" s="3">
        <v>0</v>
      </c>
      <c r="H325" s="3">
        <v>11864</v>
      </c>
      <c r="I325" s="1">
        <v>0</v>
      </c>
      <c r="J325" s="3">
        <v>3652045</v>
      </c>
      <c r="K325" s="3">
        <v>3640181</v>
      </c>
      <c r="L325" s="3">
        <v>3640181</v>
      </c>
      <c r="M325" s="3">
        <v>102625</v>
      </c>
      <c r="N325" s="3">
        <v>339836</v>
      </c>
      <c r="O325" s="3">
        <v>39011</v>
      </c>
      <c r="P325" s="3">
        <v>37173</v>
      </c>
      <c r="Q325" s="3">
        <v>190346</v>
      </c>
      <c r="R325" s="3">
        <v>2943054</v>
      </c>
      <c r="S325" s="3">
        <v>2931190</v>
      </c>
      <c r="T325" s="3">
        <v>2931190</v>
      </c>
      <c r="U325" s="3">
        <v>365205</v>
      </c>
      <c r="V325" s="3">
        <v>365205</v>
      </c>
      <c r="W325" s="3">
        <v>365205</v>
      </c>
      <c r="X325" s="3">
        <v>365205</v>
      </c>
      <c r="Y325" s="3">
        <v>363227</v>
      </c>
      <c r="Z325" s="3">
        <v>363227</v>
      </c>
      <c r="AA325" s="4">
        <v>363227</v>
      </c>
      <c r="AB325" s="4">
        <v>363227</v>
      </c>
      <c r="AC325" s="4">
        <v>363227</v>
      </c>
      <c r="AD325" s="4">
        <v>363226</v>
      </c>
      <c r="AE325" s="4">
        <v>365205</v>
      </c>
      <c r="AF325" s="4">
        <v>730410</v>
      </c>
      <c r="AG325" s="4">
        <v>1095615</v>
      </c>
      <c r="AH325" s="4">
        <v>1460820</v>
      </c>
      <c r="AI325" s="4">
        <v>1824047</v>
      </c>
      <c r="AJ325" s="4">
        <v>2187274</v>
      </c>
      <c r="AK325" s="4">
        <v>2550501</v>
      </c>
      <c r="AL325" s="4">
        <v>2913728</v>
      </c>
      <c r="AM325" s="4">
        <v>3276955</v>
      </c>
      <c r="AN325" s="4">
        <v>3640181</v>
      </c>
      <c r="AO325" s="150">
        <v>260095</v>
      </c>
    </row>
    <row r="326" spans="1:41" x14ac:dyDescent="0.2">
      <c r="A326" s="1">
        <v>2024</v>
      </c>
      <c r="B326" s="2" t="s">
        <v>351</v>
      </c>
      <c r="C326" s="2" t="s">
        <v>351</v>
      </c>
      <c r="D326" s="1" t="s">
        <v>694</v>
      </c>
      <c r="E326" s="3">
        <v>7417051</v>
      </c>
      <c r="F326" s="3">
        <v>1061</v>
      </c>
      <c r="G326" s="3">
        <v>6355</v>
      </c>
      <c r="H326" s="3">
        <v>24415</v>
      </c>
      <c r="I326" s="1">
        <v>0</v>
      </c>
      <c r="J326" s="3">
        <v>7409635</v>
      </c>
      <c r="K326" s="3">
        <v>7385220</v>
      </c>
      <c r="L326" s="3">
        <v>7385220</v>
      </c>
      <c r="M326" s="3">
        <v>243259</v>
      </c>
      <c r="N326" s="3">
        <v>691799</v>
      </c>
      <c r="O326" s="3">
        <v>77507</v>
      </c>
      <c r="P326" s="3">
        <v>73106</v>
      </c>
      <c r="Q326" s="3">
        <v>391711</v>
      </c>
      <c r="R326" s="3">
        <v>5932253</v>
      </c>
      <c r="S326" s="3">
        <v>5907838</v>
      </c>
      <c r="T326" s="3">
        <v>5907838</v>
      </c>
      <c r="U326" s="3">
        <v>740964</v>
      </c>
      <c r="V326" s="3">
        <v>740964</v>
      </c>
      <c r="W326" s="3">
        <v>740964</v>
      </c>
      <c r="X326" s="3">
        <v>740964</v>
      </c>
      <c r="Y326" s="3">
        <v>736894</v>
      </c>
      <c r="Z326" s="3">
        <v>736894</v>
      </c>
      <c r="AA326" s="4">
        <v>736894</v>
      </c>
      <c r="AB326" s="4">
        <v>736894</v>
      </c>
      <c r="AC326" s="4">
        <v>736894</v>
      </c>
      <c r="AD326" s="4">
        <v>736894</v>
      </c>
      <c r="AE326" s="4">
        <v>740964</v>
      </c>
      <c r="AF326" s="4">
        <v>1481928</v>
      </c>
      <c r="AG326" s="4">
        <v>2222892</v>
      </c>
      <c r="AH326" s="4">
        <v>2963856</v>
      </c>
      <c r="AI326" s="4">
        <v>3700750</v>
      </c>
      <c r="AJ326" s="4">
        <v>4437644</v>
      </c>
      <c r="AK326" s="4">
        <v>5174538</v>
      </c>
      <c r="AL326" s="4">
        <v>5911432</v>
      </c>
      <c r="AM326" s="4">
        <v>6648326</v>
      </c>
      <c r="AN326" s="4">
        <v>7385220</v>
      </c>
      <c r="AO326" s="150">
        <v>523009</v>
      </c>
    </row>
    <row r="327" spans="1:41" x14ac:dyDescent="0.2">
      <c r="B327" s="124" t="s">
        <v>788</v>
      </c>
      <c r="D327" s="1" t="s">
        <v>787</v>
      </c>
      <c r="E327" s="3">
        <f t="shared" ref="E327:AO327" si="0">SUM(E2:E326)</f>
        <v>3475195885</v>
      </c>
      <c r="F327" s="3">
        <f t="shared" si="0"/>
        <v>391902</v>
      </c>
      <c r="G327" s="3">
        <f t="shared" si="0"/>
        <v>1019485</v>
      </c>
      <c r="H327" s="3">
        <f t="shared" si="0"/>
        <v>11174362</v>
      </c>
      <c r="I327" s="3">
        <f t="shared" si="0"/>
        <v>0</v>
      </c>
      <c r="J327" s="3">
        <f t="shared" si="0"/>
        <v>3473784498</v>
      </c>
      <c r="K327" s="3">
        <f t="shared" si="0"/>
        <v>3462610136</v>
      </c>
      <c r="L327" s="3">
        <f t="shared" si="0"/>
        <v>3462610136</v>
      </c>
      <c r="M327" s="3">
        <f t="shared" si="0"/>
        <v>89823116</v>
      </c>
      <c r="N327" s="3">
        <f t="shared" si="0"/>
        <v>317930217</v>
      </c>
      <c r="O327" s="3">
        <f t="shared" si="0"/>
        <v>39115945</v>
      </c>
      <c r="P327" s="3">
        <f t="shared" si="0"/>
        <v>35987009</v>
      </c>
      <c r="Q327" s="3">
        <f t="shared" si="0"/>
        <v>179415199</v>
      </c>
      <c r="R327" s="3">
        <f t="shared" si="0"/>
        <v>2811513012</v>
      </c>
      <c r="S327" s="3">
        <f t="shared" si="0"/>
        <v>2800338650</v>
      </c>
      <c r="T327" s="3">
        <f t="shared" si="0"/>
        <v>2800338650</v>
      </c>
      <c r="U327" s="3">
        <f t="shared" si="0"/>
        <v>347378462</v>
      </c>
      <c r="V327" s="3">
        <f t="shared" si="0"/>
        <v>347378462</v>
      </c>
      <c r="W327" s="3">
        <f t="shared" si="0"/>
        <v>347378462</v>
      </c>
      <c r="X327" s="3">
        <f t="shared" si="0"/>
        <v>347378462</v>
      </c>
      <c r="Y327" s="3">
        <f t="shared" si="0"/>
        <v>345516078</v>
      </c>
      <c r="Z327" s="3">
        <f t="shared" si="0"/>
        <v>345516078</v>
      </c>
      <c r="AA327" s="3">
        <f t="shared" si="0"/>
        <v>345516077</v>
      </c>
      <c r="AB327" s="3">
        <f t="shared" si="0"/>
        <v>345516077</v>
      </c>
      <c r="AC327" s="3">
        <f t="shared" si="0"/>
        <v>345516077</v>
      </c>
      <c r="AD327" s="3">
        <f t="shared" si="0"/>
        <v>345515901</v>
      </c>
      <c r="AE327" s="3">
        <f t="shared" si="0"/>
        <v>347378462</v>
      </c>
      <c r="AF327" s="3">
        <f t="shared" si="0"/>
        <v>694756924</v>
      </c>
      <c r="AG327" s="3">
        <f t="shared" si="0"/>
        <v>1042135386</v>
      </c>
      <c r="AH327" s="3">
        <f t="shared" si="0"/>
        <v>1389513848</v>
      </c>
      <c r="AI327" s="3">
        <f t="shared" si="0"/>
        <v>1735029926</v>
      </c>
      <c r="AJ327" s="3">
        <f t="shared" si="0"/>
        <v>2080546004</v>
      </c>
      <c r="AK327" s="3">
        <f t="shared" si="0"/>
        <v>2426062081</v>
      </c>
      <c r="AL327" s="3">
        <f t="shared" si="0"/>
        <v>2771578158</v>
      </c>
      <c r="AM327" s="3">
        <f t="shared" si="0"/>
        <v>3117094235</v>
      </c>
      <c r="AN327" s="3">
        <f t="shared" si="0"/>
        <v>3462610136</v>
      </c>
      <c r="AO327" s="3">
        <f t="shared" si="0"/>
        <v>244857014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N50"/>
  <sheetViews>
    <sheetView workbookViewId="0">
      <selection activeCell="B2" sqref="B2"/>
    </sheetView>
  </sheetViews>
  <sheetFormatPr defaultRowHeight="12.75" x14ac:dyDescent="0.2"/>
  <cols>
    <col min="1" max="1" width="41" style="1" bestFit="1" customWidth="1"/>
    <col min="2" max="2" width="16.5703125" style="1" customWidth="1"/>
    <col min="3" max="3" width="10.85546875" style="1" bestFit="1" customWidth="1"/>
    <col min="4" max="8" width="9.140625" style="1"/>
    <col min="9" max="9" width="28.5703125" style="1" bestFit="1" customWidth="1"/>
    <col min="10" max="10" width="9.140625" style="1"/>
    <col min="11" max="11" width="14.85546875" style="1" customWidth="1"/>
    <col min="12" max="16384" width="9.140625" style="1"/>
  </cols>
  <sheetData>
    <row r="1" spans="1:14" x14ac:dyDescent="0.2">
      <c r="A1" s="1" t="s">
        <v>702</v>
      </c>
      <c r="B1" s="8">
        <v>2024</v>
      </c>
      <c r="G1" s="9"/>
      <c r="H1" s="9"/>
      <c r="I1" s="1" t="s">
        <v>721</v>
      </c>
      <c r="K1" s="1" t="s">
        <v>766</v>
      </c>
      <c r="L1" s="1" t="s">
        <v>722</v>
      </c>
      <c r="M1" s="1" t="s">
        <v>723</v>
      </c>
      <c r="N1" s="1" t="s">
        <v>724</v>
      </c>
    </row>
    <row r="2" spans="1:14" x14ac:dyDescent="0.2">
      <c r="A2" s="1" t="s">
        <v>708</v>
      </c>
      <c r="B2" s="8" t="s">
        <v>713</v>
      </c>
      <c r="I2" s="1" t="s">
        <v>709</v>
      </c>
      <c r="J2" s="1" t="s">
        <v>722</v>
      </c>
      <c r="L2" s="1">
        <v>1</v>
      </c>
      <c r="M2" s="1">
        <v>0</v>
      </c>
      <c r="N2" s="1">
        <v>0</v>
      </c>
    </row>
    <row r="3" spans="1:14" x14ac:dyDescent="0.2">
      <c r="A3" s="1" t="s">
        <v>710</v>
      </c>
      <c r="B3" s="1" t="str">
        <f>IF(OR($B$2="September",$B$2="October",$B$2="November",$B$2="December"),"Pay 1 Regular State Payment Budget",IF(OR($B$2="January",$B$2="February"),"Pay 2 Regular State Payment Budget",IF(OR($B$2="March",$B$2="April",$B$2="May",$B$2="June"),"Pay 3 Regular State Payment Budget","")))</f>
        <v>Pay 1 Regular State Payment Budget</v>
      </c>
      <c r="I3" s="1" t="s">
        <v>712</v>
      </c>
      <c r="J3" s="1" t="s">
        <v>722</v>
      </c>
      <c r="L3" s="1">
        <v>2</v>
      </c>
      <c r="M3" s="1">
        <v>0</v>
      </c>
      <c r="N3" s="1">
        <v>0</v>
      </c>
    </row>
    <row r="4" spans="1:14" x14ac:dyDescent="0.2">
      <c r="A4" s="1" t="s">
        <v>711</v>
      </c>
      <c r="B4" s="1" t="str">
        <f>IF(OR($B$2="September",$B$2="October",$B$2="November",$B$2="December"),"Pay 1 State Foundation Aid (Code 3111)",IF(OR($B$2="January",$B$2="February"),"Pay 2 State Foundation Aid (Code 3111)",IF(OR($B$2="March",$B$2="April",$B$2="May",$B$2="June"),"Pay 3 State Foundation Aid (Code 3111)","")))</f>
        <v>Pay 1 State Foundation Aid (Code 3111)</v>
      </c>
      <c r="I4" s="1" t="s">
        <v>713</v>
      </c>
      <c r="J4" s="1" t="s">
        <v>722</v>
      </c>
      <c r="L4" s="1">
        <v>3</v>
      </c>
      <c r="M4" s="1">
        <v>0</v>
      </c>
      <c r="N4" s="1">
        <v>0</v>
      </c>
    </row>
    <row r="5" spans="1:14" x14ac:dyDescent="0.2">
      <c r="I5" s="1" t="s">
        <v>714</v>
      </c>
      <c r="J5" s="1" t="s">
        <v>722</v>
      </c>
      <c r="L5" s="1">
        <v>4</v>
      </c>
      <c r="M5" s="1">
        <v>0</v>
      </c>
      <c r="N5" s="1">
        <v>0</v>
      </c>
    </row>
    <row r="6" spans="1:14" x14ac:dyDescent="0.2">
      <c r="I6" s="1" t="s">
        <v>715</v>
      </c>
      <c r="J6" s="1" t="s">
        <v>723</v>
      </c>
      <c r="L6" s="1">
        <v>4</v>
      </c>
      <c r="M6" s="1">
        <v>1</v>
      </c>
      <c r="N6" s="1">
        <v>0</v>
      </c>
    </row>
    <row r="7" spans="1:14" x14ac:dyDescent="0.2">
      <c r="I7" s="1" t="s">
        <v>716</v>
      </c>
      <c r="J7" s="1" t="s">
        <v>723</v>
      </c>
      <c r="L7" s="1">
        <v>4</v>
      </c>
      <c r="M7" s="1">
        <v>2</v>
      </c>
      <c r="N7" s="1">
        <v>0</v>
      </c>
    </row>
    <row r="8" spans="1:14" x14ac:dyDescent="0.2">
      <c r="I8" s="1" t="s">
        <v>717</v>
      </c>
      <c r="J8" s="1" t="s">
        <v>724</v>
      </c>
      <c r="L8" s="1">
        <v>4</v>
      </c>
      <c r="M8" s="1">
        <v>2</v>
      </c>
      <c r="N8" s="1">
        <v>1</v>
      </c>
    </row>
    <row r="9" spans="1:14" x14ac:dyDescent="0.2">
      <c r="I9" s="1" t="s">
        <v>718</v>
      </c>
      <c r="J9" s="1" t="s">
        <v>724</v>
      </c>
      <c r="L9" s="1">
        <v>4</v>
      </c>
      <c r="M9" s="1">
        <v>2</v>
      </c>
      <c r="N9" s="1">
        <v>2</v>
      </c>
    </row>
    <row r="10" spans="1:14" x14ac:dyDescent="0.2">
      <c r="I10" s="1" t="s">
        <v>719</v>
      </c>
      <c r="J10" s="1" t="s">
        <v>724</v>
      </c>
      <c r="L10" s="1">
        <v>4</v>
      </c>
      <c r="M10" s="1">
        <v>2</v>
      </c>
      <c r="N10" s="1">
        <v>3</v>
      </c>
    </row>
    <row r="11" spans="1:14" x14ac:dyDescent="0.2">
      <c r="I11" s="1" t="s">
        <v>720</v>
      </c>
      <c r="J11" s="1" t="s">
        <v>725</v>
      </c>
      <c r="L11" s="1">
        <v>4</v>
      </c>
      <c r="M11" s="1">
        <v>2</v>
      </c>
      <c r="N11" s="1">
        <v>3</v>
      </c>
    </row>
    <row r="14" spans="1:14" x14ac:dyDescent="0.2">
      <c r="A14" s="1" t="s">
        <v>738</v>
      </c>
      <c r="B14" s="1" t="s">
        <v>740</v>
      </c>
      <c r="C14" s="1" t="s">
        <v>807</v>
      </c>
    </row>
    <row r="15" spans="1:14" x14ac:dyDescent="0.2">
      <c r="A15" s="1" t="s">
        <v>739</v>
      </c>
      <c r="B15" s="3">
        <f>'Budget Total'!C331-'Budget Total'!D331-'Budget Total'!E331-'Budget Total'!F331-'Budget Total'!G331-'Budget Total'!H331</f>
        <v>0</v>
      </c>
    </row>
    <row r="16" spans="1:14" x14ac:dyDescent="0.2">
      <c r="A16" s="1" t="s">
        <v>741</v>
      </c>
      <c r="B16" s="3">
        <f>'Budget Total'!H331-'Budget by Source'!I331</f>
        <v>0</v>
      </c>
    </row>
    <row r="17" spans="1:4" x14ac:dyDescent="0.2">
      <c r="A17" s="1" t="s">
        <v>742</v>
      </c>
      <c r="B17" s="3">
        <f>SUM('Budget by Source'!C331:H331)-'Budget by Source'!I331</f>
        <v>0</v>
      </c>
    </row>
    <row r="18" spans="1:4" x14ac:dyDescent="0.2">
      <c r="A18" s="6" t="s">
        <v>745</v>
      </c>
      <c r="B18" s="3">
        <f>'Payment by Source'!I331-'Payment Total'!C332</f>
        <v>0</v>
      </c>
      <c r="C18" s="1" t="s">
        <v>770</v>
      </c>
    </row>
    <row r="19" spans="1:4" x14ac:dyDescent="0.2">
      <c r="A19" s="7" t="s">
        <v>751</v>
      </c>
      <c r="B19" s="3">
        <f>'Payment Total'!Q332-'Payment Total'!C332</f>
        <v>0</v>
      </c>
      <c r="C19" s="1" t="s">
        <v>770</v>
      </c>
    </row>
    <row r="20" spans="1:4" x14ac:dyDescent="0.2">
      <c r="A20" s="7" t="s">
        <v>806</v>
      </c>
      <c r="B20" s="3">
        <f>C20-'Budget Total'!C331</f>
        <v>0</v>
      </c>
      <c r="C20" s="3">
        <v>3475195885</v>
      </c>
    </row>
    <row r="21" spans="1:4" x14ac:dyDescent="0.2">
      <c r="A21" s="6" t="s">
        <v>761</v>
      </c>
      <c r="B21" s="3">
        <f>SUM('Payment Total'!$N$7:$N$331)</f>
        <v>0</v>
      </c>
    </row>
    <row r="22" spans="1:4" x14ac:dyDescent="0.2">
      <c r="A22" s="6" t="s">
        <v>762</v>
      </c>
      <c r="B22" s="63">
        <f>SUM('Payment Total'!$T$7:$T$331,'Payment Total'!$V$7:$V$331)</f>
        <v>0</v>
      </c>
    </row>
    <row r="23" spans="1:4" x14ac:dyDescent="0.2">
      <c r="A23" s="6" t="s">
        <v>763</v>
      </c>
      <c r="B23" s="63">
        <f>SUM('Payment by Source'!$K$6:$K$330)</f>
        <v>0</v>
      </c>
      <c r="C23" s="1" t="s">
        <v>767</v>
      </c>
    </row>
    <row r="24" spans="1:4" x14ac:dyDescent="0.2">
      <c r="A24" s="6" t="s">
        <v>764</v>
      </c>
      <c r="B24" s="3">
        <f>'Budget Total'!H331-SUM('Payment Total'!G332,'Payment Total'!H332)</f>
        <v>0</v>
      </c>
    </row>
    <row r="25" spans="1:4" x14ac:dyDescent="0.2">
      <c r="A25" s="6" t="s">
        <v>808</v>
      </c>
      <c r="B25" s="3">
        <f>C25-'Budget Total'!D331</f>
        <v>0</v>
      </c>
      <c r="C25" s="3">
        <v>391902</v>
      </c>
    </row>
    <row r="26" spans="1:4" x14ac:dyDescent="0.2">
      <c r="A26" s="6" t="s">
        <v>842</v>
      </c>
      <c r="B26" s="169">
        <f>C26-'Budget Total'!E331</f>
        <v>1.4848333332920447</v>
      </c>
      <c r="C26" s="3">
        <v>1019486.4848333333</v>
      </c>
      <c r="D26" s="170" t="s">
        <v>810</v>
      </c>
    </row>
    <row r="27" spans="1:4" x14ac:dyDescent="0.2">
      <c r="A27" s="6" t="s">
        <v>809</v>
      </c>
      <c r="B27" s="169">
        <f>C27-'Budget Total'!F331</f>
        <v>11154952.160000002</v>
      </c>
      <c r="C27" s="169">
        <v>11154952.160000002</v>
      </c>
      <c r="D27" s="170" t="s">
        <v>810</v>
      </c>
    </row>
    <row r="28" spans="1:4" x14ac:dyDescent="0.2">
      <c r="A28" s="6" t="s">
        <v>811</v>
      </c>
      <c r="B28" s="169">
        <f>MIN('Payment by Source'!$I$6:$I$330)</f>
        <v>74498</v>
      </c>
      <c r="C28" s="169" t="str">
        <f>INDEX('Payment by Source'!$A$6:$I$330,MATCH(Notes!B28,'Payment by Source'!$I$6:$I$330,0),2)</f>
        <v>North Kossuth</v>
      </c>
      <c r="D28" s="169" t="s">
        <v>812</v>
      </c>
    </row>
    <row r="29" spans="1:4" x14ac:dyDescent="0.2">
      <c r="A29" s="6" t="s">
        <v>813</v>
      </c>
      <c r="B29" s="169">
        <f>C29-'Budget Total'!G331</f>
        <v>2443884</v>
      </c>
      <c r="C29" s="169">
        <v>2443884</v>
      </c>
      <c r="D29" s="169"/>
    </row>
    <row r="30" spans="1:4" x14ac:dyDescent="0.2">
      <c r="A30" s="6" t="s">
        <v>835</v>
      </c>
      <c r="B30" s="169">
        <f>COUNTIF(SpecialEdDeficit!$E$3:$E$329,"&gt;0")-C30</f>
        <v>0</v>
      </c>
      <c r="C30" s="169">
        <v>282</v>
      </c>
      <c r="D30" s="169" t="s">
        <v>836</v>
      </c>
    </row>
    <row r="31" spans="1:4" x14ac:dyDescent="0.2">
      <c r="A31" s="6"/>
    </row>
    <row r="32" spans="1:4" x14ac:dyDescent="0.2">
      <c r="A32" s="6" t="s">
        <v>753</v>
      </c>
    </row>
    <row r="33" spans="1:2" x14ac:dyDescent="0.2">
      <c r="A33" s="6" t="s">
        <v>796</v>
      </c>
    </row>
    <row r="34" spans="1:2" x14ac:dyDescent="0.2">
      <c r="A34" s="6"/>
    </row>
    <row r="35" spans="1:2" x14ac:dyDescent="0.2">
      <c r="A35" s="6"/>
    </row>
    <row r="36" spans="1:2" x14ac:dyDescent="0.2">
      <c r="A36" s="121" t="s">
        <v>785</v>
      </c>
      <c r="B36" s="71" t="s">
        <v>786</v>
      </c>
    </row>
    <row r="37" spans="1:2" x14ac:dyDescent="0.2">
      <c r="A37" s="198" t="str">
        <f>_xlfn.CONCAT("9/",B37,"/",$B$1-1)</f>
        <v>9/19/2023</v>
      </c>
      <c r="B37" s="71">
        <v>19</v>
      </c>
    </row>
    <row r="38" spans="1:2" x14ac:dyDescent="0.2">
      <c r="A38" s="198" t="str">
        <f>_xlfn.CONCAT("10/",B38,"/",$B$1-1)</f>
        <v>10/18/2023</v>
      </c>
      <c r="B38" s="71">
        <v>18</v>
      </c>
    </row>
    <row r="39" spans="1:2" x14ac:dyDescent="0.2">
      <c r="A39" s="198" t="str">
        <f>_xlfn.CONCAT("11/",B39,"/",$B$1-1)</f>
        <v>11/17/2023</v>
      </c>
      <c r="B39" s="71">
        <v>17</v>
      </c>
    </row>
    <row r="40" spans="1:2" x14ac:dyDescent="0.2">
      <c r="A40" s="198" t="str">
        <f>_xlfn.CONCAT("12/",B40,"/",$B$1-1)</f>
        <v>12/19/2023</v>
      </c>
      <c r="B40" s="71">
        <v>19</v>
      </c>
    </row>
    <row r="41" spans="1:2" x14ac:dyDescent="0.2">
      <c r="A41" s="198" t="str">
        <f>_xlfn.CONCAT("1/",B41,"/",$B$1)</f>
        <v>1/17/2024</v>
      </c>
      <c r="B41" s="71">
        <v>17</v>
      </c>
    </row>
    <row r="42" spans="1:2" x14ac:dyDescent="0.2">
      <c r="A42" s="198" t="str">
        <f>_xlfn.CONCAT("2/",B42,"/",$B$1)</f>
        <v>2/20/2024</v>
      </c>
      <c r="B42" s="71">
        <v>20</v>
      </c>
    </row>
    <row r="43" spans="1:2" x14ac:dyDescent="0.2">
      <c r="A43" s="198" t="str">
        <f>_xlfn.CONCAT("3/",B43,"/",$B$1)</f>
        <v>3/19/2024</v>
      </c>
      <c r="B43" s="71">
        <v>19</v>
      </c>
    </row>
    <row r="44" spans="1:2" x14ac:dyDescent="0.2">
      <c r="A44" s="198" t="str">
        <f>_xlfn.CONCAT("4/",B44,"/",$B$1)</f>
        <v>4/17/2024</v>
      </c>
      <c r="B44" s="71">
        <v>17</v>
      </c>
    </row>
    <row r="45" spans="1:2" x14ac:dyDescent="0.2">
      <c r="A45" s="198" t="str">
        <f>_xlfn.CONCAT("5/",B45,"/",$B$1)</f>
        <v>5/17/2024</v>
      </c>
      <c r="B45" s="71">
        <v>17</v>
      </c>
    </row>
    <row r="46" spans="1:2" x14ac:dyDescent="0.2">
      <c r="A46" s="198" t="str">
        <f>_xlfn.CONCAT("6/",B46,"/",$B$1)</f>
        <v>6/19/2024</v>
      </c>
      <c r="B46" s="71">
        <v>19</v>
      </c>
    </row>
    <row r="47" spans="1:2" x14ac:dyDescent="0.2">
      <c r="A47" s="6"/>
    </row>
    <row r="48" spans="1:2" x14ac:dyDescent="0.2">
      <c r="A48" s="6"/>
    </row>
    <row r="49" spans="1:1" x14ac:dyDescent="0.2">
      <c r="A49" s="6"/>
    </row>
    <row r="50" spans="1:1" x14ac:dyDescent="0.2">
      <c r="A50" s="6"/>
    </row>
  </sheetData>
  <dataValidations count="1">
    <dataValidation type="list" allowBlank="1" showInputMessage="1" showErrorMessage="1" sqref="B2" xr:uid="{00000000-0002-0000-0700-000000000000}">
      <formula1>$I$2:$I$11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Y44"/>
  <sheetViews>
    <sheetView showGridLines="0" topLeftCell="A4" zoomScaleNormal="100" workbookViewId="0">
      <selection activeCell="B2" sqref="B2"/>
    </sheetView>
  </sheetViews>
  <sheetFormatPr defaultRowHeight="12.75" x14ac:dyDescent="0.2"/>
  <cols>
    <col min="1" max="1" width="4.28515625" style="80" customWidth="1"/>
    <col min="2" max="2" width="38.28515625" style="80" customWidth="1"/>
    <col min="3" max="3" width="17.42578125" style="94" customWidth="1"/>
    <col min="4" max="4" width="19.42578125" style="94" customWidth="1"/>
    <col min="5" max="5" width="4.28515625" style="94" customWidth="1"/>
    <col min="6" max="6" width="9" style="94" customWidth="1"/>
    <col min="7" max="7" width="9.140625" style="132" hidden="1" customWidth="1"/>
    <col min="8" max="8" width="2.140625" style="71" customWidth="1"/>
    <col min="9" max="9" width="11.85546875" style="71" customWidth="1"/>
    <col min="10" max="10" width="16.85546875" style="71" customWidth="1"/>
    <col min="11" max="11" width="17.42578125" style="71" customWidth="1"/>
    <col min="12" max="12" width="14.140625" style="71" customWidth="1"/>
    <col min="13" max="13" width="14.42578125" style="71" customWidth="1"/>
    <col min="14" max="14" width="14.7109375" style="71" customWidth="1"/>
    <col min="15" max="15" width="16.28515625" style="71" customWidth="1"/>
    <col min="16" max="16" width="17" style="71" customWidth="1"/>
    <col min="17" max="17" width="1.42578125" style="71" customWidth="1"/>
    <col min="18" max="25" width="0" style="132" hidden="1" customWidth="1"/>
    <col min="26" max="16384" width="9.140625" style="71"/>
  </cols>
  <sheetData>
    <row r="1" spans="1:25" ht="24" customHeight="1" x14ac:dyDescent="0.4">
      <c r="A1" s="226" t="str">
        <f>CONCATENATE("FY ",Notes!$B$1," Summary of State Aid Payments to School Districts")</f>
        <v>FY 2024 Summary of State Aid Payments to School Districts</v>
      </c>
      <c r="B1" s="227"/>
      <c r="C1" s="227"/>
      <c r="D1" s="227"/>
      <c r="E1" s="228"/>
      <c r="F1" s="70"/>
    </row>
    <row r="2" spans="1:25" ht="19.5" customHeight="1" x14ac:dyDescent="0.3">
      <c r="A2" s="72"/>
      <c r="B2" s="73" t="s">
        <v>787</v>
      </c>
      <c r="C2" s="229"/>
      <c r="D2" s="229"/>
      <c r="E2" s="230"/>
      <c r="F2" s="74"/>
    </row>
    <row r="3" spans="1:25" ht="17.25" customHeight="1" x14ac:dyDescent="0.4">
      <c r="A3" s="75"/>
      <c r="B3" s="76" t="str">
        <f>INDEX('Budget Total'!$A$6:$H$331,MATCH(PaymentSummary!$B$2,Districts,0),1)</f>
        <v>9999</v>
      </c>
      <c r="C3" s="77"/>
      <c r="D3" s="77"/>
      <c r="E3" s="78"/>
      <c r="F3" s="79"/>
    </row>
    <row r="4" spans="1:25" ht="7.5" customHeight="1" x14ac:dyDescent="0.4">
      <c r="B4" s="81"/>
      <c r="C4" s="82"/>
      <c r="D4" s="82"/>
      <c r="E4" s="83"/>
      <c r="F4" s="79"/>
    </row>
    <row r="5" spans="1:25" ht="7.5" customHeight="1" x14ac:dyDescent="0.2">
      <c r="A5" s="84"/>
      <c r="B5" s="85"/>
      <c r="C5" s="86"/>
      <c r="D5" s="86"/>
      <c r="E5" s="87"/>
      <c r="F5" s="88"/>
    </row>
    <row r="6" spans="1:25" ht="15.75" customHeight="1" x14ac:dyDescent="0.25">
      <c r="A6" s="89"/>
      <c r="B6" s="90" t="s">
        <v>772</v>
      </c>
      <c r="C6" s="91"/>
      <c r="D6" s="106">
        <f>INDEX('Budget Total'!$A$6:$H$331,MATCH(PaymentSummary!$B$2,Districts,0),3)</f>
        <v>3475195885</v>
      </c>
      <c r="E6" s="92"/>
      <c r="F6" s="93"/>
      <c r="G6" s="133"/>
    </row>
    <row r="7" spans="1:25" ht="15.75" customHeight="1" x14ac:dyDescent="0.25">
      <c r="A7" s="89"/>
      <c r="B7" s="90" t="s">
        <v>773</v>
      </c>
      <c r="C7" s="91"/>
      <c r="D7" s="91"/>
      <c r="E7" s="92"/>
      <c r="G7" s="133"/>
    </row>
    <row r="8" spans="1:25" ht="15.75" customHeight="1" x14ac:dyDescent="0.25">
      <c r="A8" s="89"/>
      <c r="B8" s="90" t="s">
        <v>774</v>
      </c>
      <c r="C8" s="91">
        <f>-INDEX('Budget Total'!$A$6:$H$331,MATCH(PaymentSummary!$B$2,Districts,0),4)</f>
        <v>-391902</v>
      </c>
      <c r="D8" s="91"/>
      <c r="E8" s="92"/>
      <c r="F8" s="93"/>
      <c r="G8" s="134"/>
    </row>
    <row r="9" spans="1:25" ht="15.75" customHeight="1" x14ac:dyDescent="0.25">
      <c r="A9" s="89"/>
      <c r="B9" s="90" t="s">
        <v>775</v>
      </c>
      <c r="C9" s="91">
        <f>-INDEX('Budget Total'!$A$6:$H$331,MATCH(PaymentSummary!$B$2,Districts,0),5)</f>
        <v>-1019485</v>
      </c>
      <c r="D9" s="91"/>
      <c r="E9" s="92"/>
      <c r="F9" s="93"/>
      <c r="G9" s="134"/>
      <c r="J9" s="126"/>
    </row>
    <row r="10" spans="1:25" ht="15.75" customHeight="1" x14ac:dyDescent="0.25">
      <c r="A10" s="89"/>
      <c r="B10" s="90" t="s">
        <v>776</v>
      </c>
      <c r="C10" s="91">
        <f>-INDEX('Budget Total'!$A$6:$H$331,MATCH(PaymentSummary!$B$2,Districts,0),6)</f>
        <v>0</v>
      </c>
      <c r="D10" s="91"/>
      <c r="E10" s="92"/>
      <c r="F10" s="93"/>
      <c r="G10" s="134"/>
      <c r="H10" s="137"/>
      <c r="I10" s="235" t="str">
        <f>CONCATENATE("FY ",Notes!$B$1," Budget for State Payments to School Districts by Month by Source")</f>
        <v>FY 2024 Budget for State Payments to School Districts by Month by Source</v>
      </c>
      <c r="J10" s="235"/>
      <c r="K10" s="235"/>
      <c r="L10" s="235"/>
      <c r="M10" s="235"/>
      <c r="N10" s="235"/>
      <c r="O10" s="235"/>
      <c r="P10" s="235"/>
      <c r="Q10" s="236"/>
    </row>
    <row r="11" spans="1:25" ht="15.75" customHeight="1" x14ac:dyDescent="0.25">
      <c r="A11" s="89"/>
      <c r="B11" s="90" t="s">
        <v>777</v>
      </c>
      <c r="C11" s="91">
        <f>INDEX(SpecialEdDeficit!$A$3:$E$330,MATCH(PaymentSummary!$B$3,SpecialEdDeficit!$B$3:$B$330,0),5)</f>
        <v>2136401</v>
      </c>
      <c r="D11" s="91">
        <f>SUM(C8:C11)</f>
        <v>725014</v>
      </c>
      <c r="E11" s="92"/>
      <c r="F11" s="93"/>
      <c r="G11" s="134"/>
      <c r="H11" s="140"/>
      <c r="I11" s="223"/>
      <c r="J11" s="223"/>
      <c r="K11" s="223"/>
      <c r="L11" s="223"/>
      <c r="M11" s="223"/>
      <c r="N11" s="223"/>
      <c r="O11" s="223"/>
      <c r="P11" s="223"/>
      <c r="Q11" s="237"/>
    </row>
    <row r="12" spans="1:25" ht="15.75" customHeight="1" thickBot="1" x14ac:dyDescent="0.3">
      <c r="A12" s="89"/>
      <c r="B12" s="90" t="s">
        <v>778</v>
      </c>
      <c r="C12" s="91"/>
      <c r="D12" s="95">
        <f>D6+D11</f>
        <v>3475920899</v>
      </c>
      <c r="E12" s="92"/>
      <c r="F12" s="93"/>
      <c r="G12" s="134"/>
      <c r="H12" s="140"/>
      <c r="I12" s="148"/>
      <c r="J12" s="148"/>
      <c r="K12" s="148"/>
      <c r="L12" s="148"/>
      <c r="M12" s="148"/>
      <c r="N12" s="148"/>
      <c r="O12" s="148"/>
      <c r="P12" s="148"/>
      <c r="Q12" s="143"/>
    </row>
    <row r="13" spans="1:25" ht="18.75" customHeight="1" thickTop="1" x14ac:dyDescent="0.25">
      <c r="A13" s="89"/>
      <c r="B13" s="90"/>
      <c r="C13" s="91"/>
      <c r="D13" s="91"/>
      <c r="E13" s="92"/>
      <c r="G13" s="135"/>
      <c r="H13" s="140"/>
      <c r="I13" s="231" t="s">
        <v>708</v>
      </c>
      <c r="J13" s="231" t="str">
        <f>Data!$M$1</f>
        <v>Preschool State Aid (Code 3117)</v>
      </c>
      <c r="K13" s="231" t="str">
        <f>Data!N1</f>
        <v>Teacher Salary (Code 3204)</v>
      </c>
      <c r="L13" s="233" t="str">
        <f>Data!O1</f>
        <v>Early Intervention (Code 3216)</v>
      </c>
      <c r="M13" s="231" t="str">
        <f>Data!P1</f>
        <v>Professional Development (Code 3376)</v>
      </c>
      <c r="N13" s="231" t="str">
        <f>Data!Q1</f>
        <v>Teacher Leadership (Code 3116)</v>
      </c>
      <c r="O13" s="233" t="s">
        <v>756</v>
      </c>
      <c r="P13" s="233" t="s">
        <v>359</v>
      </c>
      <c r="Q13" s="143"/>
      <c r="R13" s="147" t="str">
        <f>'Payment by Source'!C$4</f>
        <v>Preschool State Aid 
(Code 3117)</v>
      </c>
      <c r="S13" s="136" t="str">
        <f>'Payment by Source'!D$4</f>
        <v>Teacher Salary (Code 3204)</v>
      </c>
      <c r="T13" s="136" t="str">
        <f>'Payment by Source'!E$4</f>
        <v>Early Intervention (Code 3216)</v>
      </c>
      <c r="U13" s="136" t="str">
        <f>'Payment by Source'!F$4</f>
        <v>Professional Development (Code 3376)</v>
      </c>
      <c r="V13" s="136" t="str">
        <f>'Payment by Source'!G$4</f>
        <v>Teacher Leadership 
(Code 3116)</v>
      </c>
      <c r="W13" s="136" t="str">
        <f>'Payment by Source'!H$4</f>
        <v>State Foundation Aid 
(Code 3111)</v>
      </c>
      <c r="X13" s="136" t="str">
        <f>'Payment by Source'!I$4</f>
        <v>Regular State Payment</v>
      </c>
      <c r="Y13" s="136">
        <f>'Payment by Source'!J$4</f>
        <v>0</v>
      </c>
    </row>
    <row r="14" spans="1:25" ht="15.75" customHeight="1" x14ac:dyDescent="0.25">
      <c r="A14" s="89"/>
      <c r="B14" s="97"/>
      <c r="C14" s="98"/>
      <c r="D14" s="99" t="s">
        <v>779</v>
      </c>
      <c r="E14" s="92"/>
      <c r="G14" s="135"/>
      <c r="H14" s="140"/>
      <c r="I14" s="231"/>
      <c r="J14" s="231"/>
      <c r="K14" s="231"/>
      <c r="L14" s="233"/>
      <c r="M14" s="231"/>
      <c r="N14" s="231"/>
      <c r="O14" s="233"/>
      <c r="P14" s="233"/>
      <c r="Q14" s="143"/>
    </row>
    <row r="15" spans="1:25" ht="15.75" customHeight="1" x14ac:dyDescent="0.25">
      <c r="A15" s="89"/>
      <c r="B15" s="90" t="str">
        <f>CONCATENATE("FY ",Notes!$B$1," Payments (EFT Date):")</f>
        <v>FY 2024 Payments (EFT Date):</v>
      </c>
      <c r="C15" s="98"/>
      <c r="D15" s="100" t="s">
        <v>780</v>
      </c>
      <c r="E15" s="92"/>
      <c r="G15" s="133"/>
      <c r="H15" s="140"/>
      <c r="I15" s="232"/>
      <c r="J15" s="232"/>
      <c r="K15" s="232"/>
      <c r="L15" s="234"/>
      <c r="M15" s="232"/>
      <c r="N15" s="232"/>
      <c r="O15" s="234"/>
      <c r="P15" s="234"/>
      <c r="Q15" s="143"/>
    </row>
    <row r="16" spans="1:25" ht="15.75" customHeight="1" x14ac:dyDescent="0.25">
      <c r="A16" s="89"/>
      <c r="B16" s="199" t="str">
        <f>Notes!A37</f>
        <v>9/19/2023</v>
      </c>
      <c r="C16" s="98"/>
      <c r="D16" s="91">
        <f>INDEX(Data[],MATCH($B$3,Data[Dist],0),MATCH($G16,Data[#Headers],0))</f>
        <v>347378462</v>
      </c>
      <c r="E16" s="92"/>
      <c r="G16" s="133" t="str">
        <f>Data[[#Headers],[September Payment]]</f>
        <v>September Payment</v>
      </c>
      <c r="H16" s="140"/>
      <c r="I16" s="129" t="s">
        <v>709</v>
      </c>
      <c r="J16" s="91">
        <f>ROUND(INDEX(Data[],MATCH($B$3,Data[Dist],0),MATCH(J$13,Data[#Headers],0))/10,0)</f>
        <v>8982312</v>
      </c>
      <c r="K16" s="91">
        <f>ROUND(INDEX(Data[],MATCH($B$3,Data[Dist],0),MATCH(K$13,Data[#Headers],0))/10,0)</f>
        <v>31793022</v>
      </c>
      <c r="L16" s="91">
        <f>ROUND(INDEX(Data[],MATCH($B$3,Data[Dist],0),MATCH(L$13,Data[#Headers],0))/10,0)</f>
        <v>3911595</v>
      </c>
      <c r="M16" s="91">
        <f>ROUND(INDEX(Data[],MATCH($B$3,Data[Dist],0),MATCH(M$13,Data[#Headers],0))/10,0)</f>
        <v>3598701</v>
      </c>
      <c r="N16" s="91">
        <f>ROUND(INDEX(Data[],MATCH($B$3,Data[Dist],0),MATCH(N$13,Data[#Headers],0))/10,0)</f>
        <v>17941520</v>
      </c>
      <c r="O16" s="91">
        <f>P16-SUM(J16:N16)</f>
        <v>281151312</v>
      </c>
      <c r="P16" s="91">
        <f>D16</f>
        <v>347378462</v>
      </c>
      <c r="Q16" s="143"/>
    </row>
    <row r="17" spans="1:17" ht="15.75" customHeight="1" x14ac:dyDescent="0.25">
      <c r="A17" s="89"/>
      <c r="B17" s="199" t="str">
        <f>Notes!A38</f>
        <v>10/18/2023</v>
      </c>
      <c r="C17" s="98"/>
      <c r="D17" s="91">
        <f>INDEX(Data[],MATCH($B$3,Data[Dist],0),MATCH($G17,Data[#Headers],0))</f>
        <v>347378462</v>
      </c>
      <c r="E17" s="92"/>
      <c r="G17" s="133" t="str">
        <f>Data[[#Headers],[October Payment]]</f>
        <v>October Payment</v>
      </c>
      <c r="H17" s="140"/>
      <c r="I17" s="129" t="s">
        <v>712</v>
      </c>
      <c r="J17" s="91">
        <f>ROUND(INDEX(Data[],MATCH($B$3,Data[Dist],0),MATCH(J$13,Data[#Headers],0))/10,0)</f>
        <v>8982312</v>
      </c>
      <c r="K17" s="91">
        <f>ROUND(INDEX(Data[],MATCH($B$3,Data[Dist],0),MATCH(K$13,Data[#Headers],0))/10,0)</f>
        <v>31793022</v>
      </c>
      <c r="L17" s="91">
        <f>ROUND(INDEX(Data[],MATCH($B$3,Data[Dist],0),MATCH(L$13,Data[#Headers],0))/10,0)</f>
        <v>3911595</v>
      </c>
      <c r="M17" s="91">
        <f>ROUND(INDEX(Data[],MATCH($B$3,Data[Dist],0),MATCH(M$13,Data[#Headers],0))/10,0)</f>
        <v>3598701</v>
      </c>
      <c r="N17" s="91">
        <f>ROUND(INDEX(Data[],MATCH($B$3,Data[Dist],0),MATCH(N$13,Data[#Headers],0))/10,0)</f>
        <v>17941520</v>
      </c>
      <c r="O17" s="91">
        <f t="shared" ref="O17:O24" si="0">P17-SUM(J17:N17)</f>
        <v>281151312</v>
      </c>
      <c r="P17" s="91">
        <f t="shared" ref="P17:P25" si="1">D17</f>
        <v>347378462</v>
      </c>
      <c r="Q17" s="143"/>
    </row>
    <row r="18" spans="1:17" ht="15.75" customHeight="1" x14ac:dyDescent="0.25">
      <c r="A18" s="89"/>
      <c r="B18" s="199" t="str">
        <f>Notes!A39</f>
        <v>11/17/2023</v>
      </c>
      <c r="C18" s="98"/>
      <c r="D18" s="91">
        <f>INDEX(Data[],MATCH($B$3,Data[Dist],0),MATCH($G18,Data[#Headers],0))</f>
        <v>347378462</v>
      </c>
      <c r="E18" s="92"/>
      <c r="G18" s="133" t="str">
        <f>Data[[#Headers],[November Payment]]</f>
        <v>November Payment</v>
      </c>
      <c r="H18" s="140"/>
      <c r="I18" s="129" t="s">
        <v>713</v>
      </c>
      <c r="J18" s="91">
        <f>ROUND(INDEX(Data[],MATCH($B$3,Data[Dist],0),MATCH(J$13,Data[#Headers],0))/10,0)</f>
        <v>8982312</v>
      </c>
      <c r="K18" s="91">
        <f>ROUND(INDEX(Data[],MATCH($B$3,Data[Dist],0),MATCH(K$13,Data[#Headers],0))/10,0)</f>
        <v>31793022</v>
      </c>
      <c r="L18" s="91">
        <f>ROUND(INDEX(Data[],MATCH($B$3,Data[Dist],0),MATCH(L$13,Data[#Headers],0))/10,0)</f>
        <v>3911595</v>
      </c>
      <c r="M18" s="91">
        <f>ROUND(INDEX(Data[],MATCH($B$3,Data[Dist],0),MATCH(M$13,Data[#Headers],0))/10,0)</f>
        <v>3598701</v>
      </c>
      <c r="N18" s="91">
        <f>ROUND(INDEX(Data[],MATCH($B$3,Data[Dist],0),MATCH(N$13,Data[#Headers],0))/10,0)</f>
        <v>17941520</v>
      </c>
      <c r="O18" s="91">
        <f t="shared" si="0"/>
        <v>281151312</v>
      </c>
      <c r="P18" s="91">
        <f t="shared" si="1"/>
        <v>347378462</v>
      </c>
      <c r="Q18" s="143"/>
    </row>
    <row r="19" spans="1:17" ht="15.75" customHeight="1" x14ac:dyDescent="0.25">
      <c r="A19" s="89"/>
      <c r="B19" s="199" t="str">
        <f>Notes!A40</f>
        <v>12/19/2023</v>
      </c>
      <c r="C19" s="98"/>
      <c r="D19" s="91">
        <f>INDEX(Data[],MATCH($B$3,Data[Dist],0),MATCH($G19,Data[#Headers],0))</f>
        <v>347378462</v>
      </c>
      <c r="E19" s="92"/>
      <c r="G19" s="133" t="str">
        <f>Data[[#Headers],[December Payment]]</f>
        <v>December Payment</v>
      </c>
      <c r="H19" s="140"/>
      <c r="I19" s="129" t="s">
        <v>714</v>
      </c>
      <c r="J19" s="91">
        <f>ROUND(INDEX(Data[],MATCH($B$3,Data[Dist],0),MATCH(J$13,Data[#Headers],0))/10,0)</f>
        <v>8982312</v>
      </c>
      <c r="K19" s="91">
        <f>ROUND(INDEX(Data[],MATCH($B$3,Data[Dist],0),MATCH(K$13,Data[#Headers],0))/10,0)</f>
        <v>31793022</v>
      </c>
      <c r="L19" s="91">
        <f>ROUND(INDEX(Data[],MATCH($B$3,Data[Dist],0),MATCH(L$13,Data[#Headers],0))/10,0)</f>
        <v>3911595</v>
      </c>
      <c r="M19" s="91">
        <f>ROUND(INDEX(Data[],MATCH($B$3,Data[Dist],0),MATCH(M$13,Data[#Headers],0))/10,0)</f>
        <v>3598701</v>
      </c>
      <c r="N19" s="91">
        <f>ROUND(INDEX(Data[],MATCH($B$3,Data[Dist],0),MATCH(N$13,Data[#Headers],0))/10,0)</f>
        <v>17941520</v>
      </c>
      <c r="O19" s="91">
        <f t="shared" si="0"/>
        <v>281151312</v>
      </c>
      <c r="P19" s="91">
        <f t="shared" si="1"/>
        <v>347378462</v>
      </c>
      <c r="Q19" s="143"/>
    </row>
    <row r="20" spans="1:17" ht="15.75" customHeight="1" x14ac:dyDescent="0.25">
      <c r="A20" s="89"/>
      <c r="B20" s="199" t="str">
        <f>Notes!A41</f>
        <v>1/17/2024</v>
      </c>
      <c r="C20" s="98"/>
      <c r="D20" s="91">
        <f>INDEX(Data[],MATCH($B$3,Data[Dist],0),MATCH($G20,Data[#Headers],0))</f>
        <v>345516078</v>
      </c>
      <c r="E20" s="92"/>
      <c r="F20" s="96"/>
      <c r="G20" s="133" t="str">
        <f>Data[[#Headers],[January Payment]]</f>
        <v>January Payment</v>
      </c>
      <c r="H20" s="140"/>
      <c r="I20" s="129" t="s">
        <v>715</v>
      </c>
      <c r="J20" s="91">
        <f>ROUND(INDEX(Data[],MATCH($B$3,Data[Dist],0),MATCH(J$13,Data[#Headers],0))/10,0)</f>
        <v>8982312</v>
      </c>
      <c r="K20" s="91">
        <f>ROUND(INDEX(Data[],MATCH($B$3,Data[Dist],0),MATCH(K$13,Data[#Headers],0))/10,0)</f>
        <v>31793022</v>
      </c>
      <c r="L20" s="91">
        <f>ROUND(INDEX(Data[],MATCH($B$3,Data[Dist],0),MATCH(L$13,Data[#Headers],0))/10,0)</f>
        <v>3911595</v>
      </c>
      <c r="M20" s="91">
        <f>ROUND(INDEX(Data[],MATCH($B$3,Data[Dist],0),MATCH(M$13,Data[#Headers],0))/10,0)</f>
        <v>3598701</v>
      </c>
      <c r="N20" s="91">
        <f>ROUND(INDEX(Data[],MATCH($B$3,Data[Dist],0),MATCH(N$13,Data[#Headers],0))/10,0)</f>
        <v>17941520</v>
      </c>
      <c r="O20" s="91">
        <f t="shared" si="0"/>
        <v>279288928</v>
      </c>
      <c r="P20" s="91">
        <f t="shared" si="1"/>
        <v>345516078</v>
      </c>
      <c r="Q20" s="143"/>
    </row>
    <row r="21" spans="1:17" ht="15.75" customHeight="1" x14ac:dyDescent="0.25">
      <c r="A21" s="89"/>
      <c r="B21" s="199" t="str">
        <f>Notes!A42</f>
        <v>2/20/2024</v>
      </c>
      <c r="C21" s="98"/>
      <c r="D21" s="91">
        <f>INDEX(Data[],MATCH($B$3,Data[Dist],0),MATCH($G21,Data[#Headers],0))</f>
        <v>345516078</v>
      </c>
      <c r="E21" s="101"/>
      <c r="F21" s="96"/>
      <c r="G21" s="133" t="str">
        <f>Data[[#Headers],[February Payment]]</f>
        <v>February Payment</v>
      </c>
      <c r="H21" s="140"/>
      <c r="I21" s="129" t="s">
        <v>716</v>
      </c>
      <c r="J21" s="91">
        <f>ROUND(INDEX(Data[],MATCH($B$3,Data[Dist],0),MATCH(J$13,Data[#Headers],0))/10,0)</f>
        <v>8982312</v>
      </c>
      <c r="K21" s="91">
        <f>ROUND(INDEX(Data[],MATCH($B$3,Data[Dist],0),MATCH(K$13,Data[#Headers],0))/10,0)</f>
        <v>31793022</v>
      </c>
      <c r="L21" s="91">
        <f>ROUND(INDEX(Data[],MATCH($B$3,Data[Dist],0),MATCH(L$13,Data[#Headers],0))/10,0)</f>
        <v>3911595</v>
      </c>
      <c r="M21" s="91">
        <f>ROUND(INDEX(Data[],MATCH($B$3,Data[Dist],0),MATCH(M$13,Data[#Headers],0))/10,0)</f>
        <v>3598701</v>
      </c>
      <c r="N21" s="91">
        <f>ROUND(INDEX(Data[],MATCH($B$3,Data[Dist],0),MATCH(N$13,Data[#Headers],0))/10,0)</f>
        <v>17941520</v>
      </c>
      <c r="O21" s="91">
        <f t="shared" si="0"/>
        <v>279288928</v>
      </c>
      <c r="P21" s="91">
        <f t="shared" si="1"/>
        <v>345516078</v>
      </c>
      <c r="Q21" s="143"/>
    </row>
    <row r="22" spans="1:17" ht="15.75" customHeight="1" x14ac:dyDescent="0.25">
      <c r="A22" s="89"/>
      <c r="B22" s="199" t="str">
        <f>Notes!A43</f>
        <v>3/19/2024</v>
      </c>
      <c r="C22" s="98"/>
      <c r="D22" s="91">
        <f>INDEX(Data[],MATCH($B$3,Data[Dist],0),MATCH($G22,Data[#Headers],0))</f>
        <v>345516077</v>
      </c>
      <c r="E22" s="101"/>
      <c r="F22" s="96"/>
      <c r="G22" s="133" t="str">
        <f>Data[[#Headers],[March Payment]]</f>
        <v>March Payment</v>
      </c>
      <c r="H22" s="140"/>
      <c r="I22" s="129" t="s">
        <v>717</v>
      </c>
      <c r="J22" s="91">
        <f>ROUND(INDEX(Data[],MATCH($B$3,Data[Dist],0),MATCH(J$13,Data[#Headers],0))/10,0)</f>
        <v>8982312</v>
      </c>
      <c r="K22" s="91">
        <f>ROUND(INDEX(Data[],MATCH($B$3,Data[Dist],0),MATCH(K$13,Data[#Headers],0))/10,0)</f>
        <v>31793022</v>
      </c>
      <c r="L22" s="91">
        <f>ROUND(INDEX(Data[],MATCH($B$3,Data[Dist],0),MATCH(L$13,Data[#Headers],0))/10,0)</f>
        <v>3911595</v>
      </c>
      <c r="M22" s="91">
        <f>ROUND(INDEX(Data[],MATCH($B$3,Data[Dist],0),MATCH(M$13,Data[#Headers],0))/10,0)</f>
        <v>3598701</v>
      </c>
      <c r="N22" s="91">
        <f>ROUND(INDEX(Data[],MATCH($B$3,Data[Dist],0),MATCH(N$13,Data[#Headers],0))/10,0)</f>
        <v>17941520</v>
      </c>
      <c r="O22" s="91">
        <f t="shared" si="0"/>
        <v>279288927</v>
      </c>
      <c r="P22" s="91">
        <f t="shared" si="1"/>
        <v>345516077</v>
      </c>
      <c r="Q22" s="143"/>
    </row>
    <row r="23" spans="1:17" ht="15.75" customHeight="1" x14ac:dyDescent="0.25">
      <c r="A23" s="89"/>
      <c r="B23" s="199" t="str">
        <f>Notes!A44</f>
        <v>4/17/2024</v>
      </c>
      <c r="C23" s="98"/>
      <c r="D23" s="91">
        <f>INDEX(Data[],MATCH($B$3,Data[Dist],0),MATCH($G23,Data[#Headers],0))</f>
        <v>345516077</v>
      </c>
      <c r="E23" s="92"/>
      <c r="F23" s="96"/>
      <c r="G23" s="133" t="str">
        <f>Data[[#Headers],[April Payment]]</f>
        <v>April Payment</v>
      </c>
      <c r="H23" s="140"/>
      <c r="I23" s="129" t="s">
        <v>718</v>
      </c>
      <c r="J23" s="91">
        <f>ROUND(INDEX(Data[],MATCH($B$3,Data[Dist],0),MATCH(J$13,Data[#Headers],0))/10,0)</f>
        <v>8982312</v>
      </c>
      <c r="K23" s="91">
        <f>ROUND(INDEX(Data[],MATCH($B$3,Data[Dist],0),MATCH(K$13,Data[#Headers],0))/10,0)</f>
        <v>31793022</v>
      </c>
      <c r="L23" s="91">
        <f>ROUND(INDEX(Data[],MATCH($B$3,Data[Dist],0),MATCH(L$13,Data[#Headers],0))/10,0)</f>
        <v>3911595</v>
      </c>
      <c r="M23" s="91">
        <f>ROUND(INDEX(Data[],MATCH($B$3,Data[Dist],0),MATCH(M$13,Data[#Headers],0))/10,0)</f>
        <v>3598701</v>
      </c>
      <c r="N23" s="91">
        <f>ROUND(INDEX(Data[],MATCH($B$3,Data[Dist],0),MATCH(N$13,Data[#Headers],0))/10,0)</f>
        <v>17941520</v>
      </c>
      <c r="O23" s="91">
        <f t="shared" si="0"/>
        <v>279288927</v>
      </c>
      <c r="P23" s="91">
        <f t="shared" si="1"/>
        <v>345516077</v>
      </c>
      <c r="Q23" s="143"/>
    </row>
    <row r="24" spans="1:17" ht="15.75" customHeight="1" x14ac:dyDescent="0.25">
      <c r="A24" s="89"/>
      <c r="B24" s="199" t="str">
        <f>Notes!A45</f>
        <v>5/17/2024</v>
      </c>
      <c r="C24" s="98"/>
      <c r="D24" s="91">
        <f>INDEX(Data[],MATCH($B$3,Data[Dist],0),MATCH($G24,Data[#Headers],0))</f>
        <v>345516077</v>
      </c>
      <c r="E24" s="92"/>
      <c r="F24" s="96"/>
      <c r="G24" s="133" t="str">
        <f>Data[[#Headers],[May Payment]]</f>
        <v>May Payment</v>
      </c>
      <c r="H24" s="140"/>
      <c r="I24" s="129" t="s">
        <v>719</v>
      </c>
      <c r="J24" s="91">
        <f>ROUND(INDEX(Data[],MATCH($B$3,Data[Dist],0),MATCH(J$13,Data[#Headers],0))/10,0)</f>
        <v>8982312</v>
      </c>
      <c r="K24" s="91">
        <f>ROUND(INDEX(Data[],MATCH($B$3,Data[Dist],0),MATCH(K$13,Data[#Headers],0))/10,0)</f>
        <v>31793022</v>
      </c>
      <c r="L24" s="91">
        <f>ROUND(INDEX(Data[],MATCH($B$3,Data[Dist],0),MATCH(L$13,Data[#Headers],0))/10,0)</f>
        <v>3911595</v>
      </c>
      <c r="M24" s="91">
        <f>ROUND(INDEX(Data[],MATCH($B$3,Data[Dist],0),MATCH(M$13,Data[#Headers],0))/10,0)</f>
        <v>3598701</v>
      </c>
      <c r="N24" s="91">
        <f>ROUND(INDEX(Data[],MATCH($B$3,Data[Dist],0),MATCH(N$13,Data[#Headers],0))/10,0)</f>
        <v>17941520</v>
      </c>
      <c r="O24" s="91">
        <f t="shared" si="0"/>
        <v>279288927</v>
      </c>
      <c r="P24" s="91">
        <f t="shared" si="1"/>
        <v>345516077</v>
      </c>
      <c r="Q24" s="143"/>
    </row>
    <row r="25" spans="1:17" ht="15.75" customHeight="1" x14ac:dyDescent="0.25">
      <c r="A25" s="89"/>
      <c r="B25" s="199" t="str">
        <f>Notes!A46</f>
        <v>6/19/2024</v>
      </c>
      <c r="C25" s="98"/>
      <c r="D25" s="91">
        <f>INDEX(Data[],MATCH($B$3,Data[Dist],0),MATCH($G25,Data[#Headers],0))</f>
        <v>345515901</v>
      </c>
      <c r="E25" s="92"/>
      <c r="F25" s="96"/>
      <c r="G25" s="133" t="str">
        <f>Data[[#Headers],[June Payment]]</f>
        <v>June Payment</v>
      </c>
      <c r="H25" s="140"/>
      <c r="I25" s="129" t="s">
        <v>720</v>
      </c>
      <c r="J25" s="125">
        <f>INDEX('Payment by Source'!$A$6:$I$331,MATCH(PaymentSummary!$B$3,'Payment by Source'!$A$6:$A$331,0),MATCH(R$13,'Payment by Source'!$A$4:$I$4,0))</f>
        <v>8982323</v>
      </c>
      <c r="K25" s="125">
        <f>INDEX('Payment by Source'!$A$6:$I$331,MATCH(PaymentSummary!$B$3,'Payment by Source'!$A$6:$A$331,0),MATCH(S$13,'Payment by Source'!$A$4:$I$4,0))</f>
        <v>31793036</v>
      </c>
      <c r="L25" s="125">
        <f>INDEX('Payment by Source'!$A$6:$I$331,MATCH(PaymentSummary!$B$3,'Payment by Source'!$A$6:$A$331,0),MATCH(T$13,'Payment by Source'!$A$4:$I$4,0))</f>
        <v>3911609</v>
      </c>
      <c r="M25" s="125">
        <f>INDEX('Payment by Source'!$A$6:$I$331,MATCH(PaymentSummary!$B$3,'Payment by Source'!$A$6:$A$331,0),MATCH(U$13,'Payment by Source'!$A$4:$I$4,0))</f>
        <v>3598708</v>
      </c>
      <c r="N25" s="125">
        <f>INDEX('Payment by Source'!$A$6:$I$331,MATCH(PaymentSummary!$B$3,'Payment by Source'!$A$6:$A$331,0),MATCH(V$13,'Payment by Source'!$A$4:$I$4,0))</f>
        <v>17941539</v>
      </c>
      <c r="O25" s="125">
        <f>INDEX('Payment by Source'!$A$6:$I$331,MATCH(PaymentSummary!$B$3,'Payment by Source'!$A$6:$A$331,0),MATCH(W$13,'Payment by Source'!$A$4:$I$4,0))</f>
        <v>281151247</v>
      </c>
      <c r="P25" s="91">
        <f t="shared" si="1"/>
        <v>345515901</v>
      </c>
      <c r="Q25" s="143"/>
    </row>
    <row r="26" spans="1:17" ht="15.75" customHeight="1" thickBot="1" x14ac:dyDescent="0.3">
      <c r="A26" s="89"/>
      <c r="B26" s="102" t="str">
        <f>CONCATENATE(TEXT(B25,"   mm/dd/yyyy")," Special Ed Deficit")</f>
        <v xml:space="preserve">   06/19/2024 Special Ed Deficit</v>
      </c>
      <c r="C26" s="98"/>
      <c r="D26" s="91">
        <f>C11</f>
        <v>2136401</v>
      </c>
      <c r="E26" s="92"/>
      <c r="F26" s="96"/>
      <c r="G26" s="133"/>
      <c r="H26" s="140"/>
      <c r="I26" s="129" t="s">
        <v>789</v>
      </c>
      <c r="J26" s="95">
        <f>INDEX(Data[],MATCH($B$3,Data[Dist],0),MATCH(J$13,Data[#Headers],0))</f>
        <v>89823116</v>
      </c>
      <c r="K26" s="95">
        <f>INDEX(Data[],MATCH($B$3,Data[Dist],0),MATCH(K$13,Data[#Headers],0))</f>
        <v>317930217</v>
      </c>
      <c r="L26" s="95">
        <f>INDEX(Data[],MATCH($B$3,Data[Dist],0),MATCH(L$13,Data[#Headers],0))</f>
        <v>39115945</v>
      </c>
      <c r="M26" s="95">
        <f>INDEX(Data[],MATCH($B$3,Data[Dist],0),MATCH(M$13,Data[#Headers],0))</f>
        <v>35987009</v>
      </c>
      <c r="N26" s="95">
        <f>INDEX(Data[],MATCH($B$3,Data[Dist],0),MATCH(N$13,Data[#Headers],0))</f>
        <v>179415199</v>
      </c>
      <c r="O26" s="95">
        <f>SUM(O16:O25)</f>
        <v>2802201132</v>
      </c>
      <c r="P26" s="95">
        <f>SUM(P16:P25)</f>
        <v>3462610136</v>
      </c>
      <c r="Q26" s="143"/>
    </row>
    <row r="27" spans="1:17" ht="18" customHeight="1" thickTop="1" thickBot="1" x14ac:dyDescent="0.3">
      <c r="A27" s="89"/>
      <c r="B27" s="103" t="s">
        <v>781</v>
      </c>
      <c r="C27" s="98"/>
      <c r="D27" s="95">
        <f>SUM(D16:D26)</f>
        <v>3464746537</v>
      </c>
      <c r="E27" s="92"/>
      <c r="F27" s="96"/>
      <c r="H27" s="140"/>
      <c r="I27" s="148"/>
      <c r="J27" s="148"/>
      <c r="K27" s="148"/>
      <c r="L27" s="148"/>
      <c r="M27" s="148"/>
      <c r="N27" s="148"/>
      <c r="O27" s="148"/>
      <c r="P27" s="148"/>
      <c r="Q27" s="143"/>
    </row>
    <row r="28" spans="1:17" ht="13.5" customHeight="1" thickTop="1" x14ac:dyDescent="0.25">
      <c r="A28" s="104"/>
      <c r="B28" s="105"/>
      <c r="C28" s="106"/>
      <c r="D28" s="106"/>
      <c r="E28" s="107"/>
      <c r="F28" s="96"/>
      <c r="H28" s="140"/>
      <c r="I28" s="148"/>
      <c r="J28" s="90" t="str">
        <f>IF($B$3="9999","Note: Total will not add down for statewide totals.","")</f>
        <v>Note: Total will not add down for statewide totals.</v>
      </c>
      <c r="K28" s="149"/>
      <c r="L28" s="149"/>
      <c r="M28" s="149"/>
      <c r="N28" s="149"/>
      <c r="O28" s="149"/>
      <c r="P28" s="148"/>
      <c r="Q28" s="143"/>
    </row>
    <row r="29" spans="1:17" ht="7.5" customHeight="1" x14ac:dyDescent="0.25">
      <c r="A29" s="108"/>
      <c r="B29" s="103"/>
      <c r="C29" s="91"/>
      <c r="D29" s="91"/>
      <c r="E29" s="96"/>
      <c r="F29" s="96"/>
      <c r="H29" s="144"/>
      <c r="I29" s="145"/>
      <c r="J29" s="145"/>
      <c r="K29" s="145"/>
      <c r="L29" s="145"/>
      <c r="M29" s="145"/>
      <c r="N29" s="145"/>
      <c r="O29" s="145"/>
      <c r="P29" s="145"/>
      <c r="Q29" s="146"/>
    </row>
    <row r="30" spans="1:17" ht="7.5" customHeight="1" x14ac:dyDescent="0.25">
      <c r="A30" s="109"/>
      <c r="B30" s="110"/>
      <c r="C30" s="111"/>
      <c r="D30" s="111"/>
      <c r="E30" s="112"/>
      <c r="F30" s="96"/>
    </row>
    <row r="31" spans="1:17" ht="13.9" customHeight="1" x14ac:dyDescent="0.25">
      <c r="A31" s="89"/>
      <c r="B31" s="90" t="s">
        <v>782</v>
      </c>
      <c r="C31" s="91"/>
      <c r="D31" s="91">
        <v>0</v>
      </c>
      <c r="E31" s="92"/>
      <c r="F31" s="96"/>
    </row>
    <row r="32" spans="1:17" ht="7.5" customHeight="1" x14ac:dyDescent="0.25">
      <c r="A32" s="75"/>
      <c r="B32" s="105"/>
      <c r="C32" s="106"/>
      <c r="D32" s="106"/>
      <c r="E32" s="107"/>
    </row>
    <row r="33" spans="1:17" ht="7.5" customHeight="1" x14ac:dyDescent="0.25">
      <c r="B33" s="90"/>
      <c r="C33" s="113"/>
      <c r="D33" s="113"/>
      <c r="E33" s="96"/>
      <c r="H33" s="137"/>
      <c r="I33" s="138"/>
      <c r="J33" s="238" t="s">
        <v>794</v>
      </c>
      <c r="K33" s="238" t="s">
        <v>795</v>
      </c>
      <c r="L33" s="139"/>
    </row>
    <row r="34" spans="1:17" ht="7.5" customHeight="1" x14ac:dyDescent="0.25">
      <c r="A34" s="84"/>
      <c r="B34" s="114"/>
      <c r="C34" s="115"/>
      <c r="D34" s="115"/>
      <c r="E34" s="112"/>
      <c r="H34" s="140"/>
      <c r="I34" s="148"/>
      <c r="J34" s="239"/>
      <c r="K34" s="239"/>
      <c r="L34" s="143"/>
    </row>
    <row r="35" spans="1:17" ht="15.75" customHeight="1" x14ac:dyDescent="0.25">
      <c r="A35" s="72"/>
      <c r="B35" s="90" t="s">
        <v>783</v>
      </c>
      <c r="C35" s="113"/>
      <c r="D35" s="113"/>
      <c r="E35" s="92"/>
      <c r="H35" s="140"/>
      <c r="I35" s="103"/>
      <c r="J35" s="240"/>
      <c r="K35" s="240"/>
      <c r="L35" s="141"/>
      <c r="Q35" s="128"/>
    </row>
    <row r="36" spans="1:17" ht="15.75" customHeight="1" x14ac:dyDescent="0.25">
      <c r="A36" s="72"/>
      <c r="B36" s="102" t="str">
        <f>CONCATENATE("   12/01/",Notes!$B$1-1)</f>
        <v xml:space="preserve">   12/01/2023</v>
      </c>
      <c r="C36" s="116">
        <f>IFERROR(INDEX(SurtaxPayment!$C$6:$U$340,MATCH(PaymentSummary!$B$3,SurtaxPayment!$C$6:$C$340,0),9),0)</f>
        <v>75137126.25</v>
      </c>
      <c r="D36" s="116"/>
      <c r="E36" s="92"/>
      <c r="H36" s="140"/>
      <c r="I36" s="130" t="s">
        <v>714</v>
      </c>
      <c r="J36" s="116">
        <f>IFERROR(INDEX(SurtaxPayment!$C$6:$U$340,MATCH(PaymentSummary!$B$3,SurtaxPayment!$C$6:$C$340,0),10),0)</f>
        <v>7800045.8299999973</v>
      </c>
      <c r="K36" s="116">
        <f>IFERROR(INDEX(SurtaxPayment!$C$6:$U$340,MATCH(PaymentSummary!$B$3,SurtaxPayment!$C$6:$C$340,0),11),0)</f>
        <v>67337080.419999957</v>
      </c>
      <c r="L36" s="142"/>
      <c r="O36" s="127"/>
      <c r="P36" s="127"/>
    </row>
    <row r="37" spans="1:17" ht="15.75" customHeight="1" x14ac:dyDescent="0.25">
      <c r="A37" s="72"/>
      <c r="B37" s="102" t="str">
        <f>CONCATENATE("   02/01/",Notes!$B$1)</f>
        <v xml:space="preserve">   02/01/2024</v>
      </c>
      <c r="C37" s="116">
        <f>IFERROR(INDEX(SurtaxPayment!$C$6:$U$340,MATCH(PaymentSummary!$B$3,SurtaxPayment!$C$6:$C$340,0),13),0)</f>
        <v>29315857.75</v>
      </c>
      <c r="D37" s="116"/>
      <c r="E37" s="92"/>
      <c r="H37" s="140"/>
      <c r="I37" s="130" t="s">
        <v>716</v>
      </c>
      <c r="J37" s="116">
        <f>IFERROR(INDEX(SurtaxPayment!$C$6:$U$340,MATCH(PaymentSummary!$B$3,SurtaxPayment!$C$6:$C$340,0),14),0)</f>
        <v>2960676.0899999994</v>
      </c>
      <c r="K37" s="116">
        <f>IFERROR(INDEX(SurtaxPayment!$C$6:$U$340,MATCH(PaymentSummary!$B$3,SurtaxPayment!$C$6:$C$340,0),15),0)</f>
        <v>26355181.660000008</v>
      </c>
      <c r="L37" s="143"/>
    </row>
    <row r="38" spans="1:17" ht="18" customHeight="1" thickBot="1" x14ac:dyDescent="0.3">
      <c r="A38" s="72"/>
      <c r="B38" s="103" t="s">
        <v>784</v>
      </c>
      <c r="C38" s="116"/>
      <c r="D38" s="117">
        <f>C36+C37</f>
        <v>104452984</v>
      </c>
      <c r="E38" s="92"/>
      <c r="H38" s="140"/>
      <c r="I38" s="130" t="s">
        <v>791</v>
      </c>
      <c r="J38" s="131">
        <f>SUM(J36:J37)</f>
        <v>10760721.919999996</v>
      </c>
      <c r="K38" s="131">
        <f>SUM(K36:K37)</f>
        <v>93692262.079999968</v>
      </c>
      <c r="L38" s="143"/>
    </row>
    <row r="39" spans="1:17" ht="7.5" customHeight="1" thickTop="1" x14ac:dyDescent="0.25">
      <c r="A39" s="75"/>
      <c r="B39" s="105"/>
      <c r="C39" s="106"/>
      <c r="D39" s="106"/>
      <c r="E39" s="107"/>
      <c r="H39" s="144"/>
      <c r="I39" s="145"/>
      <c r="J39" s="145"/>
      <c r="K39" s="145"/>
      <c r="L39" s="146"/>
    </row>
    <row r="40" spans="1:17" ht="7.5" customHeight="1" x14ac:dyDescent="0.25">
      <c r="B40" s="90"/>
      <c r="C40" s="113"/>
      <c r="D40" s="113"/>
      <c r="E40" s="96"/>
    </row>
    <row r="41" spans="1:17" ht="7.5" customHeight="1" x14ac:dyDescent="0.25">
      <c r="A41" s="84"/>
      <c r="B41" s="114"/>
      <c r="C41" s="115"/>
      <c r="D41" s="115"/>
      <c r="E41" s="112"/>
    </row>
    <row r="42" spans="1:17" ht="15.75" customHeight="1" thickBot="1" x14ac:dyDescent="0.3">
      <c r="A42" s="72"/>
      <c r="B42" s="103" t="str">
        <f>CONCATENATE("FY ",Notes!$B$1," AEA Flowthrough Amount")</f>
        <v>FY 2024 AEA Flowthrough Amount</v>
      </c>
      <c r="C42" s="113"/>
      <c r="D42" s="95">
        <f>INDEX(Data[],MATCH(PaymentSummary!$B$3,Data[Dist],0),MATCH($G$42,Data[#Headers],0))</f>
        <v>244857014</v>
      </c>
      <c r="E42" s="92"/>
      <c r="G42" s="132" t="str">
        <f>Data[[#Headers],[State Payments to AEA (AEA Flowthrough)]]</f>
        <v>State Payments to AEA (AEA Flowthrough)</v>
      </c>
    </row>
    <row r="43" spans="1:17" ht="7.5" customHeight="1" thickTop="1" x14ac:dyDescent="0.2">
      <c r="A43" s="75"/>
      <c r="B43" s="118"/>
      <c r="C43" s="119"/>
      <c r="D43" s="119"/>
      <c r="E43" s="107"/>
    </row>
    <row r="44" spans="1:17" x14ac:dyDescent="0.2">
      <c r="B44" s="120"/>
      <c r="C44" s="96"/>
      <c r="D44" s="96"/>
    </row>
  </sheetData>
  <mergeCells count="13">
    <mergeCell ref="K33:K35"/>
    <mergeCell ref="J33:J35"/>
    <mergeCell ref="N13:N15"/>
    <mergeCell ref="O13:O15"/>
    <mergeCell ref="P13:P15"/>
    <mergeCell ref="M13:M15"/>
    <mergeCell ref="A1:E1"/>
    <mergeCell ref="C2:E2"/>
    <mergeCell ref="J13:J15"/>
    <mergeCell ref="K13:K15"/>
    <mergeCell ref="L13:L15"/>
    <mergeCell ref="I13:I15"/>
    <mergeCell ref="I10:Q11"/>
  </mergeCells>
  <dataValidations count="1">
    <dataValidation type="list" allowBlank="1" showInputMessage="1" showErrorMessage="1" sqref="B2" xr:uid="{00000000-0002-0000-0400-000000000000}">
      <formula1>Districts</formula1>
    </dataValidation>
  </dataValidations>
  <printOptions horizontalCentered="1"/>
  <pageMargins left="0.25" right="0.25" top="0.5" bottom="0.75" header="0.3" footer="0.3"/>
  <pageSetup orientation="landscape" r:id="rId1"/>
  <headerFooter alignWithMargins="0">
    <oddFooter>&amp;L&amp;"Times New Roman,Regular"&amp;11             
&amp;R&amp;"Times New Roman,Regular"&amp;9Iowa Department of Management; 06/22/18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03"/>
  <sheetViews>
    <sheetView workbookViewId="0">
      <pane ySplit="2" topLeftCell="A3" activePane="bottomLeft" state="frozen"/>
      <selection pane="bottomLeft" activeCell="I329" sqref="I329"/>
    </sheetView>
  </sheetViews>
  <sheetFormatPr defaultRowHeight="15" x14ac:dyDescent="0.25"/>
  <cols>
    <col min="1" max="1" width="9.140625" style="165"/>
    <col min="2" max="2" width="8.5703125" style="123" customWidth="1"/>
    <col min="3" max="3" width="9.140625" style="165" customWidth="1"/>
    <col min="4" max="4" width="40.140625" style="123" bestFit="1" customWidth="1"/>
    <col min="5" max="5" width="16.5703125" style="123" bestFit="1" customWidth="1"/>
    <col min="6" max="16384" width="9.140625" style="123"/>
  </cols>
  <sheetData>
    <row r="1" spans="1:8" ht="43.5" customHeight="1" x14ac:dyDescent="0.25">
      <c r="D1" s="167" t="str">
        <f>CONCATENATE("FY ",$A$3," Special Education Deficit Payment
Based on FY ",$A$3-1," Special Education Balances")</f>
        <v>FY 2023 Special Education Deficit Payment
Based on FY 2022 Special Education Balances</v>
      </c>
      <c r="E1" s="164"/>
      <c r="F1" s="164"/>
      <c r="H1" s="208"/>
    </row>
    <row r="2" spans="1:8" ht="27.75" customHeight="1" x14ac:dyDescent="0.25">
      <c r="A2" s="200" t="s">
        <v>352</v>
      </c>
      <c r="B2" s="201" t="s">
        <v>797</v>
      </c>
      <c r="C2" s="200" t="s">
        <v>353</v>
      </c>
      <c r="D2" s="201" t="s">
        <v>802</v>
      </c>
      <c r="E2" s="201" t="s">
        <v>803</v>
      </c>
    </row>
    <row r="3" spans="1:8" x14ac:dyDescent="0.25">
      <c r="A3" s="202">
        <v>2023</v>
      </c>
      <c r="B3" s="203" t="s">
        <v>20</v>
      </c>
      <c r="C3" s="204" t="s">
        <v>20</v>
      </c>
      <c r="D3" s="203" t="s">
        <v>380</v>
      </c>
      <c r="E3" s="205">
        <v>1614</v>
      </c>
    </row>
    <row r="4" spans="1:8" x14ac:dyDescent="0.25">
      <c r="A4" s="202">
        <v>2023</v>
      </c>
      <c r="B4" s="203" t="s">
        <v>21</v>
      </c>
      <c r="C4" s="204" t="s">
        <v>21</v>
      </c>
      <c r="D4" s="203" t="s">
        <v>381</v>
      </c>
      <c r="E4" s="205">
        <v>13862</v>
      </c>
    </row>
    <row r="5" spans="1:8" x14ac:dyDescent="0.25">
      <c r="A5" s="202">
        <v>2023</v>
      </c>
      <c r="B5" s="203" t="s">
        <v>19</v>
      </c>
      <c r="C5" s="204" t="s">
        <v>19</v>
      </c>
      <c r="D5" s="203" t="s">
        <v>0</v>
      </c>
      <c r="E5" s="205">
        <v>5158</v>
      </c>
    </row>
    <row r="6" spans="1:8" x14ac:dyDescent="0.25">
      <c r="A6" s="202">
        <v>2023</v>
      </c>
      <c r="B6" s="203" t="s">
        <v>41</v>
      </c>
      <c r="C6" s="204" t="s">
        <v>41</v>
      </c>
      <c r="D6" s="203" t="s">
        <v>18</v>
      </c>
      <c r="E6" s="205">
        <v>5886</v>
      </c>
    </row>
    <row r="7" spans="1:8" x14ac:dyDescent="0.25">
      <c r="A7" s="202">
        <v>2023</v>
      </c>
      <c r="B7" s="203" t="s">
        <v>22</v>
      </c>
      <c r="C7" s="204" t="s">
        <v>22</v>
      </c>
      <c r="D7" s="203" t="s">
        <v>382</v>
      </c>
      <c r="E7" s="205">
        <v>7703</v>
      </c>
    </row>
    <row r="8" spans="1:8" x14ac:dyDescent="0.25">
      <c r="A8" s="202">
        <v>2023</v>
      </c>
      <c r="B8" s="203" t="s">
        <v>23</v>
      </c>
      <c r="C8" s="204" t="s">
        <v>23</v>
      </c>
      <c r="D8" s="203" t="s">
        <v>383</v>
      </c>
      <c r="E8" s="205">
        <v>0</v>
      </c>
    </row>
    <row r="9" spans="1:8" x14ac:dyDescent="0.25">
      <c r="A9" s="202">
        <v>2023</v>
      </c>
      <c r="B9" s="203" t="s">
        <v>24</v>
      </c>
      <c r="C9" s="204" t="s">
        <v>24</v>
      </c>
      <c r="D9" s="203" t="s">
        <v>384</v>
      </c>
      <c r="E9" s="205">
        <v>6277</v>
      </c>
    </row>
    <row r="10" spans="1:8" x14ac:dyDescent="0.25">
      <c r="A10" s="202">
        <v>2023</v>
      </c>
      <c r="B10" s="203" t="s">
        <v>25</v>
      </c>
      <c r="C10" s="204" t="s">
        <v>25</v>
      </c>
      <c r="D10" s="203" t="s">
        <v>385</v>
      </c>
      <c r="E10" s="205">
        <v>506</v>
      </c>
    </row>
    <row r="11" spans="1:8" x14ac:dyDescent="0.25">
      <c r="A11" s="202">
        <v>2023</v>
      </c>
      <c r="B11" s="203" t="s">
        <v>26</v>
      </c>
      <c r="C11" s="204" t="s">
        <v>26</v>
      </c>
      <c r="D11" s="203" t="s">
        <v>386</v>
      </c>
      <c r="E11" s="205">
        <v>1383</v>
      </c>
    </row>
    <row r="12" spans="1:8" x14ac:dyDescent="0.25">
      <c r="A12" s="202">
        <v>2023</v>
      </c>
      <c r="B12" s="203" t="s">
        <v>27</v>
      </c>
      <c r="C12" s="204" t="s">
        <v>27</v>
      </c>
      <c r="D12" s="203" t="s">
        <v>387</v>
      </c>
      <c r="E12" s="205">
        <v>13453</v>
      </c>
    </row>
    <row r="13" spans="1:8" x14ac:dyDescent="0.25">
      <c r="A13" s="202">
        <v>2023</v>
      </c>
      <c r="B13" s="203" t="s">
        <v>28</v>
      </c>
      <c r="C13" s="204" t="s">
        <v>28</v>
      </c>
      <c r="D13" s="203" t="s">
        <v>388</v>
      </c>
      <c r="E13" s="205">
        <v>7229</v>
      </c>
    </row>
    <row r="14" spans="1:8" x14ac:dyDescent="0.25">
      <c r="A14" s="202">
        <v>2023</v>
      </c>
      <c r="B14" s="203" t="s">
        <v>30</v>
      </c>
      <c r="C14" s="204" t="s">
        <v>30</v>
      </c>
      <c r="D14" s="203" t="s">
        <v>798</v>
      </c>
      <c r="E14" s="205">
        <v>1315</v>
      </c>
    </row>
    <row r="15" spans="1:8" x14ac:dyDescent="0.25">
      <c r="A15" s="202">
        <v>2023</v>
      </c>
      <c r="B15" s="203" t="s">
        <v>31</v>
      </c>
      <c r="C15" s="204" t="s">
        <v>31</v>
      </c>
      <c r="D15" s="203" t="s">
        <v>390</v>
      </c>
      <c r="E15" s="205">
        <v>19251</v>
      </c>
    </row>
    <row r="16" spans="1:8" x14ac:dyDescent="0.25">
      <c r="A16" s="202">
        <v>2023</v>
      </c>
      <c r="B16" s="203" t="s">
        <v>32</v>
      </c>
      <c r="C16" s="204" t="s">
        <v>32</v>
      </c>
      <c r="D16" s="203" t="s">
        <v>391</v>
      </c>
      <c r="E16" s="205">
        <v>1119</v>
      </c>
    </row>
    <row r="17" spans="1:5" x14ac:dyDescent="0.25">
      <c r="A17" s="202">
        <v>2023</v>
      </c>
      <c r="B17" s="203" t="s">
        <v>33</v>
      </c>
      <c r="C17" s="204" t="s">
        <v>33</v>
      </c>
      <c r="D17" s="203" t="s">
        <v>392</v>
      </c>
      <c r="E17" s="205">
        <v>3243</v>
      </c>
    </row>
    <row r="18" spans="1:5" x14ac:dyDescent="0.25">
      <c r="A18" s="202">
        <v>2023</v>
      </c>
      <c r="B18" s="203" t="s">
        <v>34</v>
      </c>
      <c r="C18" s="204" t="s">
        <v>34</v>
      </c>
      <c r="D18" s="203" t="s">
        <v>393</v>
      </c>
      <c r="E18" s="205">
        <v>104331</v>
      </c>
    </row>
    <row r="19" spans="1:5" x14ac:dyDescent="0.25">
      <c r="A19" s="202">
        <v>2023</v>
      </c>
      <c r="B19" s="203" t="s">
        <v>35</v>
      </c>
      <c r="C19" s="204" t="s">
        <v>35</v>
      </c>
      <c r="D19" s="203" t="s">
        <v>394</v>
      </c>
      <c r="E19" s="205">
        <v>82</v>
      </c>
    </row>
    <row r="20" spans="1:5" x14ac:dyDescent="0.25">
      <c r="A20" s="202">
        <v>2023</v>
      </c>
      <c r="B20" s="203" t="s">
        <v>37</v>
      </c>
      <c r="C20" s="204" t="s">
        <v>37</v>
      </c>
      <c r="D20" s="203" t="s">
        <v>396</v>
      </c>
      <c r="E20" s="205">
        <v>0</v>
      </c>
    </row>
    <row r="21" spans="1:5" x14ac:dyDescent="0.25">
      <c r="A21" s="202">
        <v>2023</v>
      </c>
      <c r="B21" s="203" t="s">
        <v>38</v>
      </c>
      <c r="C21" s="204" t="s">
        <v>38</v>
      </c>
      <c r="D21" s="203" t="s">
        <v>397</v>
      </c>
      <c r="E21" s="205">
        <v>8674</v>
      </c>
    </row>
    <row r="22" spans="1:5" x14ac:dyDescent="0.25">
      <c r="A22" s="202">
        <v>2023</v>
      </c>
      <c r="B22" s="203" t="s">
        <v>39</v>
      </c>
      <c r="C22" s="204" t="s">
        <v>39</v>
      </c>
      <c r="D22" s="203" t="s">
        <v>398</v>
      </c>
      <c r="E22" s="205">
        <v>584</v>
      </c>
    </row>
    <row r="23" spans="1:5" x14ac:dyDescent="0.25">
      <c r="A23" s="202">
        <v>2023</v>
      </c>
      <c r="B23" s="203" t="s">
        <v>42</v>
      </c>
      <c r="C23" s="204" t="s">
        <v>42</v>
      </c>
      <c r="D23" s="203" t="s">
        <v>399</v>
      </c>
      <c r="E23" s="205">
        <v>14130</v>
      </c>
    </row>
    <row r="24" spans="1:5" x14ac:dyDescent="0.25">
      <c r="A24" s="202">
        <v>2023</v>
      </c>
      <c r="B24" s="203" t="s">
        <v>44</v>
      </c>
      <c r="C24" s="204" t="s">
        <v>44</v>
      </c>
      <c r="D24" s="203" t="s">
        <v>400</v>
      </c>
      <c r="E24" s="205">
        <v>875</v>
      </c>
    </row>
    <row r="25" spans="1:5" x14ac:dyDescent="0.25">
      <c r="A25" s="202">
        <v>2023</v>
      </c>
      <c r="B25" s="203" t="s">
        <v>45</v>
      </c>
      <c r="C25" s="204" t="s">
        <v>45</v>
      </c>
      <c r="D25" s="203" t="s">
        <v>1</v>
      </c>
      <c r="E25" s="205">
        <v>4165</v>
      </c>
    </row>
    <row r="26" spans="1:5" x14ac:dyDescent="0.25">
      <c r="A26" s="202">
        <v>2023</v>
      </c>
      <c r="B26" s="203" t="s">
        <v>46</v>
      </c>
      <c r="C26" s="204" t="s">
        <v>46</v>
      </c>
      <c r="D26" s="203" t="s">
        <v>401</v>
      </c>
      <c r="E26" s="205">
        <v>1876</v>
      </c>
    </row>
    <row r="27" spans="1:5" x14ac:dyDescent="0.25">
      <c r="A27" s="202">
        <v>2023</v>
      </c>
      <c r="B27" s="203" t="s">
        <v>47</v>
      </c>
      <c r="C27" s="204" t="s">
        <v>47</v>
      </c>
      <c r="D27" s="203" t="s">
        <v>402</v>
      </c>
      <c r="E27" s="205">
        <v>4343</v>
      </c>
    </row>
    <row r="28" spans="1:5" x14ac:dyDescent="0.25">
      <c r="A28" s="202">
        <v>2023</v>
      </c>
      <c r="B28" s="203" t="s">
        <v>48</v>
      </c>
      <c r="C28" s="204" t="s">
        <v>48</v>
      </c>
      <c r="D28" s="203" t="s">
        <v>403</v>
      </c>
      <c r="E28" s="205">
        <v>647</v>
      </c>
    </row>
    <row r="29" spans="1:5" x14ac:dyDescent="0.25">
      <c r="A29" s="202">
        <v>2023</v>
      </c>
      <c r="B29" s="203" t="s">
        <v>49</v>
      </c>
      <c r="C29" s="204" t="s">
        <v>49</v>
      </c>
      <c r="D29" s="203" t="s">
        <v>404</v>
      </c>
      <c r="E29" s="205">
        <v>7240</v>
      </c>
    </row>
    <row r="30" spans="1:5" x14ac:dyDescent="0.25">
      <c r="A30" s="202">
        <v>2023</v>
      </c>
      <c r="B30" s="203" t="s">
        <v>50</v>
      </c>
      <c r="C30" s="204" t="s">
        <v>50</v>
      </c>
      <c r="D30" s="203" t="s">
        <v>405</v>
      </c>
      <c r="E30" s="205">
        <v>0</v>
      </c>
    </row>
    <row r="31" spans="1:5" x14ac:dyDescent="0.25">
      <c r="A31" s="202">
        <v>2023</v>
      </c>
      <c r="B31" s="203" t="s">
        <v>51</v>
      </c>
      <c r="C31" s="204" t="s">
        <v>51</v>
      </c>
      <c r="D31" s="203" t="s">
        <v>406</v>
      </c>
      <c r="E31" s="205">
        <v>1554</v>
      </c>
    </row>
    <row r="32" spans="1:5" x14ac:dyDescent="0.25">
      <c r="A32" s="202">
        <v>2023</v>
      </c>
      <c r="B32" s="203" t="s">
        <v>52</v>
      </c>
      <c r="C32" s="204" t="s">
        <v>52</v>
      </c>
      <c r="D32" s="203" t="s">
        <v>407</v>
      </c>
      <c r="E32" s="205">
        <v>8696</v>
      </c>
    </row>
    <row r="33" spans="1:5" x14ac:dyDescent="0.25">
      <c r="A33" s="202">
        <v>2023</v>
      </c>
      <c r="B33" s="203" t="s">
        <v>54</v>
      </c>
      <c r="C33" s="204" t="s">
        <v>54</v>
      </c>
      <c r="D33" s="203" t="s">
        <v>409</v>
      </c>
      <c r="E33" s="205">
        <v>7414</v>
      </c>
    </row>
    <row r="34" spans="1:5" x14ac:dyDescent="0.25">
      <c r="A34" s="202">
        <v>2023</v>
      </c>
      <c r="B34" s="203" t="s">
        <v>55</v>
      </c>
      <c r="C34" s="204" t="s">
        <v>55</v>
      </c>
      <c r="D34" s="203" t="s">
        <v>410</v>
      </c>
      <c r="E34" s="205">
        <v>1113</v>
      </c>
    </row>
    <row r="35" spans="1:5" x14ac:dyDescent="0.25">
      <c r="A35" s="202">
        <v>2023</v>
      </c>
      <c r="B35" s="203" t="s">
        <v>56</v>
      </c>
      <c r="C35" s="204" t="s">
        <v>56</v>
      </c>
      <c r="D35" s="203" t="s">
        <v>411</v>
      </c>
      <c r="E35" s="205">
        <v>2718</v>
      </c>
    </row>
    <row r="36" spans="1:5" x14ac:dyDescent="0.25">
      <c r="A36" s="202">
        <v>2023</v>
      </c>
      <c r="B36" s="203" t="s">
        <v>112</v>
      </c>
      <c r="C36" s="204" t="s">
        <v>112</v>
      </c>
      <c r="D36" s="203" t="s">
        <v>465</v>
      </c>
      <c r="E36" s="205">
        <v>0</v>
      </c>
    </row>
    <row r="37" spans="1:5" x14ac:dyDescent="0.25">
      <c r="A37" s="202">
        <v>2023</v>
      </c>
      <c r="B37" s="203" t="s">
        <v>58</v>
      </c>
      <c r="C37" s="204" t="s">
        <v>58</v>
      </c>
      <c r="D37" s="203" t="s">
        <v>413</v>
      </c>
      <c r="E37" s="205">
        <v>1032</v>
      </c>
    </row>
    <row r="38" spans="1:5" x14ac:dyDescent="0.25">
      <c r="A38" s="202">
        <v>2023</v>
      </c>
      <c r="B38" s="203" t="s">
        <v>60</v>
      </c>
      <c r="C38" s="204" t="s">
        <v>60</v>
      </c>
      <c r="D38" s="203" t="s">
        <v>415</v>
      </c>
      <c r="E38" s="205">
        <v>0</v>
      </c>
    </row>
    <row r="39" spans="1:5" x14ac:dyDescent="0.25">
      <c r="A39" s="202">
        <v>2023</v>
      </c>
      <c r="B39" s="203" t="s">
        <v>62</v>
      </c>
      <c r="C39" s="204" t="s">
        <v>62</v>
      </c>
      <c r="D39" s="203" t="s">
        <v>3</v>
      </c>
      <c r="E39" s="205">
        <v>0</v>
      </c>
    </row>
    <row r="40" spans="1:5" x14ac:dyDescent="0.25">
      <c r="A40" s="202">
        <v>2023</v>
      </c>
      <c r="B40" s="203" t="s">
        <v>63</v>
      </c>
      <c r="C40" s="204" t="s">
        <v>63</v>
      </c>
      <c r="D40" s="203" t="s">
        <v>416</v>
      </c>
      <c r="E40" s="205">
        <v>2579</v>
      </c>
    </row>
    <row r="41" spans="1:5" x14ac:dyDescent="0.25">
      <c r="A41" s="202">
        <v>2023</v>
      </c>
      <c r="B41" s="203" t="s">
        <v>61</v>
      </c>
      <c r="C41" s="204" t="s">
        <v>61</v>
      </c>
      <c r="D41" s="203" t="s">
        <v>2</v>
      </c>
      <c r="E41" s="205">
        <v>3158</v>
      </c>
    </row>
    <row r="42" spans="1:5" x14ac:dyDescent="0.25">
      <c r="A42" s="202">
        <v>2023</v>
      </c>
      <c r="B42" s="203" t="s">
        <v>64</v>
      </c>
      <c r="C42" s="204" t="s">
        <v>64</v>
      </c>
      <c r="D42" s="203" t="s">
        <v>417</v>
      </c>
      <c r="E42" s="205">
        <v>6680</v>
      </c>
    </row>
    <row r="43" spans="1:5" x14ac:dyDescent="0.25">
      <c r="A43" s="202">
        <v>2023</v>
      </c>
      <c r="B43" s="203" t="s">
        <v>65</v>
      </c>
      <c r="C43" s="204" t="s">
        <v>65</v>
      </c>
      <c r="D43" s="203" t="s">
        <v>418</v>
      </c>
      <c r="E43" s="205">
        <v>0</v>
      </c>
    </row>
    <row r="44" spans="1:5" x14ac:dyDescent="0.25">
      <c r="A44" s="202">
        <v>2023</v>
      </c>
      <c r="B44" s="203" t="s">
        <v>66</v>
      </c>
      <c r="C44" s="204" t="s">
        <v>66</v>
      </c>
      <c r="D44" s="203" t="s">
        <v>419</v>
      </c>
      <c r="E44" s="205">
        <v>2642</v>
      </c>
    </row>
    <row r="45" spans="1:5" x14ac:dyDescent="0.25">
      <c r="A45" s="202">
        <v>2023</v>
      </c>
      <c r="B45" s="203" t="s">
        <v>67</v>
      </c>
      <c r="C45" s="204" t="s">
        <v>67</v>
      </c>
      <c r="D45" s="203" t="s">
        <v>420</v>
      </c>
      <c r="E45" s="205">
        <v>2773</v>
      </c>
    </row>
    <row r="46" spans="1:5" x14ac:dyDescent="0.25">
      <c r="A46" s="202">
        <v>2023</v>
      </c>
      <c r="B46" s="203" t="s">
        <v>68</v>
      </c>
      <c r="C46" s="204" t="s">
        <v>68</v>
      </c>
      <c r="D46" s="203" t="s">
        <v>421</v>
      </c>
      <c r="E46" s="205">
        <v>5409</v>
      </c>
    </row>
    <row r="47" spans="1:5" x14ac:dyDescent="0.25">
      <c r="A47" s="202">
        <v>2023</v>
      </c>
      <c r="B47" s="203" t="s">
        <v>69</v>
      </c>
      <c r="C47" s="204" t="s">
        <v>69</v>
      </c>
      <c r="D47" s="203" t="s">
        <v>422</v>
      </c>
      <c r="E47" s="205">
        <v>105712</v>
      </c>
    </row>
    <row r="48" spans="1:5" x14ac:dyDescent="0.25">
      <c r="A48" s="202">
        <v>2023</v>
      </c>
      <c r="B48" s="203" t="s">
        <v>70</v>
      </c>
      <c r="C48" s="204" t="s">
        <v>70</v>
      </c>
      <c r="D48" s="203" t="s">
        <v>423</v>
      </c>
      <c r="E48" s="205">
        <v>1990</v>
      </c>
    </row>
    <row r="49" spans="1:5" x14ac:dyDescent="0.25">
      <c r="A49" s="202">
        <v>2023</v>
      </c>
      <c r="B49" s="203" t="s">
        <v>71</v>
      </c>
      <c r="C49" s="204" t="s">
        <v>71</v>
      </c>
      <c r="D49" s="203" t="s">
        <v>424</v>
      </c>
      <c r="E49" s="205">
        <v>1033</v>
      </c>
    </row>
    <row r="50" spans="1:5" x14ac:dyDescent="0.25">
      <c r="A50" s="202">
        <v>2023</v>
      </c>
      <c r="B50" s="203" t="s">
        <v>75</v>
      </c>
      <c r="C50" s="204" t="s">
        <v>75</v>
      </c>
      <c r="D50" s="203" t="s">
        <v>428</v>
      </c>
      <c r="E50" s="205">
        <v>2693</v>
      </c>
    </row>
    <row r="51" spans="1:5" x14ac:dyDescent="0.25">
      <c r="A51" s="202">
        <v>2023</v>
      </c>
      <c r="B51" s="203" t="s">
        <v>73</v>
      </c>
      <c r="C51" s="204" t="s">
        <v>73</v>
      </c>
      <c r="D51" s="203" t="s">
        <v>426</v>
      </c>
      <c r="E51" s="205">
        <v>979</v>
      </c>
    </row>
    <row r="52" spans="1:5" x14ac:dyDescent="0.25">
      <c r="A52" s="202">
        <v>2023</v>
      </c>
      <c r="B52" s="203" t="s">
        <v>74</v>
      </c>
      <c r="C52" s="204" t="s">
        <v>74</v>
      </c>
      <c r="D52" s="203" t="s">
        <v>427</v>
      </c>
      <c r="E52" s="205">
        <v>8811</v>
      </c>
    </row>
    <row r="53" spans="1:5" x14ac:dyDescent="0.25">
      <c r="A53" s="202">
        <v>2023</v>
      </c>
      <c r="B53" s="203" t="s">
        <v>76</v>
      </c>
      <c r="C53" s="204" t="s">
        <v>76</v>
      </c>
      <c r="D53" s="203" t="s">
        <v>429</v>
      </c>
      <c r="E53" s="205">
        <v>1301</v>
      </c>
    </row>
    <row r="54" spans="1:5" x14ac:dyDescent="0.25">
      <c r="A54" s="202">
        <v>2023</v>
      </c>
      <c r="B54" s="203" t="s">
        <v>72</v>
      </c>
      <c r="C54" s="204" t="s">
        <v>72</v>
      </c>
      <c r="D54" s="203" t="s">
        <v>425</v>
      </c>
      <c r="E54" s="205">
        <v>2553</v>
      </c>
    </row>
    <row r="55" spans="1:5" x14ac:dyDescent="0.25">
      <c r="A55" s="202">
        <v>2023</v>
      </c>
      <c r="B55" s="203" t="s">
        <v>77</v>
      </c>
      <c r="C55" s="204" t="s">
        <v>77</v>
      </c>
      <c r="D55" s="203" t="s">
        <v>430</v>
      </c>
      <c r="E55" s="205">
        <v>108</v>
      </c>
    </row>
    <row r="56" spans="1:5" x14ac:dyDescent="0.25">
      <c r="A56" s="202">
        <v>2023</v>
      </c>
      <c r="B56" s="203" t="s">
        <v>229</v>
      </c>
      <c r="C56" s="204" t="s">
        <v>229</v>
      </c>
      <c r="D56" s="203" t="s">
        <v>579</v>
      </c>
      <c r="E56" s="205">
        <v>4026</v>
      </c>
    </row>
    <row r="57" spans="1:5" x14ac:dyDescent="0.25">
      <c r="A57" s="202">
        <v>2023</v>
      </c>
      <c r="B57" s="203" t="s">
        <v>78</v>
      </c>
      <c r="C57" s="204" t="s">
        <v>78</v>
      </c>
      <c r="D57" s="203" t="s">
        <v>431</v>
      </c>
      <c r="E57" s="205">
        <v>2471</v>
      </c>
    </row>
    <row r="58" spans="1:5" x14ac:dyDescent="0.25">
      <c r="A58" s="202">
        <v>2023</v>
      </c>
      <c r="B58" s="203" t="s">
        <v>79</v>
      </c>
      <c r="C58" s="204" t="s">
        <v>79</v>
      </c>
      <c r="D58" s="203" t="s">
        <v>432</v>
      </c>
      <c r="E58" s="205">
        <v>2542</v>
      </c>
    </row>
    <row r="59" spans="1:5" x14ac:dyDescent="0.25">
      <c r="A59" s="202">
        <v>2023</v>
      </c>
      <c r="B59" s="203" t="s">
        <v>80</v>
      </c>
      <c r="C59" s="204" t="s">
        <v>80</v>
      </c>
      <c r="D59" s="203" t="s">
        <v>433</v>
      </c>
      <c r="E59" s="205">
        <v>1628</v>
      </c>
    </row>
    <row r="60" spans="1:5" x14ac:dyDescent="0.25">
      <c r="A60" s="202">
        <v>2023</v>
      </c>
      <c r="B60" s="203" t="s">
        <v>81</v>
      </c>
      <c r="C60" s="204" t="s">
        <v>81</v>
      </c>
      <c r="D60" s="203" t="s">
        <v>434</v>
      </c>
      <c r="E60" s="205">
        <v>0</v>
      </c>
    </row>
    <row r="61" spans="1:5" x14ac:dyDescent="0.25">
      <c r="A61" s="202">
        <v>2023</v>
      </c>
      <c r="B61" s="203" t="s">
        <v>82</v>
      </c>
      <c r="C61" s="204" t="s">
        <v>82</v>
      </c>
      <c r="D61" s="203" t="s">
        <v>435</v>
      </c>
      <c r="E61" s="205">
        <v>2786</v>
      </c>
    </row>
    <row r="62" spans="1:5" x14ac:dyDescent="0.25">
      <c r="A62" s="202">
        <v>2023</v>
      </c>
      <c r="B62" s="203" t="s">
        <v>83</v>
      </c>
      <c r="C62" s="204" t="s">
        <v>83</v>
      </c>
      <c r="D62" s="203" t="s">
        <v>436</v>
      </c>
      <c r="E62" s="205">
        <v>8844</v>
      </c>
    </row>
    <row r="63" spans="1:5" x14ac:dyDescent="0.25">
      <c r="A63" s="202">
        <v>2023</v>
      </c>
      <c r="B63" s="203" t="s">
        <v>84</v>
      </c>
      <c r="C63" s="204" t="s">
        <v>84</v>
      </c>
      <c r="D63" s="203" t="s">
        <v>437</v>
      </c>
      <c r="E63" s="205">
        <v>5715</v>
      </c>
    </row>
    <row r="64" spans="1:5" x14ac:dyDescent="0.25">
      <c r="A64" s="202">
        <v>2023</v>
      </c>
      <c r="B64" s="203" t="s">
        <v>85</v>
      </c>
      <c r="C64" s="204" t="s">
        <v>85</v>
      </c>
      <c r="D64" s="203" t="s">
        <v>438</v>
      </c>
      <c r="E64" s="205">
        <v>2994</v>
      </c>
    </row>
    <row r="65" spans="1:5" x14ac:dyDescent="0.25">
      <c r="A65" s="202">
        <v>2023</v>
      </c>
      <c r="B65" s="203" t="s">
        <v>86</v>
      </c>
      <c r="C65" s="204" t="s">
        <v>86</v>
      </c>
      <c r="D65" s="203" t="s">
        <v>439</v>
      </c>
      <c r="E65" s="205">
        <v>1509</v>
      </c>
    </row>
    <row r="66" spans="1:5" x14ac:dyDescent="0.25">
      <c r="A66" s="202">
        <v>2023</v>
      </c>
      <c r="B66" s="203" t="s">
        <v>149</v>
      </c>
      <c r="C66" s="204" t="s">
        <v>149</v>
      </c>
      <c r="D66" s="203" t="s">
        <v>501</v>
      </c>
      <c r="E66" s="205">
        <v>3513</v>
      </c>
    </row>
    <row r="67" spans="1:5" x14ac:dyDescent="0.25">
      <c r="A67" s="202">
        <v>2023</v>
      </c>
      <c r="B67" s="203" t="s">
        <v>87</v>
      </c>
      <c r="C67" s="204" t="s">
        <v>87</v>
      </c>
      <c r="D67" s="203" t="s">
        <v>440</v>
      </c>
      <c r="E67" s="205">
        <v>13614</v>
      </c>
    </row>
    <row r="68" spans="1:5" x14ac:dyDescent="0.25">
      <c r="A68" s="202">
        <v>2023</v>
      </c>
      <c r="B68" s="203" t="s">
        <v>88</v>
      </c>
      <c r="C68" s="204" t="s">
        <v>88</v>
      </c>
      <c r="D68" s="203" t="s">
        <v>441</v>
      </c>
      <c r="E68" s="205">
        <v>2554</v>
      </c>
    </row>
    <row r="69" spans="1:5" x14ac:dyDescent="0.25">
      <c r="A69" s="202">
        <v>2023</v>
      </c>
      <c r="B69" s="203" t="s">
        <v>89</v>
      </c>
      <c r="C69" s="204" t="s">
        <v>89</v>
      </c>
      <c r="D69" s="203" t="s">
        <v>442</v>
      </c>
      <c r="E69" s="205">
        <v>0</v>
      </c>
    </row>
    <row r="70" spans="1:5" x14ac:dyDescent="0.25">
      <c r="A70" s="202">
        <v>2023</v>
      </c>
      <c r="B70" s="203" t="s">
        <v>90</v>
      </c>
      <c r="C70" s="204" t="s">
        <v>90</v>
      </c>
      <c r="D70" s="203" t="s">
        <v>443</v>
      </c>
      <c r="E70" s="205">
        <v>4720</v>
      </c>
    </row>
    <row r="71" spans="1:5" x14ac:dyDescent="0.25">
      <c r="A71" s="202">
        <v>2023</v>
      </c>
      <c r="B71" s="203" t="s">
        <v>91</v>
      </c>
      <c r="C71" s="204" t="s">
        <v>91</v>
      </c>
      <c r="D71" s="203" t="s">
        <v>444</v>
      </c>
      <c r="E71" s="205">
        <v>30697</v>
      </c>
    </row>
    <row r="72" spans="1:5" x14ac:dyDescent="0.25">
      <c r="A72" s="202">
        <v>2023</v>
      </c>
      <c r="B72" s="203" t="s">
        <v>92</v>
      </c>
      <c r="C72" s="204" t="s">
        <v>92</v>
      </c>
      <c r="D72" s="203" t="s">
        <v>445</v>
      </c>
      <c r="E72" s="205">
        <v>0</v>
      </c>
    </row>
    <row r="73" spans="1:5" x14ac:dyDescent="0.25">
      <c r="A73" s="202">
        <v>2023</v>
      </c>
      <c r="B73" s="203" t="s">
        <v>93</v>
      </c>
      <c r="C73" s="204" t="s">
        <v>93</v>
      </c>
      <c r="D73" s="203" t="s">
        <v>446</v>
      </c>
      <c r="E73" s="205">
        <v>1104</v>
      </c>
    </row>
    <row r="74" spans="1:5" x14ac:dyDescent="0.25">
      <c r="A74" s="202">
        <v>2023</v>
      </c>
      <c r="B74" s="203" t="s">
        <v>94</v>
      </c>
      <c r="C74" s="204" t="s">
        <v>94</v>
      </c>
      <c r="D74" s="203" t="s">
        <v>447</v>
      </c>
      <c r="E74" s="205">
        <v>1675</v>
      </c>
    </row>
    <row r="75" spans="1:5" x14ac:dyDescent="0.25">
      <c r="A75" s="202">
        <v>2023</v>
      </c>
      <c r="B75" s="203" t="s">
        <v>95</v>
      </c>
      <c r="C75" s="204" t="s">
        <v>95</v>
      </c>
      <c r="D75" s="203" t="s">
        <v>448</v>
      </c>
      <c r="E75" s="205">
        <v>2036</v>
      </c>
    </row>
    <row r="76" spans="1:5" x14ac:dyDescent="0.25">
      <c r="A76" s="202">
        <v>2023</v>
      </c>
      <c r="B76" s="203" t="s">
        <v>96</v>
      </c>
      <c r="C76" s="204" t="s">
        <v>96</v>
      </c>
      <c r="D76" s="203" t="s">
        <v>449</v>
      </c>
      <c r="E76" s="205">
        <v>2089</v>
      </c>
    </row>
    <row r="77" spans="1:5" x14ac:dyDescent="0.25">
      <c r="A77" s="202">
        <v>2023</v>
      </c>
      <c r="B77" s="203" t="s">
        <v>97</v>
      </c>
      <c r="C77" s="204" t="s">
        <v>97</v>
      </c>
      <c r="D77" s="203" t="s">
        <v>450</v>
      </c>
      <c r="E77" s="205">
        <v>33028</v>
      </c>
    </row>
    <row r="78" spans="1:5" x14ac:dyDescent="0.25">
      <c r="A78" s="202">
        <v>2023</v>
      </c>
      <c r="B78" s="203" t="s">
        <v>98</v>
      </c>
      <c r="C78" s="204" t="s">
        <v>98</v>
      </c>
      <c r="D78" s="203" t="s">
        <v>451</v>
      </c>
      <c r="E78" s="205">
        <v>3215</v>
      </c>
    </row>
    <row r="79" spans="1:5" x14ac:dyDescent="0.25">
      <c r="A79" s="202">
        <v>2023</v>
      </c>
      <c r="B79" s="203" t="s">
        <v>99</v>
      </c>
      <c r="C79" s="204" t="s">
        <v>99</v>
      </c>
      <c r="D79" s="203" t="s">
        <v>452</v>
      </c>
      <c r="E79" s="205">
        <v>30114</v>
      </c>
    </row>
    <row r="80" spans="1:5" x14ac:dyDescent="0.25">
      <c r="A80" s="202">
        <v>2023</v>
      </c>
      <c r="B80" s="203" t="s">
        <v>100</v>
      </c>
      <c r="C80" s="204" t="s">
        <v>100</v>
      </c>
      <c r="D80" s="203" t="s">
        <v>453</v>
      </c>
      <c r="E80" s="205">
        <v>1062</v>
      </c>
    </row>
    <row r="81" spans="1:5" x14ac:dyDescent="0.25">
      <c r="A81" s="202">
        <v>2023</v>
      </c>
      <c r="B81" s="203" t="s">
        <v>101</v>
      </c>
      <c r="C81" s="204" t="s">
        <v>101</v>
      </c>
      <c r="D81" s="203" t="s">
        <v>454</v>
      </c>
      <c r="E81" s="205">
        <v>70714</v>
      </c>
    </row>
    <row r="82" spans="1:5" x14ac:dyDescent="0.25">
      <c r="A82" s="202">
        <v>2023</v>
      </c>
      <c r="B82" s="203" t="s">
        <v>102</v>
      </c>
      <c r="C82" s="204" t="s">
        <v>102</v>
      </c>
      <c r="D82" s="203" t="s">
        <v>455</v>
      </c>
      <c r="E82" s="205">
        <v>4101</v>
      </c>
    </row>
    <row r="83" spans="1:5" x14ac:dyDescent="0.25">
      <c r="A83" s="202">
        <v>2023</v>
      </c>
      <c r="B83" s="203" t="s">
        <v>103</v>
      </c>
      <c r="C83" s="204" t="s">
        <v>103</v>
      </c>
      <c r="D83" s="203" t="s">
        <v>456</v>
      </c>
      <c r="E83" s="205">
        <v>4800</v>
      </c>
    </row>
    <row r="84" spans="1:5" x14ac:dyDescent="0.25">
      <c r="A84" s="202">
        <v>2023</v>
      </c>
      <c r="B84" s="203" t="s">
        <v>104</v>
      </c>
      <c r="C84" s="204" t="s">
        <v>104</v>
      </c>
      <c r="D84" s="203" t="s">
        <v>457</v>
      </c>
      <c r="E84" s="205">
        <v>1663</v>
      </c>
    </row>
    <row r="85" spans="1:5" x14ac:dyDescent="0.25">
      <c r="A85" s="202">
        <v>2023</v>
      </c>
      <c r="B85" s="203" t="s">
        <v>105</v>
      </c>
      <c r="C85" s="204" t="s">
        <v>105</v>
      </c>
      <c r="D85" s="203" t="s">
        <v>458</v>
      </c>
      <c r="E85" s="205">
        <v>1951</v>
      </c>
    </row>
    <row r="86" spans="1:5" x14ac:dyDescent="0.25">
      <c r="A86" s="202">
        <v>2023</v>
      </c>
      <c r="B86" s="203" t="s">
        <v>106</v>
      </c>
      <c r="C86" s="204" t="s">
        <v>106</v>
      </c>
      <c r="D86" s="203" t="s">
        <v>459</v>
      </c>
      <c r="E86" s="205">
        <v>3230</v>
      </c>
    </row>
    <row r="87" spans="1:5" x14ac:dyDescent="0.25">
      <c r="A87" s="202">
        <v>2023</v>
      </c>
      <c r="B87" s="203" t="s">
        <v>107</v>
      </c>
      <c r="C87" s="204" t="s">
        <v>107</v>
      </c>
      <c r="D87" s="203" t="s">
        <v>460</v>
      </c>
      <c r="E87" s="205">
        <v>102931</v>
      </c>
    </row>
    <row r="88" spans="1:5" x14ac:dyDescent="0.25">
      <c r="A88" s="202">
        <v>2023</v>
      </c>
      <c r="B88" s="203" t="s">
        <v>108</v>
      </c>
      <c r="C88" s="204" t="s">
        <v>108</v>
      </c>
      <c r="D88" s="203" t="s">
        <v>461</v>
      </c>
      <c r="E88" s="205">
        <v>1335</v>
      </c>
    </row>
    <row r="89" spans="1:5" x14ac:dyDescent="0.25">
      <c r="A89" s="202">
        <v>2023</v>
      </c>
      <c r="B89" s="203" t="s">
        <v>109</v>
      </c>
      <c r="C89" s="204" t="s">
        <v>109</v>
      </c>
      <c r="D89" s="203" t="s">
        <v>462</v>
      </c>
      <c r="E89" s="205">
        <v>4276</v>
      </c>
    </row>
    <row r="90" spans="1:5" x14ac:dyDescent="0.25">
      <c r="A90" s="202">
        <v>2023</v>
      </c>
      <c r="B90" s="203" t="s">
        <v>110</v>
      </c>
      <c r="C90" s="204" t="s">
        <v>110</v>
      </c>
      <c r="D90" s="203" t="s">
        <v>463</v>
      </c>
      <c r="E90" s="205">
        <v>40440</v>
      </c>
    </row>
    <row r="91" spans="1:5" x14ac:dyDescent="0.25">
      <c r="A91" s="202">
        <v>2023</v>
      </c>
      <c r="B91" s="203" t="s">
        <v>111</v>
      </c>
      <c r="C91" s="204" t="s">
        <v>111</v>
      </c>
      <c r="D91" s="203" t="s">
        <v>464</v>
      </c>
      <c r="E91" s="205">
        <v>2930</v>
      </c>
    </row>
    <row r="92" spans="1:5" x14ac:dyDescent="0.25">
      <c r="A92" s="202">
        <v>2023</v>
      </c>
      <c r="B92" s="203" t="s">
        <v>113</v>
      </c>
      <c r="C92" s="204" t="s">
        <v>113</v>
      </c>
      <c r="D92" s="203" t="s">
        <v>466</v>
      </c>
      <c r="E92" s="205">
        <v>1163</v>
      </c>
    </row>
    <row r="93" spans="1:5" x14ac:dyDescent="0.25">
      <c r="A93" s="202">
        <v>2023</v>
      </c>
      <c r="B93" s="203" t="s">
        <v>115</v>
      </c>
      <c r="C93" s="204" t="s">
        <v>115</v>
      </c>
      <c r="D93" s="203" t="s">
        <v>468</v>
      </c>
      <c r="E93" s="205">
        <v>3973</v>
      </c>
    </row>
    <row r="94" spans="1:5" x14ac:dyDescent="0.25">
      <c r="A94" s="202">
        <v>2023</v>
      </c>
      <c r="B94" s="203" t="s">
        <v>116</v>
      </c>
      <c r="C94" s="204" t="s">
        <v>116</v>
      </c>
      <c r="D94" s="203" t="s">
        <v>469</v>
      </c>
      <c r="E94" s="205">
        <v>1108</v>
      </c>
    </row>
    <row r="95" spans="1:5" x14ac:dyDescent="0.25">
      <c r="A95" s="202">
        <v>2023</v>
      </c>
      <c r="B95" s="203" t="s">
        <v>117</v>
      </c>
      <c r="C95" s="204" t="s">
        <v>117</v>
      </c>
      <c r="D95" s="203" t="s">
        <v>470</v>
      </c>
      <c r="E95" s="205">
        <v>0</v>
      </c>
    </row>
    <row r="96" spans="1:5" x14ac:dyDescent="0.25">
      <c r="A96" s="202">
        <v>2023</v>
      </c>
      <c r="B96" s="203" t="s">
        <v>182</v>
      </c>
      <c r="C96" s="204" t="s">
        <v>696</v>
      </c>
      <c r="D96" s="203" t="s">
        <v>532</v>
      </c>
      <c r="E96" s="205">
        <v>0</v>
      </c>
    </row>
    <row r="97" spans="1:5" x14ac:dyDescent="0.25">
      <c r="A97" s="202">
        <v>2023</v>
      </c>
      <c r="B97" s="203" t="s">
        <v>195</v>
      </c>
      <c r="C97" s="204" t="s">
        <v>195</v>
      </c>
      <c r="D97" s="203" t="s">
        <v>545</v>
      </c>
      <c r="E97" s="205">
        <v>4121</v>
      </c>
    </row>
    <row r="98" spans="1:5" x14ac:dyDescent="0.25">
      <c r="A98" s="202">
        <v>2023</v>
      </c>
      <c r="B98" s="203" t="s">
        <v>321</v>
      </c>
      <c r="C98" s="204" t="s">
        <v>321</v>
      </c>
      <c r="D98" s="203" t="s">
        <v>664</v>
      </c>
      <c r="E98" s="205">
        <v>2339</v>
      </c>
    </row>
    <row r="99" spans="1:5" x14ac:dyDescent="0.25">
      <c r="A99" s="202">
        <v>2023</v>
      </c>
      <c r="B99" s="203" t="s">
        <v>119</v>
      </c>
      <c r="C99" s="204" t="s">
        <v>119</v>
      </c>
      <c r="D99" s="203" t="s">
        <v>472</v>
      </c>
      <c r="E99" s="205">
        <v>2885</v>
      </c>
    </row>
    <row r="100" spans="1:5" x14ac:dyDescent="0.25">
      <c r="A100" s="202">
        <v>2023</v>
      </c>
      <c r="B100" s="203" t="s">
        <v>120</v>
      </c>
      <c r="C100" s="204" t="s">
        <v>120</v>
      </c>
      <c r="D100" s="203" t="s">
        <v>473</v>
      </c>
      <c r="E100" s="205">
        <v>1840</v>
      </c>
    </row>
    <row r="101" spans="1:5" x14ac:dyDescent="0.25">
      <c r="A101" s="202">
        <v>2023</v>
      </c>
      <c r="B101" s="203" t="s">
        <v>118</v>
      </c>
      <c r="C101" s="204" t="s">
        <v>118</v>
      </c>
      <c r="D101" s="203" t="s">
        <v>471</v>
      </c>
      <c r="E101" s="205">
        <v>3297</v>
      </c>
    </row>
    <row r="102" spans="1:5" x14ac:dyDescent="0.25">
      <c r="A102" s="202">
        <v>2023</v>
      </c>
      <c r="B102" s="203" t="s">
        <v>53</v>
      </c>
      <c r="C102" s="204" t="s">
        <v>53</v>
      </c>
      <c r="D102" s="203" t="s">
        <v>408</v>
      </c>
      <c r="E102" s="205">
        <v>2253</v>
      </c>
    </row>
    <row r="103" spans="1:5" x14ac:dyDescent="0.25">
      <c r="A103" s="202">
        <v>2023</v>
      </c>
      <c r="B103" s="203" t="s">
        <v>122</v>
      </c>
      <c r="C103" s="204" t="s">
        <v>122</v>
      </c>
      <c r="D103" s="203" t="s">
        <v>475</v>
      </c>
      <c r="E103" s="205">
        <v>0</v>
      </c>
    </row>
    <row r="104" spans="1:5" x14ac:dyDescent="0.25">
      <c r="A104" s="202">
        <v>2023</v>
      </c>
      <c r="B104" s="203" t="s">
        <v>123</v>
      </c>
      <c r="C104" s="204" t="s">
        <v>123</v>
      </c>
      <c r="D104" s="203" t="s">
        <v>476</v>
      </c>
      <c r="E104" s="205">
        <v>7854</v>
      </c>
    </row>
    <row r="105" spans="1:5" x14ac:dyDescent="0.25">
      <c r="A105" s="202">
        <v>2023</v>
      </c>
      <c r="B105" s="203" t="s">
        <v>124</v>
      </c>
      <c r="C105" s="204" t="s">
        <v>124</v>
      </c>
      <c r="D105" s="203" t="s">
        <v>477</v>
      </c>
      <c r="E105" s="205">
        <v>2134</v>
      </c>
    </row>
    <row r="106" spans="1:5" x14ac:dyDescent="0.25">
      <c r="A106" s="202">
        <v>2023</v>
      </c>
      <c r="B106" s="203" t="s">
        <v>125</v>
      </c>
      <c r="C106" s="204" t="s">
        <v>125</v>
      </c>
      <c r="D106" s="203" t="s">
        <v>478</v>
      </c>
      <c r="E106" s="205">
        <v>1433</v>
      </c>
    </row>
    <row r="107" spans="1:5" x14ac:dyDescent="0.25">
      <c r="A107" s="202">
        <v>2023</v>
      </c>
      <c r="B107" s="203" t="s">
        <v>126</v>
      </c>
      <c r="C107" s="204" t="s">
        <v>126</v>
      </c>
      <c r="D107" s="203" t="s">
        <v>479</v>
      </c>
      <c r="E107" s="205">
        <v>2253</v>
      </c>
    </row>
    <row r="108" spans="1:5" x14ac:dyDescent="0.25">
      <c r="A108" s="202">
        <v>2023</v>
      </c>
      <c r="B108" s="203" t="s">
        <v>127</v>
      </c>
      <c r="C108" s="204" t="s">
        <v>127</v>
      </c>
      <c r="D108" s="203" t="s">
        <v>480</v>
      </c>
      <c r="E108" s="205">
        <v>7672</v>
      </c>
    </row>
    <row r="109" spans="1:5" x14ac:dyDescent="0.25">
      <c r="A109" s="202">
        <v>2023</v>
      </c>
      <c r="B109" s="203" t="s">
        <v>128</v>
      </c>
      <c r="C109" s="204" t="s">
        <v>128</v>
      </c>
      <c r="D109" s="203" t="s">
        <v>481</v>
      </c>
      <c r="E109" s="205">
        <v>577</v>
      </c>
    </row>
    <row r="110" spans="1:5" x14ac:dyDescent="0.25">
      <c r="A110" s="202">
        <v>2023</v>
      </c>
      <c r="B110" s="203" t="s">
        <v>129</v>
      </c>
      <c r="C110" s="204" t="s">
        <v>129</v>
      </c>
      <c r="D110" s="203" t="s">
        <v>482</v>
      </c>
      <c r="E110" s="205">
        <v>11011</v>
      </c>
    </row>
    <row r="111" spans="1:5" x14ac:dyDescent="0.25">
      <c r="A111" s="202">
        <v>2023</v>
      </c>
      <c r="B111" s="203" t="s">
        <v>130</v>
      </c>
      <c r="C111" s="204" t="s">
        <v>130</v>
      </c>
      <c r="D111" s="203" t="s">
        <v>483</v>
      </c>
      <c r="E111" s="205">
        <v>10492</v>
      </c>
    </row>
    <row r="112" spans="1:5" x14ac:dyDescent="0.25">
      <c r="A112" s="202">
        <v>2023</v>
      </c>
      <c r="B112" s="203" t="s">
        <v>131</v>
      </c>
      <c r="C112" s="204" t="s">
        <v>131</v>
      </c>
      <c r="D112" s="203" t="s">
        <v>484</v>
      </c>
      <c r="E112" s="205">
        <v>0</v>
      </c>
    </row>
    <row r="113" spans="1:5" x14ac:dyDescent="0.25">
      <c r="A113" s="202">
        <v>2023</v>
      </c>
      <c r="B113" s="203" t="s">
        <v>132</v>
      </c>
      <c r="C113" s="204" t="s">
        <v>132</v>
      </c>
      <c r="D113" s="203" t="s">
        <v>485</v>
      </c>
      <c r="E113" s="205">
        <v>0</v>
      </c>
    </row>
    <row r="114" spans="1:5" x14ac:dyDescent="0.25">
      <c r="A114" s="202">
        <v>2023</v>
      </c>
      <c r="B114" s="203" t="s">
        <v>133</v>
      </c>
      <c r="C114" s="204" t="s">
        <v>133</v>
      </c>
      <c r="D114" s="203" t="s">
        <v>486</v>
      </c>
      <c r="E114" s="205">
        <v>904</v>
      </c>
    </row>
    <row r="115" spans="1:5" x14ac:dyDescent="0.25">
      <c r="A115" s="202">
        <v>2023</v>
      </c>
      <c r="B115" s="203" t="s">
        <v>134</v>
      </c>
      <c r="C115" s="204" t="s">
        <v>134</v>
      </c>
      <c r="D115" s="203" t="s">
        <v>487</v>
      </c>
      <c r="E115" s="205">
        <v>315</v>
      </c>
    </row>
    <row r="116" spans="1:5" x14ac:dyDescent="0.25">
      <c r="A116" s="202">
        <v>2023</v>
      </c>
      <c r="B116" s="203" t="s">
        <v>135</v>
      </c>
      <c r="C116" s="204" t="s">
        <v>135</v>
      </c>
      <c r="D116" s="203" t="s">
        <v>488</v>
      </c>
      <c r="E116" s="205">
        <v>3363</v>
      </c>
    </row>
    <row r="117" spans="1:5" x14ac:dyDescent="0.25">
      <c r="A117" s="202">
        <v>2023</v>
      </c>
      <c r="B117" s="203" t="s">
        <v>136</v>
      </c>
      <c r="C117" s="204" t="s">
        <v>136</v>
      </c>
      <c r="D117" s="203" t="s">
        <v>489</v>
      </c>
      <c r="E117" s="205">
        <v>3101</v>
      </c>
    </row>
    <row r="118" spans="1:5" x14ac:dyDescent="0.25">
      <c r="A118" s="202">
        <v>2023</v>
      </c>
      <c r="B118" s="203" t="s">
        <v>137</v>
      </c>
      <c r="C118" s="204" t="s">
        <v>137</v>
      </c>
      <c r="D118" s="203" t="s">
        <v>490</v>
      </c>
      <c r="E118" s="205">
        <v>2266</v>
      </c>
    </row>
    <row r="119" spans="1:5" x14ac:dyDescent="0.25">
      <c r="A119" s="202">
        <v>2023</v>
      </c>
      <c r="B119" s="203" t="s">
        <v>138</v>
      </c>
      <c r="C119" s="204" t="s">
        <v>138</v>
      </c>
      <c r="D119" s="203" t="s">
        <v>491</v>
      </c>
      <c r="E119" s="205">
        <v>468</v>
      </c>
    </row>
    <row r="120" spans="1:5" x14ac:dyDescent="0.25">
      <c r="A120" s="202">
        <v>2023</v>
      </c>
      <c r="B120" s="203" t="s">
        <v>139</v>
      </c>
      <c r="C120" s="204" t="s">
        <v>139</v>
      </c>
      <c r="D120" s="203" t="s">
        <v>492</v>
      </c>
      <c r="E120" s="205">
        <v>3962</v>
      </c>
    </row>
    <row r="121" spans="1:5" x14ac:dyDescent="0.25">
      <c r="A121" s="202">
        <v>2023</v>
      </c>
      <c r="B121" s="203" t="s">
        <v>140</v>
      </c>
      <c r="C121" s="204" t="s">
        <v>140</v>
      </c>
      <c r="D121" s="203" t="s">
        <v>493</v>
      </c>
      <c r="E121" s="205">
        <v>6591</v>
      </c>
    </row>
    <row r="122" spans="1:5" x14ac:dyDescent="0.25">
      <c r="A122" s="202">
        <v>2023</v>
      </c>
      <c r="B122" s="203" t="s">
        <v>141</v>
      </c>
      <c r="C122" s="204" t="s">
        <v>141</v>
      </c>
      <c r="D122" s="203" t="s">
        <v>494</v>
      </c>
      <c r="E122" s="205">
        <v>1334</v>
      </c>
    </row>
    <row r="123" spans="1:5" x14ac:dyDescent="0.25">
      <c r="A123" s="202">
        <v>2023</v>
      </c>
      <c r="B123" s="203" t="s">
        <v>144</v>
      </c>
      <c r="C123" s="204" t="s">
        <v>144</v>
      </c>
      <c r="D123" s="203" t="s">
        <v>4</v>
      </c>
      <c r="E123" s="205">
        <v>3101</v>
      </c>
    </row>
    <row r="124" spans="1:5" x14ac:dyDescent="0.25">
      <c r="A124" s="202">
        <v>2023</v>
      </c>
      <c r="B124" s="203" t="s">
        <v>142</v>
      </c>
      <c r="C124" s="204" t="s">
        <v>142</v>
      </c>
      <c r="D124" s="203" t="s">
        <v>495</v>
      </c>
      <c r="E124" s="205">
        <v>4135</v>
      </c>
    </row>
    <row r="125" spans="1:5" x14ac:dyDescent="0.25">
      <c r="A125" s="202">
        <v>2023</v>
      </c>
      <c r="B125" s="203" t="s">
        <v>171</v>
      </c>
      <c r="C125" s="204" t="s">
        <v>171</v>
      </c>
      <c r="D125" s="203" t="s">
        <v>521</v>
      </c>
      <c r="E125" s="205">
        <v>6601</v>
      </c>
    </row>
    <row r="126" spans="1:5" x14ac:dyDescent="0.25">
      <c r="A126" s="202">
        <v>2023</v>
      </c>
      <c r="B126" s="203" t="s">
        <v>145</v>
      </c>
      <c r="C126" s="204" t="s">
        <v>145</v>
      </c>
      <c r="D126" s="203" t="s">
        <v>497</v>
      </c>
      <c r="E126" s="205">
        <v>4487</v>
      </c>
    </row>
    <row r="127" spans="1:5" x14ac:dyDescent="0.25">
      <c r="A127" s="202">
        <v>2023</v>
      </c>
      <c r="B127" s="203" t="s">
        <v>146</v>
      </c>
      <c r="C127" s="204" t="s">
        <v>146</v>
      </c>
      <c r="D127" s="203" t="s">
        <v>498</v>
      </c>
      <c r="E127" s="205">
        <v>3820</v>
      </c>
    </row>
    <row r="128" spans="1:5" x14ac:dyDescent="0.25">
      <c r="A128" s="202">
        <v>2023</v>
      </c>
      <c r="B128" s="203" t="s">
        <v>147</v>
      </c>
      <c r="C128" s="204" t="s">
        <v>147</v>
      </c>
      <c r="D128" s="203" t="s">
        <v>499</v>
      </c>
      <c r="E128" s="205">
        <v>4347</v>
      </c>
    </row>
    <row r="129" spans="1:5" x14ac:dyDescent="0.25">
      <c r="A129" s="202">
        <v>2023</v>
      </c>
      <c r="B129" s="203" t="s">
        <v>148</v>
      </c>
      <c r="C129" s="204" t="s">
        <v>148</v>
      </c>
      <c r="D129" s="203" t="s">
        <v>500</v>
      </c>
      <c r="E129" s="205">
        <v>89</v>
      </c>
    </row>
    <row r="130" spans="1:5" x14ac:dyDescent="0.25">
      <c r="A130" s="202">
        <v>2023</v>
      </c>
      <c r="B130" s="203" t="s">
        <v>151</v>
      </c>
      <c r="C130" s="204" t="s">
        <v>151</v>
      </c>
      <c r="D130" s="203" t="s">
        <v>502</v>
      </c>
      <c r="E130" s="205">
        <v>2413</v>
      </c>
    </row>
    <row r="131" spans="1:5" x14ac:dyDescent="0.25">
      <c r="A131" s="202">
        <v>2023</v>
      </c>
      <c r="B131" s="203" t="s">
        <v>152</v>
      </c>
      <c r="C131" s="204" t="s">
        <v>152</v>
      </c>
      <c r="D131" s="203" t="s">
        <v>503</v>
      </c>
      <c r="E131" s="205">
        <v>2760</v>
      </c>
    </row>
    <row r="132" spans="1:5" x14ac:dyDescent="0.25">
      <c r="A132" s="202">
        <v>2023</v>
      </c>
      <c r="B132" s="203" t="s">
        <v>153</v>
      </c>
      <c r="C132" s="204" t="s">
        <v>153</v>
      </c>
      <c r="D132" s="203" t="s">
        <v>504</v>
      </c>
      <c r="E132" s="205">
        <v>6347</v>
      </c>
    </row>
    <row r="133" spans="1:5" x14ac:dyDescent="0.25">
      <c r="A133" s="202">
        <v>2023</v>
      </c>
      <c r="B133" s="203" t="s">
        <v>155</v>
      </c>
      <c r="C133" s="204" t="s">
        <v>155</v>
      </c>
      <c r="D133" s="203" t="s">
        <v>505</v>
      </c>
      <c r="E133" s="205">
        <v>78</v>
      </c>
    </row>
    <row r="134" spans="1:5" x14ac:dyDescent="0.25">
      <c r="A134" s="202">
        <v>2023</v>
      </c>
      <c r="B134" s="203" t="s">
        <v>156</v>
      </c>
      <c r="C134" s="204" t="s">
        <v>156</v>
      </c>
      <c r="D134" s="203" t="s">
        <v>506</v>
      </c>
      <c r="E134" s="205">
        <v>4613</v>
      </c>
    </row>
    <row r="135" spans="1:5" x14ac:dyDescent="0.25">
      <c r="A135" s="202">
        <v>2023</v>
      </c>
      <c r="B135" s="203" t="s">
        <v>157</v>
      </c>
      <c r="C135" s="204" t="s">
        <v>157</v>
      </c>
      <c r="D135" s="203" t="s">
        <v>507</v>
      </c>
      <c r="E135" s="205">
        <v>6358</v>
      </c>
    </row>
    <row r="136" spans="1:5" x14ac:dyDescent="0.25">
      <c r="A136" s="202">
        <v>2023</v>
      </c>
      <c r="B136" s="203" t="s">
        <v>158</v>
      </c>
      <c r="C136" s="204" t="s">
        <v>158</v>
      </c>
      <c r="D136" s="203" t="s">
        <v>508</v>
      </c>
      <c r="E136" s="205">
        <v>3027</v>
      </c>
    </row>
    <row r="137" spans="1:5" x14ac:dyDescent="0.25">
      <c r="A137" s="202">
        <v>2023</v>
      </c>
      <c r="B137" s="203" t="s">
        <v>150</v>
      </c>
      <c r="C137" s="204" t="s">
        <v>150</v>
      </c>
      <c r="D137" s="203" t="s">
        <v>5</v>
      </c>
      <c r="E137" s="205">
        <v>1972</v>
      </c>
    </row>
    <row r="138" spans="1:5" x14ac:dyDescent="0.25">
      <c r="A138" s="202">
        <v>2023</v>
      </c>
      <c r="B138" s="203" t="s">
        <v>159</v>
      </c>
      <c r="C138" s="204" t="s">
        <v>159</v>
      </c>
      <c r="D138" s="203" t="s">
        <v>509</v>
      </c>
      <c r="E138" s="205">
        <v>0</v>
      </c>
    </row>
    <row r="139" spans="1:5" x14ac:dyDescent="0.25">
      <c r="A139" s="202">
        <v>2023</v>
      </c>
      <c r="B139" s="203" t="s">
        <v>160</v>
      </c>
      <c r="C139" s="204" t="s">
        <v>160</v>
      </c>
      <c r="D139" s="203" t="s">
        <v>510</v>
      </c>
      <c r="E139" s="205">
        <v>2398</v>
      </c>
    </row>
    <row r="140" spans="1:5" x14ac:dyDescent="0.25">
      <c r="A140" s="202">
        <v>2023</v>
      </c>
      <c r="B140" s="203" t="s">
        <v>161</v>
      </c>
      <c r="C140" s="204" t="s">
        <v>161</v>
      </c>
      <c r="D140" s="203" t="s">
        <v>511</v>
      </c>
      <c r="E140" s="205">
        <v>6208</v>
      </c>
    </row>
    <row r="141" spans="1:5" x14ac:dyDescent="0.25">
      <c r="A141" s="202">
        <v>2023</v>
      </c>
      <c r="B141" s="203" t="s">
        <v>162</v>
      </c>
      <c r="C141" s="204" t="s">
        <v>162</v>
      </c>
      <c r="D141" s="203" t="s">
        <v>512</v>
      </c>
      <c r="E141" s="205">
        <v>2430</v>
      </c>
    </row>
    <row r="142" spans="1:5" x14ac:dyDescent="0.25">
      <c r="A142" s="202">
        <v>2023</v>
      </c>
      <c r="B142" s="203" t="s">
        <v>169</v>
      </c>
      <c r="C142" s="204" t="s">
        <v>169</v>
      </c>
      <c r="D142" s="203" t="s">
        <v>519</v>
      </c>
      <c r="E142" s="205">
        <v>3308</v>
      </c>
    </row>
    <row r="143" spans="1:5" x14ac:dyDescent="0.25">
      <c r="A143" s="202">
        <v>2023</v>
      </c>
      <c r="B143" s="203" t="s">
        <v>163</v>
      </c>
      <c r="C143" s="204" t="s">
        <v>163</v>
      </c>
      <c r="D143" s="203" t="s">
        <v>513</v>
      </c>
      <c r="E143" s="205">
        <v>351</v>
      </c>
    </row>
    <row r="144" spans="1:5" x14ac:dyDescent="0.25">
      <c r="A144" s="202">
        <v>2023</v>
      </c>
      <c r="B144" s="203" t="s">
        <v>164</v>
      </c>
      <c r="C144" s="204" t="s">
        <v>164</v>
      </c>
      <c r="D144" s="203" t="s">
        <v>514</v>
      </c>
      <c r="E144" s="205">
        <v>1121</v>
      </c>
    </row>
    <row r="145" spans="1:5" x14ac:dyDescent="0.25">
      <c r="A145" s="202">
        <v>2023</v>
      </c>
      <c r="B145" s="203" t="s">
        <v>165</v>
      </c>
      <c r="C145" s="204" t="s">
        <v>165</v>
      </c>
      <c r="D145" s="203" t="s">
        <v>515</v>
      </c>
      <c r="E145" s="205">
        <v>3355</v>
      </c>
    </row>
    <row r="146" spans="1:5" x14ac:dyDescent="0.25">
      <c r="A146" s="202">
        <v>2023</v>
      </c>
      <c r="B146" s="203" t="s">
        <v>166</v>
      </c>
      <c r="C146" s="204" t="s">
        <v>166</v>
      </c>
      <c r="D146" s="203" t="s">
        <v>516</v>
      </c>
      <c r="E146" s="205">
        <v>147637</v>
      </c>
    </row>
    <row r="147" spans="1:5" x14ac:dyDescent="0.25">
      <c r="A147" s="202">
        <v>2023</v>
      </c>
      <c r="B147" s="203" t="s">
        <v>167</v>
      </c>
      <c r="C147" s="204" t="s">
        <v>167</v>
      </c>
      <c r="D147" s="203" t="s">
        <v>517</v>
      </c>
      <c r="E147" s="205">
        <v>7023</v>
      </c>
    </row>
    <row r="148" spans="1:5" x14ac:dyDescent="0.25">
      <c r="A148" s="202">
        <v>2023</v>
      </c>
      <c r="B148" s="203" t="s">
        <v>168</v>
      </c>
      <c r="C148" s="204" t="s">
        <v>168</v>
      </c>
      <c r="D148" s="203" t="s">
        <v>518</v>
      </c>
      <c r="E148" s="205">
        <v>3037</v>
      </c>
    </row>
    <row r="149" spans="1:5" x14ac:dyDescent="0.25">
      <c r="A149" s="202">
        <v>2023</v>
      </c>
      <c r="B149" s="203" t="s">
        <v>170</v>
      </c>
      <c r="C149" s="204" t="s">
        <v>170</v>
      </c>
      <c r="D149" s="203" t="s">
        <v>520</v>
      </c>
      <c r="E149" s="205">
        <v>1157</v>
      </c>
    </row>
    <row r="150" spans="1:5" x14ac:dyDescent="0.25">
      <c r="A150" s="202">
        <v>2023</v>
      </c>
      <c r="B150" s="203" t="s">
        <v>172</v>
      </c>
      <c r="C150" s="204" t="s">
        <v>172</v>
      </c>
      <c r="D150" s="203" t="s">
        <v>522</v>
      </c>
      <c r="E150" s="205">
        <v>5412</v>
      </c>
    </row>
    <row r="151" spans="1:5" x14ac:dyDescent="0.25">
      <c r="A151" s="202">
        <v>2023</v>
      </c>
      <c r="B151" s="203" t="s">
        <v>173</v>
      </c>
      <c r="C151" s="204" t="s">
        <v>173</v>
      </c>
      <c r="D151" s="203" t="s">
        <v>523</v>
      </c>
      <c r="E151" s="205">
        <v>48176</v>
      </c>
    </row>
    <row r="152" spans="1:5" x14ac:dyDescent="0.25">
      <c r="A152" s="202">
        <v>2023</v>
      </c>
      <c r="B152" s="203" t="s">
        <v>174</v>
      </c>
      <c r="C152" s="204" t="s">
        <v>174</v>
      </c>
      <c r="D152" s="203" t="s">
        <v>524</v>
      </c>
      <c r="E152" s="205">
        <v>0</v>
      </c>
    </row>
    <row r="153" spans="1:5" x14ac:dyDescent="0.25">
      <c r="A153" s="202">
        <v>2023</v>
      </c>
      <c r="B153" s="203" t="s">
        <v>175</v>
      </c>
      <c r="C153" s="204" t="s">
        <v>175</v>
      </c>
      <c r="D153" s="203" t="s">
        <v>525</v>
      </c>
      <c r="E153" s="205">
        <v>1876</v>
      </c>
    </row>
    <row r="154" spans="1:5" x14ac:dyDescent="0.25">
      <c r="A154" s="202">
        <v>2023</v>
      </c>
      <c r="B154" s="203" t="s">
        <v>176</v>
      </c>
      <c r="C154" s="204" t="s">
        <v>176</v>
      </c>
      <c r="D154" s="203" t="s">
        <v>526</v>
      </c>
      <c r="E154" s="205">
        <v>2428</v>
      </c>
    </row>
    <row r="155" spans="1:5" x14ac:dyDescent="0.25">
      <c r="A155" s="202">
        <v>2023</v>
      </c>
      <c r="B155" s="203" t="s">
        <v>177</v>
      </c>
      <c r="C155" s="204" t="s">
        <v>177</v>
      </c>
      <c r="D155" s="203" t="s">
        <v>527</v>
      </c>
      <c r="E155" s="205">
        <v>689</v>
      </c>
    </row>
    <row r="156" spans="1:5" x14ac:dyDescent="0.25">
      <c r="A156" s="202">
        <v>2023</v>
      </c>
      <c r="B156" s="203" t="s">
        <v>178</v>
      </c>
      <c r="C156" s="204" t="s">
        <v>178</v>
      </c>
      <c r="D156" s="203" t="s">
        <v>528</v>
      </c>
      <c r="E156" s="205">
        <v>4655</v>
      </c>
    </row>
    <row r="157" spans="1:5" x14ac:dyDescent="0.25">
      <c r="A157" s="202">
        <v>2023</v>
      </c>
      <c r="B157" s="203" t="s">
        <v>179</v>
      </c>
      <c r="C157" s="204" t="s">
        <v>179</v>
      </c>
      <c r="D157" s="203" t="s">
        <v>529</v>
      </c>
      <c r="E157" s="205">
        <v>0</v>
      </c>
    </row>
    <row r="158" spans="1:5" x14ac:dyDescent="0.25">
      <c r="A158" s="202">
        <v>2023</v>
      </c>
      <c r="B158" s="203" t="s">
        <v>180</v>
      </c>
      <c r="C158" s="204" t="s">
        <v>180</v>
      </c>
      <c r="D158" s="203" t="s">
        <v>530</v>
      </c>
      <c r="E158" s="205">
        <v>3937</v>
      </c>
    </row>
    <row r="159" spans="1:5" x14ac:dyDescent="0.25">
      <c r="A159" s="202">
        <v>2023</v>
      </c>
      <c r="B159" s="203" t="s">
        <v>181</v>
      </c>
      <c r="C159" s="204" t="s">
        <v>181</v>
      </c>
      <c r="D159" s="203" t="s">
        <v>531</v>
      </c>
      <c r="E159" s="205">
        <v>1918</v>
      </c>
    </row>
    <row r="160" spans="1:5" x14ac:dyDescent="0.25">
      <c r="A160" s="202">
        <v>2023</v>
      </c>
      <c r="B160" s="203" t="s">
        <v>183</v>
      </c>
      <c r="C160" s="204" t="s">
        <v>183</v>
      </c>
      <c r="D160" s="203" t="s">
        <v>533</v>
      </c>
      <c r="E160" s="205">
        <v>0</v>
      </c>
    </row>
    <row r="161" spans="1:5" x14ac:dyDescent="0.25">
      <c r="A161" s="202">
        <v>2023</v>
      </c>
      <c r="B161" s="203" t="s">
        <v>184</v>
      </c>
      <c r="C161" s="204" t="s">
        <v>184</v>
      </c>
      <c r="D161" s="203" t="s">
        <v>534</v>
      </c>
      <c r="E161" s="205">
        <v>3642</v>
      </c>
    </row>
    <row r="162" spans="1:5" x14ac:dyDescent="0.25">
      <c r="A162" s="202">
        <v>2023</v>
      </c>
      <c r="B162" s="203" t="s">
        <v>185</v>
      </c>
      <c r="C162" s="204" t="s">
        <v>185</v>
      </c>
      <c r="D162" s="203" t="s">
        <v>535</v>
      </c>
      <c r="E162" s="205">
        <v>0</v>
      </c>
    </row>
    <row r="163" spans="1:5" x14ac:dyDescent="0.25">
      <c r="A163" s="202">
        <v>2023</v>
      </c>
      <c r="B163" s="203" t="s">
        <v>187</v>
      </c>
      <c r="C163" s="204" t="s">
        <v>187</v>
      </c>
      <c r="D163" s="203" t="s">
        <v>537</v>
      </c>
      <c r="E163" s="205">
        <v>61887</v>
      </c>
    </row>
    <row r="164" spans="1:5" x14ac:dyDescent="0.25">
      <c r="A164" s="202">
        <v>2023</v>
      </c>
      <c r="B164" s="203" t="s">
        <v>188</v>
      </c>
      <c r="C164" s="204" t="s">
        <v>188</v>
      </c>
      <c r="D164" s="203" t="s">
        <v>538</v>
      </c>
      <c r="E164" s="205">
        <v>3185</v>
      </c>
    </row>
    <row r="165" spans="1:5" x14ac:dyDescent="0.25">
      <c r="A165" s="202">
        <v>2023</v>
      </c>
      <c r="B165" s="203" t="s">
        <v>189</v>
      </c>
      <c r="C165" s="204" t="s">
        <v>189</v>
      </c>
      <c r="D165" s="203" t="s">
        <v>539</v>
      </c>
      <c r="E165" s="205">
        <v>4228</v>
      </c>
    </row>
    <row r="166" spans="1:5" x14ac:dyDescent="0.25">
      <c r="A166" s="202">
        <v>2023</v>
      </c>
      <c r="B166" s="203" t="s">
        <v>190</v>
      </c>
      <c r="C166" s="204" t="s">
        <v>190</v>
      </c>
      <c r="D166" s="203" t="s">
        <v>540</v>
      </c>
      <c r="E166" s="205">
        <v>571</v>
      </c>
    </row>
    <row r="167" spans="1:5" x14ac:dyDescent="0.25">
      <c r="A167" s="202">
        <v>2023</v>
      </c>
      <c r="B167" s="203" t="s">
        <v>191</v>
      </c>
      <c r="C167" s="204" t="s">
        <v>191</v>
      </c>
      <c r="D167" s="203" t="s">
        <v>541</v>
      </c>
      <c r="E167" s="205">
        <v>0</v>
      </c>
    </row>
    <row r="168" spans="1:5" x14ac:dyDescent="0.25">
      <c r="A168" s="202">
        <v>2023</v>
      </c>
      <c r="B168" s="203" t="s">
        <v>192</v>
      </c>
      <c r="C168" s="204" t="s">
        <v>192</v>
      </c>
      <c r="D168" s="203" t="s">
        <v>542</v>
      </c>
      <c r="E168" s="205">
        <v>3027</v>
      </c>
    </row>
    <row r="169" spans="1:5" x14ac:dyDescent="0.25">
      <c r="A169" s="202">
        <v>2023</v>
      </c>
      <c r="B169" s="203" t="s">
        <v>193</v>
      </c>
      <c r="C169" s="204" t="s">
        <v>193</v>
      </c>
      <c r="D169" s="203" t="s">
        <v>543</v>
      </c>
      <c r="E169" s="205">
        <v>2331</v>
      </c>
    </row>
    <row r="170" spans="1:5" x14ac:dyDescent="0.25">
      <c r="A170" s="202">
        <v>2023</v>
      </c>
      <c r="B170" s="203" t="s">
        <v>194</v>
      </c>
      <c r="C170" s="204" t="s">
        <v>194</v>
      </c>
      <c r="D170" s="203" t="s">
        <v>544</v>
      </c>
      <c r="E170" s="205">
        <v>82</v>
      </c>
    </row>
    <row r="171" spans="1:5" x14ac:dyDescent="0.25">
      <c r="A171" s="202">
        <v>2023</v>
      </c>
      <c r="B171" s="203" t="s">
        <v>196</v>
      </c>
      <c r="C171" s="204" t="s">
        <v>196</v>
      </c>
      <c r="D171" s="203" t="s">
        <v>546</v>
      </c>
      <c r="E171" s="205">
        <v>1477</v>
      </c>
    </row>
    <row r="172" spans="1:5" x14ac:dyDescent="0.25">
      <c r="A172" s="202">
        <v>2023</v>
      </c>
      <c r="B172" s="203" t="s">
        <v>197</v>
      </c>
      <c r="C172" s="204" t="s">
        <v>197</v>
      </c>
      <c r="D172" s="203" t="s">
        <v>547</v>
      </c>
      <c r="E172" s="205">
        <v>1276</v>
      </c>
    </row>
    <row r="173" spans="1:5" x14ac:dyDescent="0.25">
      <c r="A173" s="202">
        <v>2023</v>
      </c>
      <c r="B173" s="203" t="s">
        <v>198</v>
      </c>
      <c r="C173" s="204" t="s">
        <v>198</v>
      </c>
      <c r="D173" s="203" t="s">
        <v>548</v>
      </c>
      <c r="E173" s="205">
        <v>4347</v>
      </c>
    </row>
    <row r="174" spans="1:5" x14ac:dyDescent="0.25">
      <c r="A174" s="202">
        <v>2023</v>
      </c>
      <c r="B174" s="203" t="s">
        <v>199</v>
      </c>
      <c r="C174" s="204" t="s">
        <v>199</v>
      </c>
      <c r="D174" s="203" t="s">
        <v>549</v>
      </c>
      <c r="E174" s="205">
        <v>3674</v>
      </c>
    </row>
    <row r="175" spans="1:5" x14ac:dyDescent="0.25">
      <c r="A175" s="202">
        <v>2023</v>
      </c>
      <c r="B175" s="203" t="s">
        <v>200</v>
      </c>
      <c r="C175" s="204" t="s">
        <v>200</v>
      </c>
      <c r="D175" s="203" t="s">
        <v>550</v>
      </c>
      <c r="E175" s="205">
        <v>1984</v>
      </c>
    </row>
    <row r="176" spans="1:5" x14ac:dyDescent="0.25">
      <c r="A176" s="202">
        <v>2023</v>
      </c>
      <c r="B176" s="203" t="s">
        <v>201</v>
      </c>
      <c r="C176" s="204" t="s">
        <v>201</v>
      </c>
      <c r="D176" s="203" t="s">
        <v>551</v>
      </c>
      <c r="E176" s="205">
        <v>344</v>
      </c>
    </row>
    <row r="177" spans="1:5" x14ac:dyDescent="0.25">
      <c r="A177" s="202">
        <v>2023</v>
      </c>
      <c r="B177" s="203" t="s">
        <v>202</v>
      </c>
      <c r="C177" s="204" t="s">
        <v>202</v>
      </c>
      <c r="D177" s="203" t="s">
        <v>552</v>
      </c>
      <c r="E177" s="205">
        <v>13710</v>
      </c>
    </row>
    <row r="178" spans="1:5" x14ac:dyDescent="0.25">
      <c r="A178" s="202">
        <v>2023</v>
      </c>
      <c r="B178" s="203" t="s">
        <v>203</v>
      </c>
      <c r="C178" s="204" t="s">
        <v>203</v>
      </c>
      <c r="D178" s="203" t="s">
        <v>553</v>
      </c>
      <c r="E178" s="205">
        <v>1358</v>
      </c>
    </row>
    <row r="179" spans="1:5" x14ac:dyDescent="0.25">
      <c r="A179" s="202">
        <v>2023</v>
      </c>
      <c r="B179" s="203" t="s">
        <v>204</v>
      </c>
      <c r="C179" s="204" t="s">
        <v>204</v>
      </c>
      <c r="D179" s="203" t="s">
        <v>554</v>
      </c>
      <c r="E179" s="205">
        <v>57227</v>
      </c>
    </row>
    <row r="180" spans="1:5" x14ac:dyDescent="0.25">
      <c r="A180" s="202">
        <v>2023</v>
      </c>
      <c r="B180" s="203" t="s">
        <v>206</v>
      </c>
      <c r="C180" s="204" t="s">
        <v>206</v>
      </c>
      <c r="D180" s="203" t="s">
        <v>556</v>
      </c>
      <c r="E180" s="205">
        <v>3647</v>
      </c>
    </row>
    <row r="181" spans="1:5" x14ac:dyDescent="0.25">
      <c r="A181" s="202">
        <v>2023</v>
      </c>
      <c r="B181" s="203" t="s">
        <v>207</v>
      </c>
      <c r="C181" s="204" t="s">
        <v>207</v>
      </c>
      <c r="D181" s="203" t="s">
        <v>557</v>
      </c>
      <c r="E181" s="205">
        <v>0</v>
      </c>
    </row>
    <row r="182" spans="1:5" x14ac:dyDescent="0.25">
      <c r="A182" s="202">
        <v>2023</v>
      </c>
      <c r="B182" s="203" t="s">
        <v>211</v>
      </c>
      <c r="C182" s="204" t="s">
        <v>211</v>
      </c>
      <c r="D182" s="203" t="s">
        <v>561</v>
      </c>
      <c r="E182" s="205">
        <v>7560</v>
      </c>
    </row>
    <row r="183" spans="1:5" x14ac:dyDescent="0.25">
      <c r="A183" s="202">
        <v>2023</v>
      </c>
      <c r="B183" s="203" t="s">
        <v>208</v>
      </c>
      <c r="C183" s="204" t="s">
        <v>208</v>
      </c>
      <c r="D183" s="203" t="s">
        <v>558</v>
      </c>
      <c r="E183" s="205">
        <v>5379</v>
      </c>
    </row>
    <row r="184" spans="1:5" x14ac:dyDescent="0.25">
      <c r="A184" s="202">
        <v>2023</v>
      </c>
      <c r="B184" s="203" t="s">
        <v>209</v>
      </c>
      <c r="C184" s="204" t="s">
        <v>209</v>
      </c>
      <c r="D184" s="203" t="s">
        <v>559</v>
      </c>
      <c r="E184" s="205">
        <v>1029</v>
      </c>
    </row>
    <row r="185" spans="1:5" x14ac:dyDescent="0.25">
      <c r="A185" s="202">
        <v>2023</v>
      </c>
      <c r="B185" s="203" t="s">
        <v>210</v>
      </c>
      <c r="C185" s="204" t="s">
        <v>210</v>
      </c>
      <c r="D185" s="203" t="s">
        <v>560</v>
      </c>
      <c r="E185" s="205">
        <v>4601</v>
      </c>
    </row>
    <row r="186" spans="1:5" x14ac:dyDescent="0.25">
      <c r="A186" s="202">
        <v>2023</v>
      </c>
      <c r="B186" s="203" t="s">
        <v>205</v>
      </c>
      <c r="C186" s="204" t="s">
        <v>205</v>
      </c>
      <c r="D186" s="203" t="s">
        <v>555</v>
      </c>
      <c r="E186" s="205">
        <v>0</v>
      </c>
    </row>
    <row r="187" spans="1:5" x14ac:dyDescent="0.25">
      <c r="A187" s="202">
        <v>2023</v>
      </c>
      <c r="B187" s="203" t="s">
        <v>212</v>
      </c>
      <c r="C187" s="204" t="s">
        <v>212</v>
      </c>
      <c r="D187" s="203" t="s">
        <v>562</v>
      </c>
      <c r="E187" s="205">
        <v>0</v>
      </c>
    </row>
    <row r="188" spans="1:5" x14ac:dyDescent="0.25">
      <c r="A188" s="202">
        <v>2023</v>
      </c>
      <c r="B188" s="203" t="s">
        <v>213</v>
      </c>
      <c r="C188" s="204" t="s">
        <v>213</v>
      </c>
      <c r="D188" s="203" t="s">
        <v>563</v>
      </c>
      <c r="E188" s="205">
        <v>4258</v>
      </c>
    </row>
    <row r="189" spans="1:5" x14ac:dyDescent="0.25">
      <c r="A189" s="202">
        <v>2023</v>
      </c>
      <c r="B189" s="203" t="s">
        <v>214</v>
      </c>
      <c r="C189" s="204" t="s">
        <v>214</v>
      </c>
      <c r="D189" s="203" t="s">
        <v>564</v>
      </c>
      <c r="E189" s="205">
        <v>743</v>
      </c>
    </row>
    <row r="190" spans="1:5" x14ac:dyDescent="0.25">
      <c r="A190" s="202">
        <v>2023</v>
      </c>
      <c r="B190" s="203" t="s">
        <v>215</v>
      </c>
      <c r="C190" s="204" t="s">
        <v>215</v>
      </c>
      <c r="D190" s="203" t="s">
        <v>565</v>
      </c>
      <c r="E190" s="205">
        <v>200</v>
      </c>
    </row>
    <row r="191" spans="1:5" x14ac:dyDescent="0.25">
      <c r="A191" s="202">
        <v>2023</v>
      </c>
      <c r="B191" s="203" t="s">
        <v>216</v>
      </c>
      <c r="C191" s="204" t="s">
        <v>216</v>
      </c>
      <c r="D191" s="203" t="s">
        <v>566</v>
      </c>
      <c r="E191" s="205">
        <v>2294</v>
      </c>
    </row>
    <row r="192" spans="1:5" x14ac:dyDescent="0.25">
      <c r="A192" s="202">
        <v>2023</v>
      </c>
      <c r="B192" s="203" t="s">
        <v>217</v>
      </c>
      <c r="C192" s="204" t="s">
        <v>217</v>
      </c>
      <c r="D192" s="203" t="s">
        <v>567</v>
      </c>
      <c r="E192" s="205">
        <v>0</v>
      </c>
    </row>
    <row r="193" spans="1:5" x14ac:dyDescent="0.25">
      <c r="A193" s="202">
        <v>2023</v>
      </c>
      <c r="B193" s="203" t="s">
        <v>218</v>
      </c>
      <c r="C193" s="204" t="s">
        <v>218</v>
      </c>
      <c r="D193" s="203" t="s">
        <v>568</v>
      </c>
      <c r="E193" s="205">
        <v>605</v>
      </c>
    </row>
    <row r="194" spans="1:5" x14ac:dyDescent="0.25">
      <c r="A194" s="202">
        <v>2023</v>
      </c>
      <c r="B194" s="203" t="s">
        <v>219</v>
      </c>
      <c r="C194" s="204" t="s">
        <v>219</v>
      </c>
      <c r="D194" s="203" t="s">
        <v>569</v>
      </c>
      <c r="E194" s="205">
        <v>0</v>
      </c>
    </row>
    <row r="195" spans="1:5" x14ac:dyDescent="0.25">
      <c r="A195" s="202">
        <v>2023</v>
      </c>
      <c r="B195" s="203" t="s">
        <v>220</v>
      </c>
      <c r="C195" s="204" t="s">
        <v>220</v>
      </c>
      <c r="D195" s="203" t="s">
        <v>570</v>
      </c>
      <c r="E195" s="205">
        <v>7084</v>
      </c>
    </row>
    <row r="196" spans="1:5" x14ac:dyDescent="0.25">
      <c r="A196" s="202">
        <v>2023</v>
      </c>
      <c r="B196" s="203" t="s">
        <v>221</v>
      </c>
      <c r="C196" s="204" t="s">
        <v>221</v>
      </c>
      <c r="D196" s="203" t="s">
        <v>571</v>
      </c>
      <c r="E196" s="205">
        <v>0</v>
      </c>
    </row>
    <row r="197" spans="1:5" x14ac:dyDescent="0.25">
      <c r="A197" s="202">
        <v>2023</v>
      </c>
      <c r="B197" s="203" t="s">
        <v>222</v>
      </c>
      <c r="C197" s="204" t="s">
        <v>222</v>
      </c>
      <c r="D197" s="203" t="s">
        <v>572</v>
      </c>
      <c r="E197" s="205">
        <v>10808</v>
      </c>
    </row>
    <row r="198" spans="1:5" x14ac:dyDescent="0.25">
      <c r="A198" s="202">
        <v>2023</v>
      </c>
      <c r="B198" s="203" t="s">
        <v>223</v>
      </c>
      <c r="C198" s="204" t="s">
        <v>223</v>
      </c>
      <c r="D198" s="203" t="s">
        <v>573</v>
      </c>
      <c r="E198" s="205">
        <v>0</v>
      </c>
    </row>
    <row r="199" spans="1:5" x14ac:dyDescent="0.25">
      <c r="A199" s="202">
        <v>2023</v>
      </c>
      <c r="B199" s="203" t="s">
        <v>224</v>
      </c>
      <c r="C199" s="204" t="s">
        <v>224</v>
      </c>
      <c r="D199" s="203" t="s">
        <v>574</v>
      </c>
      <c r="E199" s="205">
        <v>7013</v>
      </c>
    </row>
    <row r="200" spans="1:5" x14ac:dyDescent="0.25">
      <c r="A200" s="202">
        <v>2023</v>
      </c>
      <c r="B200" s="203" t="s">
        <v>226</v>
      </c>
      <c r="C200" s="204" t="s">
        <v>226</v>
      </c>
      <c r="D200" s="203" t="s">
        <v>576</v>
      </c>
      <c r="E200" s="205">
        <v>6291</v>
      </c>
    </row>
    <row r="201" spans="1:5" x14ac:dyDescent="0.25">
      <c r="A201" s="202">
        <v>2023</v>
      </c>
      <c r="B201" s="203" t="s">
        <v>227</v>
      </c>
      <c r="C201" s="204" t="s">
        <v>227</v>
      </c>
      <c r="D201" s="203" t="s">
        <v>577</v>
      </c>
      <c r="E201" s="205">
        <v>2194</v>
      </c>
    </row>
    <row r="202" spans="1:5" x14ac:dyDescent="0.25">
      <c r="A202" s="202">
        <v>2023</v>
      </c>
      <c r="B202" s="203" t="s">
        <v>225</v>
      </c>
      <c r="C202" s="204" t="s">
        <v>225</v>
      </c>
      <c r="D202" s="203" t="s">
        <v>575</v>
      </c>
      <c r="E202" s="205">
        <v>2334</v>
      </c>
    </row>
    <row r="203" spans="1:5" x14ac:dyDescent="0.25">
      <c r="A203" s="202">
        <v>2023</v>
      </c>
      <c r="B203" s="203" t="s">
        <v>228</v>
      </c>
      <c r="C203" s="204" t="s">
        <v>228</v>
      </c>
      <c r="D203" s="203" t="s">
        <v>578</v>
      </c>
      <c r="E203" s="205">
        <v>0</v>
      </c>
    </row>
    <row r="204" spans="1:5" x14ac:dyDescent="0.25">
      <c r="A204" s="202">
        <v>2023</v>
      </c>
      <c r="B204" s="203" t="s">
        <v>143</v>
      </c>
      <c r="C204" s="204" t="s">
        <v>143</v>
      </c>
      <c r="D204" s="203" t="s">
        <v>496</v>
      </c>
      <c r="E204" s="205">
        <v>3500</v>
      </c>
    </row>
    <row r="205" spans="1:5" x14ac:dyDescent="0.25">
      <c r="A205" s="202">
        <v>2023</v>
      </c>
      <c r="B205" s="203" t="s">
        <v>29</v>
      </c>
      <c r="C205" s="204" t="s">
        <v>29</v>
      </c>
      <c r="D205" s="203" t="s">
        <v>389</v>
      </c>
      <c r="E205" s="205">
        <v>2599</v>
      </c>
    </row>
    <row r="206" spans="1:5" x14ac:dyDescent="0.25">
      <c r="A206" s="202">
        <v>2023</v>
      </c>
      <c r="B206" s="203" t="s">
        <v>186</v>
      </c>
      <c r="C206" s="204" t="s">
        <v>186</v>
      </c>
      <c r="D206" s="203" t="s">
        <v>536</v>
      </c>
      <c r="E206" s="205">
        <v>4149</v>
      </c>
    </row>
    <row r="207" spans="1:5" x14ac:dyDescent="0.25">
      <c r="A207" s="202">
        <v>2023</v>
      </c>
      <c r="B207" s="203" t="s">
        <v>231</v>
      </c>
      <c r="C207" s="204" t="s">
        <v>231</v>
      </c>
      <c r="D207" s="203" t="s">
        <v>799</v>
      </c>
      <c r="E207" s="205">
        <v>4866</v>
      </c>
    </row>
    <row r="208" spans="1:5" x14ac:dyDescent="0.25">
      <c r="A208" s="202">
        <v>2023</v>
      </c>
      <c r="B208" s="203" t="s">
        <v>59</v>
      </c>
      <c r="C208" s="204" t="s">
        <v>59</v>
      </c>
      <c r="D208" s="203" t="s">
        <v>414</v>
      </c>
      <c r="E208" s="205">
        <v>2407</v>
      </c>
    </row>
    <row r="209" spans="1:5" x14ac:dyDescent="0.25">
      <c r="A209" s="202">
        <v>2023</v>
      </c>
      <c r="B209" s="203" t="s">
        <v>235</v>
      </c>
      <c r="C209" s="204" t="s">
        <v>235</v>
      </c>
      <c r="D209" s="203" t="s">
        <v>583</v>
      </c>
      <c r="E209" s="205">
        <v>4346</v>
      </c>
    </row>
    <row r="210" spans="1:5" x14ac:dyDescent="0.25">
      <c r="A210" s="202">
        <v>2023</v>
      </c>
      <c r="B210" s="203" t="s">
        <v>234</v>
      </c>
      <c r="C210" s="204" t="s">
        <v>234</v>
      </c>
      <c r="D210" s="203" t="s">
        <v>582</v>
      </c>
      <c r="E210" s="205">
        <v>1599</v>
      </c>
    </row>
    <row r="211" spans="1:5" x14ac:dyDescent="0.25">
      <c r="A211" s="202">
        <v>2023</v>
      </c>
      <c r="B211" s="203" t="s">
        <v>233</v>
      </c>
      <c r="C211" s="204" t="s">
        <v>233</v>
      </c>
      <c r="D211" s="203" t="s">
        <v>581</v>
      </c>
      <c r="E211" s="205">
        <v>2733</v>
      </c>
    </row>
    <row r="212" spans="1:5" x14ac:dyDescent="0.25">
      <c r="A212" s="202">
        <v>2023</v>
      </c>
      <c r="B212" s="203" t="s">
        <v>236</v>
      </c>
      <c r="C212" s="204" t="s">
        <v>236</v>
      </c>
      <c r="D212" s="203" t="s">
        <v>584</v>
      </c>
      <c r="E212" s="205">
        <v>16449</v>
      </c>
    </row>
    <row r="213" spans="1:5" x14ac:dyDescent="0.25">
      <c r="A213" s="202">
        <v>2023</v>
      </c>
      <c r="B213" s="203" t="s">
        <v>237</v>
      </c>
      <c r="C213" s="204" t="s">
        <v>237</v>
      </c>
      <c r="D213" s="203" t="s">
        <v>585</v>
      </c>
      <c r="E213" s="205">
        <v>6717</v>
      </c>
    </row>
    <row r="214" spans="1:5" x14ac:dyDescent="0.25">
      <c r="A214" s="202">
        <v>2023</v>
      </c>
      <c r="B214" s="203" t="s">
        <v>238</v>
      </c>
      <c r="C214" s="204" t="s">
        <v>238</v>
      </c>
      <c r="D214" s="203" t="s">
        <v>586</v>
      </c>
      <c r="E214" s="205">
        <v>1412</v>
      </c>
    </row>
    <row r="215" spans="1:5" x14ac:dyDescent="0.25">
      <c r="A215" s="202">
        <v>2023</v>
      </c>
      <c r="B215" s="203" t="s">
        <v>36</v>
      </c>
      <c r="C215" s="204" t="s">
        <v>36</v>
      </c>
      <c r="D215" s="203" t="s">
        <v>395</v>
      </c>
      <c r="E215" s="205">
        <v>0</v>
      </c>
    </row>
    <row r="216" spans="1:5" x14ac:dyDescent="0.25">
      <c r="A216" s="202">
        <v>2023</v>
      </c>
      <c r="B216" s="203" t="s">
        <v>230</v>
      </c>
      <c r="C216" s="204" t="s">
        <v>230</v>
      </c>
      <c r="D216" s="203" t="s">
        <v>580</v>
      </c>
      <c r="E216" s="205">
        <v>5285</v>
      </c>
    </row>
    <row r="217" spans="1:5" x14ac:dyDescent="0.25">
      <c r="A217" s="202">
        <v>2023</v>
      </c>
      <c r="B217" s="203" t="s">
        <v>240</v>
      </c>
      <c r="C217" s="204" t="s">
        <v>240</v>
      </c>
      <c r="D217" s="203" t="s">
        <v>587</v>
      </c>
      <c r="E217" s="205">
        <v>0</v>
      </c>
    </row>
    <row r="218" spans="1:5" x14ac:dyDescent="0.25">
      <c r="A218" s="202">
        <v>2023</v>
      </c>
      <c r="B218" s="203" t="s">
        <v>241</v>
      </c>
      <c r="C218" s="204" t="s">
        <v>241</v>
      </c>
      <c r="D218" s="203" t="s">
        <v>588</v>
      </c>
      <c r="E218" s="205">
        <v>17079</v>
      </c>
    </row>
    <row r="219" spans="1:5" x14ac:dyDescent="0.25">
      <c r="A219" s="202">
        <v>2023</v>
      </c>
      <c r="B219" s="203" t="s">
        <v>243</v>
      </c>
      <c r="C219" s="204" t="s">
        <v>243</v>
      </c>
      <c r="D219" s="203" t="s">
        <v>814</v>
      </c>
      <c r="E219" s="205">
        <v>0</v>
      </c>
    </row>
    <row r="220" spans="1:5" x14ac:dyDescent="0.25">
      <c r="A220" s="202">
        <v>2023</v>
      </c>
      <c r="B220" s="203" t="s">
        <v>244</v>
      </c>
      <c r="C220" s="204" t="s">
        <v>244</v>
      </c>
      <c r="D220" s="203" t="s">
        <v>590</v>
      </c>
      <c r="E220" s="205">
        <v>1139</v>
      </c>
    </row>
    <row r="221" spans="1:5" x14ac:dyDescent="0.25">
      <c r="A221" s="202">
        <v>2023</v>
      </c>
      <c r="B221" s="203" t="s">
        <v>245</v>
      </c>
      <c r="C221" s="204" t="s">
        <v>245</v>
      </c>
      <c r="D221" s="203" t="s">
        <v>591</v>
      </c>
      <c r="E221" s="205">
        <v>549</v>
      </c>
    </row>
    <row r="222" spans="1:5" x14ac:dyDescent="0.25">
      <c r="A222" s="202">
        <v>2023</v>
      </c>
      <c r="B222" s="203" t="s">
        <v>246</v>
      </c>
      <c r="C222" s="204" t="s">
        <v>246</v>
      </c>
      <c r="D222" s="203" t="s">
        <v>592</v>
      </c>
      <c r="E222" s="205">
        <v>7791</v>
      </c>
    </row>
    <row r="223" spans="1:5" x14ac:dyDescent="0.25">
      <c r="A223" s="202">
        <v>2023</v>
      </c>
      <c r="B223" s="203" t="s">
        <v>247</v>
      </c>
      <c r="C223" s="204" t="s">
        <v>247</v>
      </c>
      <c r="D223" s="203" t="s">
        <v>593</v>
      </c>
      <c r="E223" s="205">
        <v>2140</v>
      </c>
    </row>
    <row r="224" spans="1:5" x14ac:dyDescent="0.25">
      <c r="A224" s="202">
        <v>2023</v>
      </c>
      <c r="B224" s="203" t="s">
        <v>248</v>
      </c>
      <c r="C224" s="204" t="s">
        <v>248</v>
      </c>
      <c r="D224" s="203" t="s">
        <v>594</v>
      </c>
      <c r="E224" s="205">
        <v>2990</v>
      </c>
    </row>
    <row r="225" spans="1:5" x14ac:dyDescent="0.25">
      <c r="A225" s="202">
        <v>2023</v>
      </c>
      <c r="B225" s="203" t="s">
        <v>249</v>
      </c>
      <c r="C225" s="204" t="s">
        <v>249</v>
      </c>
      <c r="D225" s="203" t="s">
        <v>595</v>
      </c>
      <c r="E225" s="205">
        <v>3937</v>
      </c>
    </row>
    <row r="226" spans="1:5" x14ac:dyDescent="0.25">
      <c r="A226" s="202">
        <v>2023</v>
      </c>
      <c r="B226" s="203" t="s">
        <v>250</v>
      </c>
      <c r="C226" s="204" t="s">
        <v>250</v>
      </c>
      <c r="D226" s="203" t="s">
        <v>596</v>
      </c>
      <c r="E226" s="205">
        <v>0</v>
      </c>
    </row>
    <row r="227" spans="1:5" x14ac:dyDescent="0.25">
      <c r="A227" s="202">
        <v>2023</v>
      </c>
      <c r="B227" s="203" t="s">
        <v>251</v>
      </c>
      <c r="C227" s="204" t="s">
        <v>251</v>
      </c>
      <c r="D227" s="203" t="s">
        <v>597</v>
      </c>
      <c r="E227" s="205">
        <v>0</v>
      </c>
    </row>
    <row r="228" spans="1:5" x14ac:dyDescent="0.25">
      <c r="A228" s="202">
        <v>2023</v>
      </c>
      <c r="B228" s="203" t="s">
        <v>252</v>
      </c>
      <c r="C228" s="204" t="s">
        <v>252</v>
      </c>
      <c r="D228" s="203" t="s">
        <v>598</v>
      </c>
      <c r="E228" s="205">
        <v>8089</v>
      </c>
    </row>
    <row r="229" spans="1:5" x14ac:dyDescent="0.25">
      <c r="A229" s="202">
        <v>2023</v>
      </c>
      <c r="B229" s="203" t="s">
        <v>253</v>
      </c>
      <c r="C229" s="204" t="s">
        <v>253</v>
      </c>
      <c r="D229" s="203" t="s">
        <v>599</v>
      </c>
      <c r="E229" s="205">
        <v>971</v>
      </c>
    </row>
    <row r="230" spans="1:5" x14ac:dyDescent="0.25">
      <c r="A230" s="202">
        <v>2023</v>
      </c>
      <c r="B230" s="203" t="s">
        <v>262</v>
      </c>
      <c r="C230" s="204" t="s">
        <v>699</v>
      </c>
      <c r="D230" s="203" t="s">
        <v>6</v>
      </c>
      <c r="E230" s="205">
        <v>6560</v>
      </c>
    </row>
    <row r="231" spans="1:5" x14ac:dyDescent="0.25">
      <c r="A231" s="202">
        <v>2023</v>
      </c>
      <c r="B231" s="203" t="s">
        <v>255</v>
      </c>
      <c r="C231" s="204" t="s">
        <v>255</v>
      </c>
      <c r="D231" s="203" t="s">
        <v>601</v>
      </c>
      <c r="E231" s="205">
        <v>5720</v>
      </c>
    </row>
    <row r="232" spans="1:5" x14ac:dyDescent="0.25">
      <c r="A232" s="202">
        <v>2023</v>
      </c>
      <c r="B232" s="203" t="s">
        <v>256</v>
      </c>
      <c r="C232" s="204" t="s">
        <v>256</v>
      </c>
      <c r="D232" s="203" t="s">
        <v>602</v>
      </c>
      <c r="E232" s="205">
        <v>9242</v>
      </c>
    </row>
    <row r="233" spans="1:5" x14ac:dyDescent="0.25">
      <c r="A233" s="202">
        <v>2023</v>
      </c>
      <c r="B233" s="203" t="s">
        <v>257</v>
      </c>
      <c r="C233" s="204" t="s">
        <v>257</v>
      </c>
      <c r="D233" s="203" t="s">
        <v>603</v>
      </c>
      <c r="E233" s="205">
        <v>15042</v>
      </c>
    </row>
    <row r="234" spans="1:5" x14ac:dyDescent="0.25">
      <c r="A234" s="202">
        <v>2023</v>
      </c>
      <c r="B234" s="203" t="s">
        <v>258</v>
      </c>
      <c r="C234" s="204" t="s">
        <v>258</v>
      </c>
      <c r="D234" s="203" t="s">
        <v>604</v>
      </c>
      <c r="E234" s="205">
        <v>19805</v>
      </c>
    </row>
    <row r="235" spans="1:5" x14ac:dyDescent="0.25">
      <c r="A235" s="202">
        <v>2023</v>
      </c>
      <c r="B235" s="203" t="s">
        <v>259</v>
      </c>
      <c r="C235" s="204" t="s">
        <v>259</v>
      </c>
      <c r="D235" s="203" t="s">
        <v>605</v>
      </c>
      <c r="E235" s="205">
        <v>3606</v>
      </c>
    </row>
    <row r="236" spans="1:5" x14ac:dyDescent="0.25">
      <c r="A236" s="202">
        <v>2023</v>
      </c>
      <c r="B236" s="203" t="s">
        <v>260</v>
      </c>
      <c r="C236" s="204" t="s">
        <v>260</v>
      </c>
      <c r="D236" s="203" t="s">
        <v>606</v>
      </c>
      <c r="E236" s="205">
        <v>4727</v>
      </c>
    </row>
    <row r="237" spans="1:5" x14ac:dyDescent="0.25">
      <c r="A237" s="202">
        <v>2023</v>
      </c>
      <c r="B237" s="203" t="s">
        <v>261</v>
      </c>
      <c r="C237" s="204" t="s">
        <v>261</v>
      </c>
      <c r="D237" s="203" t="s">
        <v>607</v>
      </c>
      <c r="E237" s="205">
        <v>3425</v>
      </c>
    </row>
    <row r="238" spans="1:5" x14ac:dyDescent="0.25">
      <c r="A238" s="202">
        <v>2023</v>
      </c>
      <c r="B238" s="203" t="s">
        <v>263</v>
      </c>
      <c r="C238" s="204" t="s">
        <v>700</v>
      </c>
      <c r="D238" s="203" t="s">
        <v>608</v>
      </c>
      <c r="E238" s="205">
        <v>2774</v>
      </c>
    </row>
    <row r="239" spans="1:5" x14ac:dyDescent="0.25">
      <c r="A239" s="202">
        <v>2023</v>
      </c>
      <c r="B239" s="203" t="s">
        <v>264</v>
      </c>
      <c r="C239" s="204" t="s">
        <v>264</v>
      </c>
      <c r="D239" s="203" t="s">
        <v>609</v>
      </c>
      <c r="E239" s="205">
        <v>0</v>
      </c>
    </row>
    <row r="240" spans="1:5" x14ac:dyDescent="0.25">
      <c r="A240" s="202">
        <v>2023</v>
      </c>
      <c r="B240" s="203" t="s">
        <v>265</v>
      </c>
      <c r="C240" s="204" t="s">
        <v>265</v>
      </c>
      <c r="D240" s="203" t="s">
        <v>610</v>
      </c>
      <c r="E240" s="205">
        <v>2268</v>
      </c>
    </row>
    <row r="241" spans="1:5" x14ac:dyDescent="0.25">
      <c r="A241" s="202">
        <v>2023</v>
      </c>
      <c r="B241" s="203" t="s">
        <v>266</v>
      </c>
      <c r="C241" s="204" t="s">
        <v>266</v>
      </c>
      <c r="D241" s="203" t="s">
        <v>611</v>
      </c>
      <c r="E241" s="205">
        <v>2947</v>
      </c>
    </row>
    <row r="242" spans="1:5" x14ac:dyDescent="0.25">
      <c r="A242" s="202">
        <v>2023</v>
      </c>
      <c r="B242" s="203" t="s">
        <v>121</v>
      </c>
      <c r="C242" s="204" t="s">
        <v>121</v>
      </c>
      <c r="D242" s="203" t="s">
        <v>474</v>
      </c>
      <c r="E242" s="205">
        <v>362</v>
      </c>
    </row>
    <row r="243" spans="1:5" x14ac:dyDescent="0.25">
      <c r="A243" s="202">
        <v>2023</v>
      </c>
      <c r="B243" s="203" t="s">
        <v>242</v>
      </c>
      <c r="C243" s="204" t="s">
        <v>697</v>
      </c>
      <c r="D243" s="203" t="s">
        <v>589</v>
      </c>
      <c r="E243" s="205">
        <v>7139</v>
      </c>
    </row>
    <row r="244" spans="1:5" x14ac:dyDescent="0.25">
      <c r="A244" s="202">
        <v>2023</v>
      </c>
      <c r="B244" s="203" t="s">
        <v>267</v>
      </c>
      <c r="C244" s="204" t="s">
        <v>267</v>
      </c>
      <c r="D244" s="203" t="s">
        <v>612</v>
      </c>
      <c r="E244" s="205">
        <v>0</v>
      </c>
    </row>
    <row r="245" spans="1:5" x14ac:dyDescent="0.25">
      <c r="A245" s="202">
        <v>2023</v>
      </c>
      <c r="B245" s="203" t="s">
        <v>268</v>
      </c>
      <c r="C245" s="204" t="s">
        <v>268</v>
      </c>
      <c r="D245" s="203" t="s">
        <v>613</v>
      </c>
      <c r="E245" s="205">
        <v>5642</v>
      </c>
    </row>
    <row r="246" spans="1:5" x14ac:dyDescent="0.25">
      <c r="A246" s="202">
        <v>2023</v>
      </c>
      <c r="B246" s="203" t="s">
        <v>269</v>
      </c>
      <c r="C246" s="204" t="s">
        <v>269</v>
      </c>
      <c r="D246" s="203" t="s">
        <v>614</v>
      </c>
      <c r="E246" s="205">
        <v>0</v>
      </c>
    </row>
    <row r="247" spans="1:5" x14ac:dyDescent="0.25">
      <c r="A247" s="202">
        <v>2023</v>
      </c>
      <c r="B247" s="203" t="s">
        <v>270</v>
      </c>
      <c r="C247" s="204" t="s">
        <v>270</v>
      </c>
      <c r="D247" s="203" t="s">
        <v>615</v>
      </c>
      <c r="E247" s="205">
        <v>754</v>
      </c>
    </row>
    <row r="248" spans="1:5" x14ac:dyDescent="0.25">
      <c r="A248" s="202">
        <v>2023</v>
      </c>
      <c r="B248" s="203" t="s">
        <v>272</v>
      </c>
      <c r="C248" s="204" t="s">
        <v>272</v>
      </c>
      <c r="D248" s="203" t="s">
        <v>617</v>
      </c>
      <c r="E248" s="205">
        <v>14097</v>
      </c>
    </row>
    <row r="249" spans="1:5" x14ac:dyDescent="0.25">
      <c r="A249" s="202">
        <v>2023</v>
      </c>
      <c r="B249" s="203" t="s">
        <v>273</v>
      </c>
      <c r="C249" s="204" t="s">
        <v>273</v>
      </c>
      <c r="D249" s="203" t="s">
        <v>618</v>
      </c>
      <c r="E249" s="205">
        <v>1272</v>
      </c>
    </row>
    <row r="250" spans="1:5" x14ac:dyDescent="0.25">
      <c r="A250" s="202">
        <v>2023</v>
      </c>
      <c r="B250" s="203" t="s">
        <v>274</v>
      </c>
      <c r="C250" s="204" t="s">
        <v>274</v>
      </c>
      <c r="D250" s="203" t="s">
        <v>619</v>
      </c>
      <c r="E250" s="205">
        <v>2002</v>
      </c>
    </row>
    <row r="251" spans="1:5" x14ac:dyDescent="0.25">
      <c r="A251" s="202">
        <v>2023</v>
      </c>
      <c r="B251" s="203" t="s">
        <v>275</v>
      </c>
      <c r="C251" s="204" t="s">
        <v>275</v>
      </c>
      <c r="D251" s="203" t="s">
        <v>620</v>
      </c>
      <c r="E251" s="205">
        <v>2037</v>
      </c>
    </row>
    <row r="252" spans="1:5" x14ac:dyDescent="0.25">
      <c r="A252" s="202">
        <v>2023</v>
      </c>
      <c r="B252" s="203" t="s">
        <v>276</v>
      </c>
      <c r="C252" s="204" t="s">
        <v>276</v>
      </c>
      <c r="D252" s="203" t="s">
        <v>621</v>
      </c>
      <c r="E252" s="205">
        <v>1134</v>
      </c>
    </row>
    <row r="253" spans="1:5" x14ac:dyDescent="0.25">
      <c r="A253" s="202">
        <v>2023</v>
      </c>
      <c r="B253" s="203" t="s">
        <v>278</v>
      </c>
      <c r="C253" s="204" t="s">
        <v>278</v>
      </c>
      <c r="D253" s="203" t="s">
        <v>623</v>
      </c>
      <c r="E253" s="205">
        <v>2930</v>
      </c>
    </row>
    <row r="254" spans="1:5" x14ac:dyDescent="0.25">
      <c r="A254" s="202">
        <v>2023</v>
      </c>
      <c r="B254" s="203" t="s">
        <v>279</v>
      </c>
      <c r="C254" s="204" t="s">
        <v>279</v>
      </c>
      <c r="D254" s="203" t="s">
        <v>624</v>
      </c>
      <c r="E254" s="205">
        <v>6744</v>
      </c>
    </row>
    <row r="255" spans="1:5" x14ac:dyDescent="0.25">
      <c r="A255" s="202">
        <v>2023</v>
      </c>
      <c r="B255" s="203" t="s">
        <v>280</v>
      </c>
      <c r="C255" s="204" t="s">
        <v>280</v>
      </c>
      <c r="D255" s="203" t="s">
        <v>625</v>
      </c>
      <c r="E255" s="205">
        <v>1714</v>
      </c>
    </row>
    <row r="256" spans="1:5" x14ac:dyDescent="0.25">
      <c r="A256" s="202">
        <v>2023</v>
      </c>
      <c r="B256" s="203" t="s">
        <v>281</v>
      </c>
      <c r="C256" s="204" t="s">
        <v>281</v>
      </c>
      <c r="D256" s="203" t="s">
        <v>626</v>
      </c>
      <c r="E256" s="205">
        <v>6650</v>
      </c>
    </row>
    <row r="257" spans="1:5" x14ac:dyDescent="0.25">
      <c r="A257" s="202">
        <v>2023</v>
      </c>
      <c r="B257" s="203" t="s">
        <v>282</v>
      </c>
      <c r="C257" s="204" t="s">
        <v>282</v>
      </c>
      <c r="D257" s="203" t="s">
        <v>627</v>
      </c>
      <c r="E257" s="205">
        <v>2509</v>
      </c>
    </row>
    <row r="258" spans="1:5" x14ac:dyDescent="0.25">
      <c r="A258" s="202">
        <v>2023</v>
      </c>
      <c r="B258" s="203" t="s">
        <v>283</v>
      </c>
      <c r="C258" s="204" t="s">
        <v>283</v>
      </c>
      <c r="D258" s="203" t="s">
        <v>628</v>
      </c>
      <c r="E258" s="205">
        <v>2927</v>
      </c>
    </row>
    <row r="259" spans="1:5" x14ac:dyDescent="0.25">
      <c r="A259" s="202">
        <v>2023</v>
      </c>
      <c r="B259" s="203" t="s">
        <v>285</v>
      </c>
      <c r="C259" s="204" t="s">
        <v>701</v>
      </c>
      <c r="D259" s="203" t="s">
        <v>630</v>
      </c>
      <c r="E259" s="205">
        <v>0</v>
      </c>
    </row>
    <row r="260" spans="1:5" x14ac:dyDescent="0.25">
      <c r="A260" s="202">
        <v>2023</v>
      </c>
      <c r="B260" s="203" t="s">
        <v>284</v>
      </c>
      <c r="C260" s="204" t="s">
        <v>284</v>
      </c>
      <c r="D260" s="203" t="s">
        <v>629</v>
      </c>
      <c r="E260" s="205">
        <v>17219</v>
      </c>
    </row>
    <row r="261" spans="1:5" x14ac:dyDescent="0.25">
      <c r="A261" s="202">
        <v>2023</v>
      </c>
      <c r="B261" s="203" t="s">
        <v>287</v>
      </c>
      <c r="C261" s="204" t="s">
        <v>287</v>
      </c>
      <c r="D261" s="203" t="s">
        <v>632</v>
      </c>
      <c r="E261" s="205">
        <v>5178</v>
      </c>
    </row>
    <row r="262" spans="1:5" x14ac:dyDescent="0.25">
      <c r="A262" s="202">
        <v>2023</v>
      </c>
      <c r="B262" s="203" t="s">
        <v>286</v>
      </c>
      <c r="C262" s="204" t="s">
        <v>286</v>
      </c>
      <c r="D262" s="203" t="s">
        <v>631</v>
      </c>
      <c r="E262" s="205">
        <v>6099</v>
      </c>
    </row>
    <row r="263" spans="1:5" x14ac:dyDescent="0.25">
      <c r="A263" s="202">
        <v>2023</v>
      </c>
      <c r="B263" s="203" t="s">
        <v>289</v>
      </c>
      <c r="C263" s="204" t="s">
        <v>289</v>
      </c>
      <c r="D263" s="203" t="s">
        <v>634</v>
      </c>
      <c r="E263" s="205">
        <v>4553</v>
      </c>
    </row>
    <row r="264" spans="1:5" x14ac:dyDescent="0.25">
      <c r="A264" s="202">
        <v>2023</v>
      </c>
      <c r="B264" s="203" t="s">
        <v>254</v>
      </c>
      <c r="C264" s="204" t="s">
        <v>698</v>
      </c>
      <c r="D264" s="203" t="s">
        <v>600</v>
      </c>
      <c r="E264" s="205">
        <v>1555</v>
      </c>
    </row>
    <row r="265" spans="1:5" x14ac:dyDescent="0.25">
      <c r="A265" s="202">
        <v>2023</v>
      </c>
      <c r="B265" s="203" t="s">
        <v>291</v>
      </c>
      <c r="C265" s="204" t="s">
        <v>291</v>
      </c>
      <c r="D265" s="203" t="s">
        <v>636</v>
      </c>
      <c r="E265" s="205">
        <v>2044</v>
      </c>
    </row>
    <row r="266" spans="1:5" x14ac:dyDescent="0.25">
      <c r="A266" s="202">
        <v>2023</v>
      </c>
      <c r="B266" s="203" t="s">
        <v>292</v>
      </c>
      <c r="C266" s="204" t="s">
        <v>292</v>
      </c>
      <c r="D266" s="203" t="s">
        <v>637</v>
      </c>
      <c r="E266" s="205">
        <v>0</v>
      </c>
    </row>
    <row r="267" spans="1:5" x14ac:dyDescent="0.25">
      <c r="A267" s="202">
        <v>2023</v>
      </c>
      <c r="B267" s="203" t="s">
        <v>293</v>
      </c>
      <c r="C267" s="204" t="s">
        <v>293</v>
      </c>
      <c r="D267" s="203" t="s">
        <v>638</v>
      </c>
      <c r="E267" s="205">
        <v>3095</v>
      </c>
    </row>
    <row r="268" spans="1:5" x14ac:dyDescent="0.25">
      <c r="A268" s="202">
        <v>2023</v>
      </c>
      <c r="B268" s="203" t="s">
        <v>294</v>
      </c>
      <c r="C268" s="204" t="s">
        <v>294</v>
      </c>
      <c r="D268" s="203" t="s">
        <v>639</v>
      </c>
      <c r="E268" s="205">
        <v>34807</v>
      </c>
    </row>
    <row r="269" spans="1:5" x14ac:dyDescent="0.25">
      <c r="A269" s="202">
        <v>2023</v>
      </c>
      <c r="B269" s="203" t="s">
        <v>288</v>
      </c>
      <c r="C269" s="204" t="s">
        <v>288</v>
      </c>
      <c r="D269" s="203" t="s">
        <v>633</v>
      </c>
      <c r="E269" s="205">
        <v>1500</v>
      </c>
    </row>
    <row r="270" spans="1:5" x14ac:dyDescent="0.25">
      <c r="A270" s="202">
        <v>2023</v>
      </c>
      <c r="B270" s="203" t="s">
        <v>290</v>
      </c>
      <c r="C270" s="204" t="s">
        <v>290</v>
      </c>
      <c r="D270" s="203" t="s">
        <v>635</v>
      </c>
      <c r="E270" s="205">
        <v>4404</v>
      </c>
    </row>
    <row r="271" spans="1:5" x14ac:dyDescent="0.25">
      <c r="A271" s="202">
        <v>2023</v>
      </c>
      <c r="B271" s="203" t="s">
        <v>295</v>
      </c>
      <c r="C271" s="204" t="s">
        <v>295</v>
      </c>
      <c r="D271" s="203" t="s">
        <v>640</v>
      </c>
      <c r="E271" s="205">
        <v>2244</v>
      </c>
    </row>
    <row r="272" spans="1:5" x14ac:dyDescent="0.25">
      <c r="A272" s="202">
        <v>2023</v>
      </c>
      <c r="B272" s="203" t="s">
        <v>296</v>
      </c>
      <c r="C272" s="204" t="s">
        <v>296</v>
      </c>
      <c r="D272" s="203" t="s">
        <v>641</v>
      </c>
      <c r="E272" s="205">
        <v>3007</v>
      </c>
    </row>
    <row r="273" spans="1:5" x14ac:dyDescent="0.25">
      <c r="A273" s="202">
        <v>2023</v>
      </c>
      <c r="B273" s="203" t="s">
        <v>297</v>
      </c>
      <c r="C273" s="204" t="s">
        <v>297</v>
      </c>
      <c r="D273" s="203" t="s">
        <v>642</v>
      </c>
      <c r="E273" s="205">
        <v>237</v>
      </c>
    </row>
    <row r="274" spans="1:5" x14ac:dyDescent="0.25">
      <c r="A274" s="202">
        <v>2023</v>
      </c>
      <c r="B274" s="203" t="s">
        <v>271</v>
      </c>
      <c r="C274" s="204" t="s">
        <v>271</v>
      </c>
      <c r="D274" s="203" t="s">
        <v>616</v>
      </c>
      <c r="E274" s="205">
        <v>4049</v>
      </c>
    </row>
    <row r="275" spans="1:5" x14ac:dyDescent="0.25">
      <c r="A275" s="202">
        <v>2023</v>
      </c>
      <c r="B275" s="203" t="s">
        <v>298</v>
      </c>
      <c r="C275" s="204" t="s">
        <v>298</v>
      </c>
      <c r="D275" s="203" t="s">
        <v>643</v>
      </c>
      <c r="E275" s="205">
        <v>672</v>
      </c>
    </row>
    <row r="276" spans="1:5" x14ac:dyDescent="0.25">
      <c r="A276" s="202">
        <v>2023</v>
      </c>
      <c r="B276" s="203" t="s">
        <v>299</v>
      </c>
      <c r="C276" s="204" t="s">
        <v>299</v>
      </c>
      <c r="D276" s="203" t="s">
        <v>644</v>
      </c>
      <c r="E276" s="205">
        <v>449</v>
      </c>
    </row>
    <row r="277" spans="1:5" x14ac:dyDescent="0.25">
      <c r="A277" s="202">
        <v>2023</v>
      </c>
      <c r="B277" s="203" t="s">
        <v>300</v>
      </c>
      <c r="C277" s="204" t="s">
        <v>300</v>
      </c>
      <c r="D277" s="203" t="s">
        <v>645</v>
      </c>
      <c r="E277" s="205">
        <v>12147</v>
      </c>
    </row>
    <row r="278" spans="1:5" x14ac:dyDescent="0.25">
      <c r="A278" s="202">
        <v>2023</v>
      </c>
      <c r="B278" s="203" t="s">
        <v>301</v>
      </c>
      <c r="C278" s="204" t="s">
        <v>301</v>
      </c>
      <c r="D278" s="203" t="s">
        <v>646</v>
      </c>
      <c r="E278" s="205">
        <v>3660</v>
      </c>
    </row>
    <row r="279" spans="1:5" x14ac:dyDescent="0.25">
      <c r="A279" s="202">
        <v>2023</v>
      </c>
      <c r="B279" s="203" t="s">
        <v>303</v>
      </c>
      <c r="C279" s="204" t="s">
        <v>303</v>
      </c>
      <c r="D279" s="203" t="s">
        <v>648</v>
      </c>
      <c r="E279" s="205">
        <v>1964</v>
      </c>
    </row>
    <row r="280" spans="1:5" x14ac:dyDescent="0.25">
      <c r="A280" s="202">
        <v>2023</v>
      </c>
      <c r="B280" s="203" t="s">
        <v>304</v>
      </c>
      <c r="C280" s="204" t="s">
        <v>304</v>
      </c>
      <c r="D280" s="203" t="s">
        <v>649</v>
      </c>
      <c r="E280" s="205">
        <v>867</v>
      </c>
    </row>
    <row r="281" spans="1:5" x14ac:dyDescent="0.25">
      <c r="A281" s="202">
        <v>2023</v>
      </c>
      <c r="B281" s="203" t="s">
        <v>305</v>
      </c>
      <c r="C281" s="204" t="s">
        <v>305</v>
      </c>
      <c r="D281" s="203" t="s">
        <v>650</v>
      </c>
      <c r="E281" s="205">
        <v>3473</v>
      </c>
    </row>
    <row r="282" spans="1:5" x14ac:dyDescent="0.25">
      <c r="A282" s="202">
        <v>2023</v>
      </c>
      <c r="B282" s="203" t="s">
        <v>306</v>
      </c>
      <c r="C282" s="204" t="s">
        <v>306</v>
      </c>
      <c r="D282" s="203" t="s">
        <v>651</v>
      </c>
      <c r="E282" s="205">
        <v>2222</v>
      </c>
    </row>
    <row r="283" spans="1:5" x14ac:dyDescent="0.25">
      <c r="A283" s="202">
        <v>2023</v>
      </c>
      <c r="B283" s="203" t="s">
        <v>307</v>
      </c>
      <c r="C283" s="204" t="s">
        <v>307</v>
      </c>
      <c r="D283" s="203" t="s">
        <v>652</v>
      </c>
      <c r="E283" s="205">
        <v>2870</v>
      </c>
    </row>
    <row r="284" spans="1:5" x14ac:dyDescent="0.25">
      <c r="A284" s="202">
        <v>2023</v>
      </c>
      <c r="B284" s="203" t="s">
        <v>308</v>
      </c>
      <c r="C284" s="204" t="s">
        <v>308</v>
      </c>
      <c r="D284" s="203" t="s">
        <v>653</v>
      </c>
      <c r="E284" s="205">
        <v>4465</v>
      </c>
    </row>
    <row r="285" spans="1:5" x14ac:dyDescent="0.25">
      <c r="A285" s="202">
        <v>2023</v>
      </c>
      <c r="B285" s="203" t="s">
        <v>309</v>
      </c>
      <c r="C285" s="204" t="s">
        <v>309</v>
      </c>
      <c r="D285" s="203" t="s">
        <v>654</v>
      </c>
      <c r="E285" s="205">
        <v>3093</v>
      </c>
    </row>
    <row r="286" spans="1:5" x14ac:dyDescent="0.25">
      <c r="A286" s="202">
        <v>2023</v>
      </c>
      <c r="B286" s="203" t="s">
        <v>310</v>
      </c>
      <c r="C286" s="204" t="s">
        <v>310</v>
      </c>
      <c r="D286" s="203" t="s">
        <v>655</v>
      </c>
      <c r="E286" s="205">
        <v>0</v>
      </c>
    </row>
    <row r="287" spans="1:5" x14ac:dyDescent="0.25">
      <c r="A287" s="202">
        <v>2023</v>
      </c>
      <c r="B287" s="203" t="s">
        <v>311</v>
      </c>
      <c r="C287" s="204" t="s">
        <v>311</v>
      </c>
      <c r="D287" s="203" t="s">
        <v>656</v>
      </c>
      <c r="E287" s="205">
        <v>1438</v>
      </c>
    </row>
    <row r="288" spans="1:5" x14ac:dyDescent="0.25">
      <c r="A288" s="202">
        <v>2023</v>
      </c>
      <c r="B288" s="203" t="s">
        <v>312</v>
      </c>
      <c r="C288" s="204" t="s">
        <v>312</v>
      </c>
      <c r="D288" s="203" t="s">
        <v>657</v>
      </c>
      <c r="E288" s="205">
        <v>6702</v>
      </c>
    </row>
    <row r="289" spans="1:5" x14ac:dyDescent="0.25">
      <c r="A289" s="202">
        <v>2023</v>
      </c>
      <c r="B289" s="203" t="s">
        <v>114</v>
      </c>
      <c r="C289" s="204" t="s">
        <v>695</v>
      </c>
      <c r="D289" s="203" t="s">
        <v>467</v>
      </c>
      <c r="E289" s="205">
        <v>2404</v>
      </c>
    </row>
    <row r="290" spans="1:5" x14ac:dyDescent="0.25">
      <c r="A290" s="202">
        <v>2023</v>
      </c>
      <c r="B290" s="203" t="s">
        <v>313</v>
      </c>
      <c r="C290" s="204" t="s">
        <v>313</v>
      </c>
      <c r="D290" s="203" t="s">
        <v>658</v>
      </c>
      <c r="E290" s="205">
        <v>0</v>
      </c>
    </row>
    <row r="291" spans="1:5" x14ac:dyDescent="0.25">
      <c r="A291" s="202">
        <v>2023</v>
      </c>
      <c r="B291" s="203" t="s">
        <v>314</v>
      </c>
      <c r="C291" s="204" t="s">
        <v>314</v>
      </c>
      <c r="D291" s="203" t="s">
        <v>659</v>
      </c>
      <c r="E291" s="205">
        <v>27660</v>
      </c>
    </row>
    <row r="292" spans="1:5" x14ac:dyDescent="0.25">
      <c r="A292" s="202">
        <v>2023</v>
      </c>
      <c r="B292" s="203" t="s">
        <v>316</v>
      </c>
      <c r="C292" s="204" t="s">
        <v>316</v>
      </c>
      <c r="D292" s="203" t="s">
        <v>804</v>
      </c>
      <c r="E292" s="205">
        <v>4363</v>
      </c>
    </row>
    <row r="293" spans="1:5" x14ac:dyDescent="0.25">
      <c r="A293" s="202">
        <v>2023</v>
      </c>
      <c r="B293" s="203" t="s">
        <v>317</v>
      </c>
      <c r="C293" s="204" t="s">
        <v>317</v>
      </c>
      <c r="D293" s="203" t="s">
        <v>660</v>
      </c>
      <c r="E293" s="205">
        <v>1728</v>
      </c>
    </row>
    <row r="294" spans="1:5" x14ac:dyDescent="0.25">
      <c r="A294" s="202">
        <v>2023</v>
      </c>
      <c r="B294" s="203" t="s">
        <v>318</v>
      </c>
      <c r="C294" s="204" t="s">
        <v>318</v>
      </c>
      <c r="D294" s="203" t="s">
        <v>661</v>
      </c>
      <c r="E294" s="205">
        <v>3271</v>
      </c>
    </row>
    <row r="295" spans="1:5" x14ac:dyDescent="0.25">
      <c r="A295" s="202">
        <v>2023</v>
      </c>
      <c r="B295" s="203" t="s">
        <v>319</v>
      </c>
      <c r="C295" s="204" t="s">
        <v>319</v>
      </c>
      <c r="D295" s="203" t="s">
        <v>662</v>
      </c>
      <c r="E295" s="205">
        <v>11041</v>
      </c>
    </row>
    <row r="296" spans="1:5" x14ac:dyDescent="0.25">
      <c r="A296" s="202">
        <v>2023</v>
      </c>
      <c r="B296" s="203" t="s">
        <v>320</v>
      </c>
      <c r="C296" s="204" t="s">
        <v>320</v>
      </c>
      <c r="D296" s="203" t="s">
        <v>663</v>
      </c>
      <c r="E296" s="205">
        <v>3376</v>
      </c>
    </row>
    <row r="297" spans="1:5" x14ac:dyDescent="0.25">
      <c r="A297" s="202">
        <v>2023</v>
      </c>
      <c r="B297" s="203" t="s">
        <v>322</v>
      </c>
      <c r="C297" s="204" t="s">
        <v>322</v>
      </c>
      <c r="D297" s="203" t="s">
        <v>665</v>
      </c>
      <c r="E297" s="205">
        <v>2354</v>
      </c>
    </row>
    <row r="298" spans="1:5" x14ac:dyDescent="0.25">
      <c r="A298" s="202">
        <v>2023</v>
      </c>
      <c r="B298" s="203" t="s">
        <v>323</v>
      </c>
      <c r="C298" s="204" t="s">
        <v>323</v>
      </c>
      <c r="D298" s="203" t="s">
        <v>666</v>
      </c>
      <c r="E298" s="205">
        <v>3719</v>
      </c>
    </row>
    <row r="299" spans="1:5" x14ac:dyDescent="0.25">
      <c r="A299" s="202">
        <v>2023</v>
      </c>
      <c r="B299" s="203" t="s">
        <v>324</v>
      </c>
      <c r="C299" s="204" t="s">
        <v>324</v>
      </c>
      <c r="D299" s="203" t="s">
        <v>667</v>
      </c>
      <c r="E299" s="205">
        <v>12308</v>
      </c>
    </row>
    <row r="300" spans="1:5" x14ac:dyDescent="0.25">
      <c r="A300" s="202">
        <v>2023</v>
      </c>
      <c r="B300" s="203" t="s">
        <v>325</v>
      </c>
      <c r="C300" s="204" t="s">
        <v>325</v>
      </c>
      <c r="D300" s="203" t="s">
        <v>668</v>
      </c>
      <c r="E300" s="205">
        <v>0</v>
      </c>
    </row>
    <row r="301" spans="1:5" x14ac:dyDescent="0.25">
      <c r="A301" s="202">
        <v>2023</v>
      </c>
      <c r="B301" s="203" t="s">
        <v>326</v>
      </c>
      <c r="C301" s="204" t="s">
        <v>326</v>
      </c>
      <c r="D301" s="203" t="s">
        <v>669</v>
      </c>
      <c r="E301" s="205">
        <v>127414</v>
      </c>
    </row>
    <row r="302" spans="1:5" x14ac:dyDescent="0.25">
      <c r="A302" s="202">
        <v>2023</v>
      </c>
      <c r="B302" s="203" t="s">
        <v>327</v>
      </c>
      <c r="C302" s="204" t="s">
        <v>327</v>
      </c>
      <c r="D302" s="203" t="s">
        <v>670</v>
      </c>
      <c r="E302" s="205">
        <v>10777</v>
      </c>
    </row>
    <row r="303" spans="1:5" x14ac:dyDescent="0.25">
      <c r="A303" s="202">
        <v>2023</v>
      </c>
      <c r="B303" s="203" t="s">
        <v>328</v>
      </c>
      <c r="C303" s="204" t="s">
        <v>328</v>
      </c>
      <c r="D303" s="203" t="s">
        <v>671</v>
      </c>
      <c r="E303" s="205">
        <v>1100</v>
      </c>
    </row>
    <row r="304" spans="1:5" x14ac:dyDescent="0.25">
      <c r="A304" s="202">
        <v>2023</v>
      </c>
      <c r="B304" s="203" t="s">
        <v>329</v>
      </c>
      <c r="C304" s="204" t="s">
        <v>329</v>
      </c>
      <c r="D304" s="203" t="s">
        <v>672</v>
      </c>
      <c r="E304" s="205">
        <v>8167</v>
      </c>
    </row>
    <row r="305" spans="1:5" x14ac:dyDescent="0.25">
      <c r="A305" s="202">
        <v>2023</v>
      </c>
      <c r="B305" s="203" t="s">
        <v>330</v>
      </c>
      <c r="C305" s="204" t="s">
        <v>330</v>
      </c>
      <c r="D305" s="203" t="s">
        <v>673</v>
      </c>
      <c r="E305" s="205">
        <v>85</v>
      </c>
    </row>
    <row r="306" spans="1:5" x14ac:dyDescent="0.25">
      <c r="A306" s="202">
        <v>2023</v>
      </c>
      <c r="B306" s="203" t="s">
        <v>331</v>
      </c>
      <c r="C306" s="204" t="s">
        <v>331</v>
      </c>
      <c r="D306" s="203" t="s">
        <v>674</v>
      </c>
      <c r="E306" s="205">
        <v>5274</v>
      </c>
    </row>
    <row r="307" spans="1:5" x14ac:dyDescent="0.25">
      <c r="A307" s="202">
        <v>2023</v>
      </c>
      <c r="B307" s="203" t="s">
        <v>332</v>
      </c>
      <c r="C307" s="204" t="s">
        <v>332</v>
      </c>
      <c r="D307" s="203" t="s">
        <v>675</v>
      </c>
      <c r="E307" s="205">
        <v>22</v>
      </c>
    </row>
    <row r="308" spans="1:5" x14ac:dyDescent="0.25">
      <c r="A308" s="202">
        <v>2023</v>
      </c>
      <c r="B308" s="203" t="s">
        <v>333</v>
      </c>
      <c r="C308" s="204" t="s">
        <v>333</v>
      </c>
      <c r="D308" s="203" t="s">
        <v>676</v>
      </c>
      <c r="E308" s="205">
        <v>2260</v>
      </c>
    </row>
    <row r="309" spans="1:5" x14ac:dyDescent="0.25">
      <c r="A309" s="202">
        <v>2023</v>
      </c>
      <c r="B309" s="203" t="s">
        <v>302</v>
      </c>
      <c r="C309" s="204" t="s">
        <v>302</v>
      </c>
      <c r="D309" s="203" t="s">
        <v>647</v>
      </c>
      <c r="E309" s="205">
        <v>0</v>
      </c>
    </row>
    <row r="310" spans="1:5" x14ac:dyDescent="0.25">
      <c r="A310" s="202">
        <v>2023</v>
      </c>
      <c r="B310" s="203" t="s">
        <v>334</v>
      </c>
      <c r="C310" s="204" t="s">
        <v>334</v>
      </c>
      <c r="D310" s="203" t="s">
        <v>677</v>
      </c>
      <c r="E310" s="205">
        <v>8311</v>
      </c>
    </row>
    <row r="311" spans="1:5" x14ac:dyDescent="0.25">
      <c r="A311" s="202">
        <v>2023</v>
      </c>
      <c r="B311" s="203" t="s">
        <v>335</v>
      </c>
      <c r="C311" s="204" t="s">
        <v>335</v>
      </c>
      <c r="D311" s="203" t="s">
        <v>678</v>
      </c>
      <c r="E311" s="205">
        <v>40383</v>
      </c>
    </row>
    <row r="312" spans="1:5" x14ac:dyDescent="0.25">
      <c r="A312" s="202">
        <v>2023</v>
      </c>
      <c r="B312" s="203" t="s">
        <v>277</v>
      </c>
      <c r="C312" s="204" t="s">
        <v>277</v>
      </c>
      <c r="D312" s="203" t="s">
        <v>622</v>
      </c>
      <c r="E312" s="205">
        <v>6479</v>
      </c>
    </row>
    <row r="313" spans="1:5" x14ac:dyDescent="0.25">
      <c r="A313" s="202">
        <v>2023</v>
      </c>
      <c r="B313" s="203" t="s">
        <v>57</v>
      </c>
      <c r="C313" s="204" t="s">
        <v>57</v>
      </c>
      <c r="D313" s="203" t="s">
        <v>412</v>
      </c>
      <c r="E313" s="205">
        <v>1997</v>
      </c>
    </row>
    <row r="314" spans="1:5" x14ac:dyDescent="0.25">
      <c r="A314" s="202">
        <v>2023</v>
      </c>
      <c r="B314" s="203" t="s">
        <v>337</v>
      </c>
      <c r="C314" s="204" t="s">
        <v>337</v>
      </c>
      <c r="D314" s="203" t="s">
        <v>680</v>
      </c>
      <c r="E314" s="205">
        <v>3391</v>
      </c>
    </row>
    <row r="315" spans="1:5" x14ac:dyDescent="0.25">
      <c r="A315" s="202">
        <v>2023</v>
      </c>
      <c r="B315" s="203" t="s">
        <v>338</v>
      </c>
      <c r="C315" s="204" t="s">
        <v>338</v>
      </c>
      <c r="D315" s="203" t="s">
        <v>681</v>
      </c>
      <c r="E315" s="205">
        <v>0</v>
      </c>
    </row>
    <row r="316" spans="1:5" x14ac:dyDescent="0.25">
      <c r="A316" s="202">
        <v>2023</v>
      </c>
      <c r="B316" s="203" t="s">
        <v>339</v>
      </c>
      <c r="C316" s="204" t="s">
        <v>339</v>
      </c>
      <c r="D316" s="203" t="s">
        <v>682</v>
      </c>
      <c r="E316" s="205">
        <v>5973</v>
      </c>
    </row>
    <row r="317" spans="1:5" x14ac:dyDescent="0.25">
      <c r="A317" s="202">
        <v>2023</v>
      </c>
      <c r="B317" s="203" t="s">
        <v>340</v>
      </c>
      <c r="C317" s="204" t="s">
        <v>340</v>
      </c>
      <c r="D317" s="203" t="s">
        <v>683</v>
      </c>
      <c r="E317" s="205">
        <v>618</v>
      </c>
    </row>
    <row r="318" spans="1:5" x14ac:dyDescent="0.25">
      <c r="A318" s="202">
        <v>2023</v>
      </c>
      <c r="B318" s="203" t="s">
        <v>341</v>
      </c>
      <c r="C318" s="204" t="s">
        <v>341</v>
      </c>
      <c r="D318" s="203" t="s">
        <v>684</v>
      </c>
      <c r="E318" s="205">
        <v>0</v>
      </c>
    </row>
    <row r="319" spans="1:5" x14ac:dyDescent="0.25">
      <c r="A319" s="202">
        <v>2023</v>
      </c>
      <c r="B319" s="203" t="s">
        <v>342</v>
      </c>
      <c r="C319" s="204" t="s">
        <v>342</v>
      </c>
      <c r="D319" s="203" t="s">
        <v>685</v>
      </c>
      <c r="E319" s="205">
        <v>5853</v>
      </c>
    </row>
    <row r="320" spans="1:5" x14ac:dyDescent="0.25">
      <c r="A320" s="202">
        <v>2023</v>
      </c>
      <c r="B320" s="203" t="s">
        <v>336</v>
      </c>
      <c r="C320" s="204" t="s">
        <v>336</v>
      </c>
      <c r="D320" s="203" t="s">
        <v>679</v>
      </c>
      <c r="E320" s="205">
        <v>11643</v>
      </c>
    </row>
    <row r="321" spans="1:5" x14ac:dyDescent="0.25">
      <c r="A321" s="202">
        <v>2023</v>
      </c>
      <c r="B321" s="203" t="s">
        <v>343</v>
      </c>
      <c r="C321" s="204" t="s">
        <v>343</v>
      </c>
      <c r="D321" s="203" t="s">
        <v>686</v>
      </c>
      <c r="E321" s="205">
        <v>383</v>
      </c>
    </row>
    <row r="322" spans="1:5" x14ac:dyDescent="0.25">
      <c r="A322" s="202">
        <v>2023</v>
      </c>
      <c r="B322" s="203" t="s">
        <v>344</v>
      </c>
      <c r="C322" s="204" t="s">
        <v>344</v>
      </c>
      <c r="D322" s="203" t="s">
        <v>687</v>
      </c>
      <c r="E322" s="205">
        <v>1727</v>
      </c>
    </row>
    <row r="323" spans="1:5" x14ac:dyDescent="0.25">
      <c r="A323" s="202">
        <v>2023</v>
      </c>
      <c r="B323" s="203" t="s">
        <v>345</v>
      </c>
      <c r="C323" s="204" t="s">
        <v>345</v>
      </c>
      <c r="D323" s="203" t="s">
        <v>688</v>
      </c>
      <c r="E323" s="205">
        <v>5612</v>
      </c>
    </row>
    <row r="324" spans="1:5" x14ac:dyDescent="0.25">
      <c r="A324" s="202">
        <v>2023</v>
      </c>
      <c r="B324" s="203" t="s">
        <v>346</v>
      </c>
      <c r="C324" s="204" t="s">
        <v>346</v>
      </c>
      <c r="D324" s="203" t="s">
        <v>689</v>
      </c>
      <c r="E324" s="205">
        <v>4231</v>
      </c>
    </row>
    <row r="325" spans="1:5" x14ac:dyDescent="0.25">
      <c r="A325" s="202">
        <v>2023</v>
      </c>
      <c r="B325" s="203" t="s">
        <v>347</v>
      </c>
      <c r="C325" s="204" t="s">
        <v>347</v>
      </c>
      <c r="D325" s="203" t="s">
        <v>690</v>
      </c>
      <c r="E325" s="205">
        <v>483</v>
      </c>
    </row>
    <row r="326" spans="1:5" x14ac:dyDescent="0.25">
      <c r="A326" s="202">
        <v>2023</v>
      </c>
      <c r="B326" s="203" t="s">
        <v>348</v>
      </c>
      <c r="C326" s="204" t="s">
        <v>348</v>
      </c>
      <c r="D326" s="203" t="s">
        <v>691</v>
      </c>
      <c r="E326" s="205">
        <v>7030</v>
      </c>
    </row>
    <row r="327" spans="1:5" x14ac:dyDescent="0.25">
      <c r="A327" s="202">
        <v>2023</v>
      </c>
      <c r="B327" s="203" t="s">
        <v>349</v>
      </c>
      <c r="C327" s="204" t="s">
        <v>349</v>
      </c>
      <c r="D327" s="203" t="s">
        <v>692</v>
      </c>
      <c r="E327" s="205">
        <v>1977</v>
      </c>
    </row>
    <row r="328" spans="1:5" x14ac:dyDescent="0.25">
      <c r="A328" s="202">
        <v>2023</v>
      </c>
      <c r="B328" s="203" t="s">
        <v>350</v>
      </c>
      <c r="C328" s="204" t="s">
        <v>350</v>
      </c>
      <c r="D328" s="203" t="s">
        <v>693</v>
      </c>
      <c r="E328" s="205">
        <v>1776</v>
      </c>
    </row>
    <row r="329" spans="1:5" x14ac:dyDescent="0.25">
      <c r="A329" s="202">
        <v>2023</v>
      </c>
      <c r="B329" s="203" t="s">
        <v>351</v>
      </c>
      <c r="C329" s="204" t="s">
        <v>351</v>
      </c>
      <c r="D329" s="203" t="s">
        <v>694</v>
      </c>
      <c r="E329" s="205">
        <v>5858</v>
      </c>
    </row>
    <row r="330" spans="1:5" ht="15.75" thickBot="1" x14ac:dyDescent="0.3">
      <c r="A330" s="166"/>
      <c r="B330" s="206" t="s">
        <v>788</v>
      </c>
      <c r="D330" s="168" t="s">
        <v>787</v>
      </c>
      <c r="E330" s="207">
        <f>SUM(E3:E329)</f>
        <v>2136401</v>
      </c>
    </row>
    <row r="331" spans="1:5" ht="15.75" thickTop="1" x14ac:dyDescent="0.25">
      <c r="A331" s="166"/>
    </row>
    <row r="332" spans="1:5" x14ac:dyDescent="0.25">
      <c r="A332" s="166"/>
    </row>
    <row r="333" spans="1:5" x14ac:dyDescent="0.25">
      <c r="A333" s="166"/>
    </row>
    <row r="334" spans="1:5" x14ac:dyDescent="0.25">
      <c r="A334" s="166"/>
    </row>
    <row r="335" spans="1:5" x14ac:dyDescent="0.25">
      <c r="A335" s="166"/>
    </row>
    <row r="336" spans="1:5" x14ac:dyDescent="0.25">
      <c r="A336" s="166"/>
    </row>
    <row r="337" spans="1:1" x14ac:dyDescent="0.25">
      <c r="A337" s="166"/>
    </row>
    <row r="338" spans="1:1" x14ac:dyDescent="0.25">
      <c r="A338" s="166"/>
    </row>
    <row r="339" spans="1:1" x14ac:dyDescent="0.25">
      <c r="A339" s="166"/>
    </row>
    <row r="340" spans="1:1" x14ac:dyDescent="0.25">
      <c r="A340" s="166"/>
    </row>
    <row r="341" spans="1:1" x14ac:dyDescent="0.25">
      <c r="A341" s="166"/>
    </row>
    <row r="342" spans="1:1" x14ac:dyDescent="0.25">
      <c r="A342" s="166"/>
    </row>
    <row r="343" spans="1:1" x14ac:dyDescent="0.25">
      <c r="A343" s="166"/>
    </row>
    <row r="344" spans="1:1" x14ac:dyDescent="0.25">
      <c r="A344" s="166"/>
    </row>
    <row r="345" spans="1:1" x14ac:dyDescent="0.25">
      <c r="A345" s="166"/>
    </row>
    <row r="346" spans="1:1" x14ac:dyDescent="0.25">
      <c r="A346" s="166"/>
    </row>
    <row r="347" spans="1:1" x14ac:dyDescent="0.25">
      <c r="A347" s="166"/>
    </row>
    <row r="348" spans="1:1" x14ac:dyDescent="0.25">
      <c r="A348" s="166"/>
    </row>
    <row r="349" spans="1:1" x14ac:dyDescent="0.25">
      <c r="A349" s="166"/>
    </row>
    <row r="350" spans="1:1" x14ac:dyDescent="0.25">
      <c r="A350" s="166"/>
    </row>
    <row r="351" spans="1:1" x14ac:dyDescent="0.25">
      <c r="A351" s="166"/>
    </row>
    <row r="352" spans="1:1" x14ac:dyDescent="0.25">
      <c r="A352" s="166"/>
    </row>
    <row r="353" spans="1:1" x14ac:dyDescent="0.25">
      <c r="A353" s="166"/>
    </row>
    <row r="354" spans="1:1" x14ac:dyDescent="0.25">
      <c r="A354" s="166"/>
    </row>
    <row r="355" spans="1:1" x14ac:dyDescent="0.25">
      <c r="A355" s="166"/>
    </row>
    <row r="356" spans="1:1" x14ac:dyDescent="0.25">
      <c r="A356" s="166"/>
    </row>
    <row r="357" spans="1:1" x14ac:dyDescent="0.25">
      <c r="A357" s="166"/>
    </row>
    <row r="358" spans="1:1" x14ac:dyDescent="0.25">
      <c r="A358" s="166"/>
    </row>
    <row r="359" spans="1:1" x14ac:dyDescent="0.25">
      <c r="A359" s="166"/>
    </row>
    <row r="360" spans="1:1" x14ac:dyDescent="0.25">
      <c r="A360" s="166"/>
    </row>
    <row r="361" spans="1:1" x14ac:dyDescent="0.25">
      <c r="A361" s="166"/>
    </row>
    <row r="362" spans="1:1" x14ac:dyDescent="0.25">
      <c r="A362" s="166"/>
    </row>
    <row r="363" spans="1:1" x14ac:dyDescent="0.25">
      <c r="A363" s="166"/>
    </row>
    <row r="364" spans="1:1" x14ac:dyDescent="0.25">
      <c r="A364" s="166"/>
    </row>
    <row r="365" spans="1:1" x14ac:dyDescent="0.25">
      <c r="A365" s="166"/>
    </row>
    <row r="366" spans="1:1" x14ac:dyDescent="0.25">
      <c r="A366" s="166"/>
    </row>
    <row r="367" spans="1:1" x14ac:dyDescent="0.25">
      <c r="A367" s="166"/>
    </row>
    <row r="368" spans="1:1" x14ac:dyDescent="0.25">
      <c r="A368" s="166"/>
    </row>
    <row r="369" spans="1:1" x14ac:dyDescent="0.25">
      <c r="A369" s="166"/>
    </row>
    <row r="370" spans="1:1" x14ac:dyDescent="0.25">
      <c r="A370" s="166"/>
    </row>
    <row r="371" spans="1:1" x14ac:dyDescent="0.25">
      <c r="A371" s="166"/>
    </row>
    <row r="372" spans="1:1" x14ac:dyDescent="0.25">
      <c r="A372" s="166"/>
    </row>
    <row r="373" spans="1:1" x14ac:dyDescent="0.25">
      <c r="A373" s="166"/>
    </row>
    <row r="374" spans="1:1" x14ac:dyDescent="0.25">
      <c r="A374" s="166"/>
    </row>
    <row r="375" spans="1:1" x14ac:dyDescent="0.25">
      <c r="A375" s="166"/>
    </row>
    <row r="376" spans="1:1" x14ac:dyDescent="0.25">
      <c r="A376" s="166"/>
    </row>
    <row r="377" spans="1:1" x14ac:dyDescent="0.25">
      <c r="A377" s="166"/>
    </row>
    <row r="378" spans="1:1" x14ac:dyDescent="0.25">
      <c r="A378" s="166"/>
    </row>
    <row r="379" spans="1:1" x14ac:dyDescent="0.25">
      <c r="A379" s="166"/>
    </row>
    <row r="380" spans="1:1" x14ac:dyDescent="0.25">
      <c r="A380" s="166"/>
    </row>
    <row r="381" spans="1:1" x14ac:dyDescent="0.25">
      <c r="A381" s="166"/>
    </row>
    <row r="382" spans="1:1" x14ac:dyDescent="0.25">
      <c r="A382" s="166"/>
    </row>
    <row r="383" spans="1:1" x14ac:dyDescent="0.25">
      <c r="A383" s="166"/>
    </row>
    <row r="384" spans="1:1" x14ac:dyDescent="0.25">
      <c r="A384" s="166"/>
    </row>
    <row r="385" spans="1:1" x14ac:dyDescent="0.25">
      <c r="A385" s="166"/>
    </row>
    <row r="386" spans="1:1" x14ac:dyDescent="0.25">
      <c r="A386" s="166"/>
    </row>
    <row r="387" spans="1:1" x14ac:dyDescent="0.25">
      <c r="A387" s="166"/>
    </row>
    <row r="388" spans="1:1" x14ac:dyDescent="0.25">
      <c r="A388" s="166"/>
    </row>
    <row r="389" spans="1:1" x14ac:dyDescent="0.25">
      <c r="A389" s="166"/>
    </row>
    <row r="390" spans="1:1" x14ac:dyDescent="0.25">
      <c r="A390" s="166"/>
    </row>
    <row r="391" spans="1:1" x14ac:dyDescent="0.25">
      <c r="A391" s="166"/>
    </row>
    <row r="392" spans="1:1" x14ac:dyDescent="0.25">
      <c r="A392" s="166"/>
    </row>
    <row r="393" spans="1:1" x14ac:dyDescent="0.25">
      <c r="A393" s="166"/>
    </row>
    <row r="394" spans="1:1" x14ac:dyDescent="0.25">
      <c r="A394" s="166"/>
    </row>
    <row r="395" spans="1:1" x14ac:dyDescent="0.25">
      <c r="A395" s="166"/>
    </row>
    <row r="396" spans="1:1" x14ac:dyDescent="0.25">
      <c r="A396" s="166"/>
    </row>
    <row r="397" spans="1:1" x14ac:dyDescent="0.25">
      <c r="A397" s="166"/>
    </row>
    <row r="398" spans="1:1" x14ac:dyDescent="0.25">
      <c r="A398" s="166"/>
    </row>
    <row r="399" spans="1:1" x14ac:dyDescent="0.25">
      <c r="A399" s="166"/>
    </row>
    <row r="400" spans="1:1" x14ac:dyDescent="0.25">
      <c r="A400" s="166"/>
    </row>
    <row r="401" spans="1:1" x14ac:dyDescent="0.25">
      <c r="A401" s="166"/>
    </row>
    <row r="402" spans="1:1" x14ac:dyDescent="0.25">
      <c r="A402" s="166"/>
    </row>
    <row r="403" spans="1:1" x14ac:dyDescent="0.25">
      <c r="A403" s="166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Budget Total</vt:lpstr>
      <vt:lpstr>Budget by Source</vt:lpstr>
      <vt:lpstr>Payment Total</vt:lpstr>
      <vt:lpstr>Payment by Source</vt:lpstr>
      <vt:lpstr>SurtaxPayment</vt:lpstr>
      <vt:lpstr>Data</vt:lpstr>
      <vt:lpstr>Notes</vt:lpstr>
      <vt:lpstr>PaymentSummary</vt:lpstr>
      <vt:lpstr>SpecialEdDeficit</vt:lpstr>
      <vt:lpstr>Districts</vt:lpstr>
      <vt:lpstr>PaymentSummary!Print_Area</vt:lpstr>
      <vt:lpstr>'Budget by Source'!Print_Titles</vt:lpstr>
      <vt:lpstr>'Budget Total'!Print_Titles</vt:lpstr>
      <vt:lpstr>'Payment by Source'!Print_Titles</vt:lpstr>
      <vt:lpstr>'Payment Total'!Print_Titles</vt:lpstr>
      <vt:lpstr>SpecialEdDeficit!Print_Titles</vt:lpstr>
      <vt:lpstr>SurtaxPayment!Print_Titles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Management</dc:creator>
  <cp:lastModifiedBy>Parker, John [IDOM]</cp:lastModifiedBy>
  <cp:lastPrinted>2020-06-09T18:30:44Z</cp:lastPrinted>
  <dcterms:created xsi:type="dcterms:W3CDTF">2011-08-29T13:44:47Z</dcterms:created>
  <dcterms:modified xsi:type="dcterms:W3CDTF">2023-11-07T15:58:48Z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768fd3be34b04ad5a487eb79d093e626</vt:lpwstr>
  </property>
</Properties>
</file>