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G:\My Drive\School Business and Finance\Financial Management\State Payment Information\State Payment Information FY24\"/>
    </mc:Choice>
  </mc:AlternateContent>
  <xr:revisionPtr revIDLastSave="0" documentId="8_{39ED64D1-F28D-4081-AB16-E489EDE48AC0}" xr6:coauthVersionLast="36" xr6:coauthVersionMax="36" xr10:uidLastSave="{00000000-0000-0000-0000-000000000000}"/>
  <bookViews>
    <workbookView xWindow="0" yWindow="0" windowWidth="28800" windowHeight="12105" firstSheet="2" activeTab="2" xr2:uid="{00000000-000D-0000-FFFF-FFFF00000000}"/>
  </bookViews>
  <sheets>
    <sheet name="Data" sheetId="1" state="hidden" r:id="rId1"/>
    <sheet name="Notes" sheetId="3" state="hidden" r:id="rId2"/>
    <sheet name="Payment" sheetId="2" r:id="rId3"/>
    <sheet name="PaymentCodingDetailCheck" sheetId="8" state="hidden" r:id="rId4"/>
    <sheet name="PaymentCodingDetail_June" sheetId="7" state="hidden" r:id="rId5"/>
    <sheet name="PaymentCodingTotal" sheetId="6" r:id="rId6"/>
    <sheet name="PaymentCodingDetail_Sept-May" sheetId="5" r:id="rId7"/>
    <sheet name="Final Total Check" sheetId="10" state="hidden" r:id="rId8"/>
    <sheet name="Data_Detail" sheetId="4" state="hidden" r:id="rId9"/>
  </sheets>
  <definedNames>
    <definedName name="AEA_Name" localSheetId="7">#REF!</definedName>
    <definedName name="AEA_Name" localSheetId="4">#REF!</definedName>
    <definedName name="AEA_Name" localSheetId="6">#REF!</definedName>
    <definedName name="AEA_Name" localSheetId="3">#REF!</definedName>
    <definedName name="AEA_Name" localSheetId="5">#REF!</definedName>
    <definedName name="AEA_Name">#REF!</definedName>
    <definedName name="_xlnm.Print_Area" localSheetId="7">'Final Total Check'!$A$1:$K$26</definedName>
    <definedName name="_xlnm.Print_Area" localSheetId="4">PaymentCodingDetail_June!$A$1:$I$36</definedName>
    <definedName name="_xlnm.Print_Area" localSheetId="6">'PaymentCodingDetail_Sept-May'!$A$1:$I$36</definedName>
    <definedName name="_xlnm.Print_Area" localSheetId="3">PaymentCodingDetailCheck!$A$1:$I$36</definedName>
    <definedName name="_xlnm.Print_Area" localSheetId="5">PaymentCodingTotal!$A$1:$I$36</definedName>
  </definedNames>
  <calcPr calcId="191029"/>
</workbook>
</file>

<file path=xl/calcChain.xml><?xml version="1.0" encoding="utf-8"?>
<calcChain xmlns="http://schemas.openxmlformats.org/spreadsheetml/2006/main">
  <c r="D35" i="5" l="1"/>
  <c r="C35" i="5"/>
  <c r="D34" i="5"/>
  <c r="C34" i="5"/>
  <c r="D33" i="5"/>
  <c r="C33" i="5"/>
  <c r="D32" i="5"/>
  <c r="C32" i="5"/>
  <c r="D31" i="5"/>
  <c r="C31" i="5"/>
  <c r="D30" i="5"/>
  <c r="C30" i="5"/>
  <c r="D29" i="5"/>
  <c r="C29" i="5"/>
  <c r="D28" i="5"/>
  <c r="C28" i="5"/>
  <c r="D27" i="5"/>
  <c r="C27" i="5"/>
  <c r="G23" i="5"/>
  <c r="F23" i="5"/>
  <c r="D23" i="5"/>
  <c r="C23" i="5"/>
  <c r="G22" i="5"/>
  <c r="F22" i="5"/>
  <c r="D22" i="5"/>
  <c r="C22" i="5"/>
  <c r="G21" i="5"/>
  <c r="F21" i="5"/>
  <c r="D21" i="5"/>
  <c r="C21" i="5"/>
  <c r="G20" i="5"/>
  <c r="F20" i="5"/>
  <c r="D20" i="5"/>
  <c r="C20" i="5"/>
  <c r="G19" i="5"/>
  <c r="F19" i="5"/>
  <c r="D19" i="5"/>
  <c r="C19" i="5"/>
  <c r="G18" i="5"/>
  <c r="F18" i="5"/>
  <c r="D18" i="5"/>
  <c r="C18" i="5"/>
  <c r="G17" i="5"/>
  <c r="F17" i="5"/>
  <c r="D17" i="5"/>
  <c r="C17" i="5"/>
  <c r="G16" i="5"/>
  <c r="F16" i="5"/>
  <c r="D16" i="5"/>
  <c r="C16" i="5"/>
  <c r="G15" i="5"/>
  <c r="F15" i="5"/>
  <c r="D15" i="5"/>
  <c r="C15" i="5"/>
  <c r="H11" i="5"/>
  <c r="G11" i="5"/>
  <c r="E11" i="5"/>
  <c r="D11" i="5"/>
  <c r="C11" i="5"/>
  <c r="H10" i="5"/>
  <c r="G10" i="5"/>
  <c r="E10" i="5"/>
  <c r="D10" i="5"/>
  <c r="C10" i="5"/>
  <c r="H9" i="5"/>
  <c r="G9" i="5"/>
  <c r="E9" i="5"/>
  <c r="D9" i="5"/>
  <c r="C9" i="5"/>
  <c r="H8" i="5"/>
  <c r="G8" i="5"/>
  <c r="E8" i="5"/>
  <c r="D8" i="5"/>
  <c r="C8" i="5"/>
  <c r="H7" i="5"/>
  <c r="G7" i="5"/>
  <c r="E7" i="5"/>
  <c r="D7" i="5"/>
  <c r="C7" i="5"/>
  <c r="H6" i="5"/>
  <c r="G6" i="5"/>
  <c r="E6" i="5"/>
  <c r="D6" i="5"/>
  <c r="C6" i="5"/>
  <c r="H5" i="5"/>
  <c r="G5" i="5"/>
  <c r="E5" i="5"/>
  <c r="D5" i="5"/>
  <c r="C5" i="5"/>
  <c r="H4" i="5"/>
  <c r="G4" i="5"/>
  <c r="D4" i="5"/>
  <c r="C4" i="5"/>
  <c r="H3" i="5"/>
  <c r="G3" i="5"/>
  <c r="D3" i="5"/>
  <c r="C3" i="5"/>
  <c r="E3" i="5"/>
  <c r="E4" i="5"/>
  <c r="D3" i="2"/>
  <c r="D2" i="2"/>
  <c r="E28" i="5"/>
  <c r="E29" i="5"/>
  <c r="E30" i="5"/>
  <c r="E31" i="5"/>
  <c r="E32" i="5"/>
  <c r="E33" i="5"/>
  <c r="E34" i="5"/>
  <c r="E35" i="5"/>
  <c r="E27" i="5"/>
  <c r="E27" i="7"/>
  <c r="K2" i="6" l="1"/>
  <c r="K2" i="5"/>
  <c r="A1" i="5" s="1"/>
  <c r="G26" i="8"/>
  <c r="F26" i="8"/>
  <c r="E26" i="8"/>
  <c r="D26" i="8"/>
  <c r="C26" i="8"/>
  <c r="A22" i="8"/>
  <c r="A34" i="8" s="1"/>
  <c r="A15" i="8"/>
  <c r="A27" i="8" s="1"/>
  <c r="G14" i="8"/>
  <c r="F14" i="8"/>
  <c r="E14" i="8"/>
  <c r="D14" i="8"/>
  <c r="C14" i="8"/>
  <c r="B14" i="8"/>
  <c r="B26" i="8" s="1"/>
  <c r="A14" i="8"/>
  <c r="A26" i="8" s="1"/>
  <c r="A11" i="8"/>
  <c r="A23" i="8" s="1"/>
  <c r="A35" i="8" s="1"/>
  <c r="B10" i="8"/>
  <c r="B22" i="8" s="1"/>
  <c r="B34" i="8" s="1"/>
  <c r="A10" i="8"/>
  <c r="B9" i="8"/>
  <c r="B21" i="8" s="1"/>
  <c r="B33" i="8" s="1"/>
  <c r="A9" i="8"/>
  <c r="A21" i="8" s="1"/>
  <c r="A33" i="8" s="1"/>
  <c r="B8" i="8"/>
  <c r="B20" i="8" s="1"/>
  <c r="B32" i="8" s="1"/>
  <c r="A8" i="8"/>
  <c r="A20" i="8" s="1"/>
  <c r="A32" i="8" s="1"/>
  <c r="A7" i="8"/>
  <c r="B7" i="8" s="1"/>
  <c r="B19" i="8" s="1"/>
  <c r="B31" i="8" s="1"/>
  <c r="A6" i="8"/>
  <c r="A18" i="8" s="1"/>
  <c r="A30" i="8" s="1"/>
  <c r="A5" i="8"/>
  <c r="A17" i="8" s="1"/>
  <c r="A29" i="8" s="1"/>
  <c r="B4" i="8"/>
  <c r="B16" i="8" s="1"/>
  <c r="B28" i="8" s="1"/>
  <c r="A4" i="8"/>
  <c r="A16" i="8" s="1"/>
  <c r="A28" i="8" s="1"/>
  <c r="A3" i="8"/>
  <c r="B3" i="8" s="1"/>
  <c r="B15" i="8" s="1"/>
  <c r="B27" i="8" s="1"/>
  <c r="I2" i="8"/>
  <c r="H2" i="8"/>
  <c r="G2" i="8"/>
  <c r="F2" i="8"/>
  <c r="E2" i="8"/>
  <c r="D2" i="8"/>
  <c r="C2" i="8"/>
  <c r="K2" i="8"/>
  <c r="A1" i="8"/>
  <c r="K2" i="7"/>
  <c r="A1" i="7" s="1"/>
  <c r="E28" i="7"/>
  <c r="E29" i="7"/>
  <c r="E30" i="7"/>
  <c r="E31" i="7"/>
  <c r="E32" i="7"/>
  <c r="E33" i="7"/>
  <c r="E34" i="7"/>
  <c r="E35" i="7"/>
  <c r="A31" i="7"/>
  <c r="A29" i="7"/>
  <c r="G26" i="7"/>
  <c r="F26" i="7"/>
  <c r="E26" i="7"/>
  <c r="D26" i="7"/>
  <c r="C26" i="7"/>
  <c r="B26" i="7"/>
  <c r="A26" i="7"/>
  <c r="A20" i="7"/>
  <c r="A32" i="7" s="1"/>
  <c r="A19" i="7"/>
  <c r="A18" i="7"/>
  <c r="A30" i="7" s="1"/>
  <c r="G14" i="7"/>
  <c r="F14" i="7"/>
  <c r="E14" i="7"/>
  <c r="D14" i="7"/>
  <c r="C14" i="7"/>
  <c r="B14" i="7"/>
  <c r="A14" i="7"/>
  <c r="B11" i="7"/>
  <c r="B23" i="7" s="1"/>
  <c r="B35" i="7" s="1"/>
  <c r="A11" i="7"/>
  <c r="A23" i="7" s="1"/>
  <c r="B10" i="7"/>
  <c r="B22" i="7" s="1"/>
  <c r="B34" i="7" s="1"/>
  <c r="A10" i="7"/>
  <c r="A22" i="7" s="1"/>
  <c r="A34" i="7" s="1"/>
  <c r="B9" i="7"/>
  <c r="B21" i="7" s="1"/>
  <c r="B33" i="7" s="1"/>
  <c r="A9" i="7"/>
  <c r="A21" i="7" s="1"/>
  <c r="A33" i="7" s="1"/>
  <c r="B8" i="7"/>
  <c r="B20" i="7" s="1"/>
  <c r="B32" i="7" s="1"/>
  <c r="A8" i="7"/>
  <c r="B7" i="7"/>
  <c r="B19" i="7" s="1"/>
  <c r="B31" i="7" s="1"/>
  <c r="A7" i="7"/>
  <c r="A6" i="7"/>
  <c r="B6" i="7" s="1"/>
  <c r="B18" i="7" s="1"/>
  <c r="B30" i="7" s="1"/>
  <c r="B5" i="7"/>
  <c r="B17" i="7" s="1"/>
  <c r="B29" i="7" s="1"/>
  <c r="A5" i="7"/>
  <c r="A17" i="7" s="1"/>
  <c r="B4" i="7"/>
  <c r="B16" i="7" s="1"/>
  <c r="B28" i="7" s="1"/>
  <c r="A4" i="7"/>
  <c r="A16" i="7" s="1"/>
  <c r="A3" i="7"/>
  <c r="A15" i="7" s="1"/>
  <c r="I2" i="7"/>
  <c r="H2" i="7"/>
  <c r="G2" i="7"/>
  <c r="F2" i="7"/>
  <c r="E2" i="7"/>
  <c r="D2" i="7"/>
  <c r="C2" i="7"/>
  <c r="D11" i="6"/>
  <c r="D10" i="6"/>
  <c r="D9" i="6"/>
  <c r="D7" i="6"/>
  <c r="D5" i="6"/>
  <c r="D3" i="6"/>
  <c r="G11" i="6"/>
  <c r="G10" i="6"/>
  <c r="G9" i="6"/>
  <c r="G7" i="6"/>
  <c r="G5" i="6"/>
  <c r="G3" i="6"/>
  <c r="G35" i="6"/>
  <c r="R25" i="10" s="1"/>
  <c r="G34" i="6"/>
  <c r="R24" i="10" s="1"/>
  <c r="G33" i="6"/>
  <c r="R23" i="10" s="1"/>
  <c r="G32" i="6"/>
  <c r="R22" i="10" s="1"/>
  <c r="G31" i="6"/>
  <c r="R21" i="10" s="1"/>
  <c r="G30" i="6"/>
  <c r="R20" i="10" s="1"/>
  <c r="G29" i="6"/>
  <c r="R19" i="10" s="1"/>
  <c r="G28" i="6"/>
  <c r="R18" i="10" s="1"/>
  <c r="G27" i="6"/>
  <c r="R17" i="10" s="1"/>
  <c r="F35" i="6"/>
  <c r="Q25" i="10" s="1"/>
  <c r="F34" i="6"/>
  <c r="Q24" i="10" s="1"/>
  <c r="F33" i="6"/>
  <c r="Q23" i="10" s="1"/>
  <c r="F32" i="6"/>
  <c r="Q22" i="10" s="1"/>
  <c r="F31" i="6"/>
  <c r="Q21" i="10" s="1"/>
  <c r="F30" i="6"/>
  <c r="Q20" i="10" s="1"/>
  <c r="F29" i="6"/>
  <c r="Q19" i="10" s="1"/>
  <c r="F28" i="6"/>
  <c r="Q18" i="10" s="1"/>
  <c r="F27" i="6"/>
  <c r="Q17" i="10" s="1"/>
  <c r="B11" i="8" l="1"/>
  <c r="B23" i="8" s="1"/>
  <c r="B35" i="8" s="1"/>
  <c r="B6" i="8"/>
  <c r="B18" i="8" s="1"/>
  <c r="B30" i="8" s="1"/>
  <c r="A19" i="8"/>
  <c r="A31" i="8" s="1"/>
  <c r="B5" i="8"/>
  <c r="B17" i="8" s="1"/>
  <c r="B29" i="8" s="1"/>
  <c r="A28" i="7"/>
  <c r="A27" i="7"/>
  <c r="A35" i="7"/>
  <c r="E36" i="7"/>
  <c r="B3" i="7"/>
  <c r="B15" i="7" s="1"/>
  <c r="B27" i="7" s="1"/>
  <c r="E35" i="6" l="1"/>
  <c r="P25" i="10" s="1"/>
  <c r="E34" i="6"/>
  <c r="P24" i="10" s="1"/>
  <c r="E33" i="6"/>
  <c r="P23" i="10" s="1"/>
  <c r="E32" i="6"/>
  <c r="P22" i="10" s="1"/>
  <c r="E31" i="6"/>
  <c r="P21" i="10" s="1"/>
  <c r="E30" i="6"/>
  <c r="P20" i="10" s="1"/>
  <c r="E29" i="6"/>
  <c r="P19" i="10" s="1"/>
  <c r="E28" i="6"/>
  <c r="P18" i="10" s="1"/>
  <c r="E27" i="6"/>
  <c r="D35" i="6"/>
  <c r="P12" i="10" s="1"/>
  <c r="D34" i="6"/>
  <c r="P11" i="10" s="1"/>
  <c r="D33" i="6"/>
  <c r="P10" i="10" s="1"/>
  <c r="D32" i="6"/>
  <c r="P9" i="10" s="1"/>
  <c r="D31" i="6"/>
  <c r="P8" i="10" s="1"/>
  <c r="D30" i="6"/>
  <c r="P7" i="10" s="1"/>
  <c r="D29" i="6"/>
  <c r="P6" i="10" s="1"/>
  <c r="D28" i="6"/>
  <c r="P5" i="10" s="1"/>
  <c r="D27" i="6"/>
  <c r="P4" i="10" s="1"/>
  <c r="C28" i="6"/>
  <c r="O5" i="10" s="1"/>
  <c r="C29" i="6"/>
  <c r="O6" i="10" s="1"/>
  <c r="C30" i="6"/>
  <c r="O7" i="10" s="1"/>
  <c r="C31" i="6"/>
  <c r="O8" i="10" s="1"/>
  <c r="C32" i="6"/>
  <c r="O9" i="10" s="1"/>
  <c r="C33" i="6"/>
  <c r="O10" i="10" s="1"/>
  <c r="C34" i="6"/>
  <c r="O11" i="10" s="1"/>
  <c r="C35" i="6"/>
  <c r="O12" i="10" s="1"/>
  <c r="C27" i="6"/>
  <c r="O4" i="10" s="1"/>
  <c r="G23" i="6"/>
  <c r="M25" i="10" s="1"/>
  <c r="G22" i="6"/>
  <c r="M24" i="10" s="1"/>
  <c r="G21" i="6"/>
  <c r="M23" i="10" s="1"/>
  <c r="G20" i="6"/>
  <c r="M22" i="10" s="1"/>
  <c r="G19" i="6"/>
  <c r="M21" i="10" s="1"/>
  <c r="G18" i="6"/>
  <c r="M20" i="10" s="1"/>
  <c r="G17" i="6"/>
  <c r="M19" i="10" s="1"/>
  <c r="G16" i="6"/>
  <c r="M18" i="10" s="1"/>
  <c r="G15" i="6"/>
  <c r="M17" i="10" s="1"/>
  <c r="F23" i="6"/>
  <c r="L25" i="10" s="1"/>
  <c r="F22" i="6"/>
  <c r="L24" i="10" s="1"/>
  <c r="F21" i="6"/>
  <c r="L23" i="10" s="1"/>
  <c r="F20" i="6"/>
  <c r="L22" i="10" s="1"/>
  <c r="F19" i="6"/>
  <c r="L21" i="10" s="1"/>
  <c r="F18" i="6"/>
  <c r="L20" i="10" s="1"/>
  <c r="F17" i="6"/>
  <c r="L19" i="10" s="1"/>
  <c r="F16" i="6"/>
  <c r="L18" i="10" s="1"/>
  <c r="F15" i="6"/>
  <c r="L17" i="10" s="1"/>
  <c r="D23" i="6"/>
  <c r="D22" i="6"/>
  <c r="D21" i="6"/>
  <c r="D20" i="6"/>
  <c r="D19" i="6"/>
  <c r="D18" i="6"/>
  <c r="D17" i="6"/>
  <c r="D16" i="6"/>
  <c r="D15" i="6"/>
  <c r="C16" i="6"/>
  <c r="C17" i="6"/>
  <c r="C18" i="6"/>
  <c r="C19" i="6"/>
  <c r="C20" i="6"/>
  <c r="C21" i="6"/>
  <c r="C22" i="6"/>
  <c r="C23" i="6"/>
  <c r="C15" i="6"/>
  <c r="H11" i="6"/>
  <c r="M12" i="10" s="1"/>
  <c r="H10" i="6"/>
  <c r="M11" i="10" s="1"/>
  <c r="H9" i="6"/>
  <c r="M10" i="10" s="1"/>
  <c r="H8" i="6"/>
  <c r="M9" i="10" s="1"/>
  <c r="H7" i="6"/>
  <c r="M8" i="10" s="1"/>
  <c r="H6" i="6"/>
  <c r="M7" i="10" s="1"/>
  <c r="H5" i="6"/>
  <c r="M6" i="10" s="1"/>
  <c r="H4" i="6"/>
  <c r="M5" i="10" s="1"/>
  <c r="H3" i="6"/>
  <c r="M4" i="10" s="1"/>
  <c r="G8" i="6"/>
  <c r="G6" i="6"/>
  <c r="G4" i="6"/>
  <c r="E11" i="6"/>
  <c r="E10" i="6"/>
  <c r="E9" i="6"/>
  <c r="E8" i="6"/>
  <c r="O22" i="10" s="1"/>
  <c r="E7" i="6"/>
  <c r="E6" i="6"/>
  <c r="O20" i="10" s="1"/>
  <c r="E5" i="6"/>
  <c r="E4" i="6"/>
  <c r="O18" i="10" s="1"/>
  <c r="E3" i="6"/>
  <c r="O17" i="10" s="1"/>
  <c r="D8" i="6"/>
  <c r="D6" i="6"/>
  <c r="D4" i="6"/>
  <c r="C4" i="6"/>
  <c r="C5" i="6"/>
  <c r="L6" i="10" s="1"/>
  <c r="C6" i="6"/>
  <c r="L7" i="10" s="1"/>
  <c r="C7" i="6"/>
  <c r="L8" i="10" s="1"/>
  <c r="C8" i="6"/>
  <c r="L9" i="10" s="1"/>
  <c r="C9" i="6"/>
  <c r="L10" i="10" s="1"/>
  <c r="C10" i="6"/>
  <c r="L11" i="10" s="1"/>
  <c r="C11" i="6"/>
  <c r="L12" i="10" s="1"/>
  <c r="C3" i="6"/>
  <c r="G26" i="6"/>
  <c r="F26" i="6"/>
  <c r="E26" i="6"/>
  <c r="D26" i="6"/>
  <c r="C26" i="6"/>
  <c r="A16" i="6"/>
  <c r="A15" i="6"/>
  <c r="A27" i="6" s="1"/>
  <c r="G14" i="6"/>
  <c r="F14" i="6"/>
  <c r="E14" i="6"/>
  <c r="D14" i="6"/>
  <c r="C14" i="6"/>
  <c r="B14" i="6"/>
  <c r="B26" i="6" s="1"/>
  <c r="A14" i="6"/>
  <c r="A26" i="6" s="1"/>
  <c r="A11" i="6"/>
  <c r="A23" i="6" s="1"/>
  <c r="B10" i="6"/>
  <c r="B22" i="6" s="1"/>
  <c r="B34" i="6" s="1"/>
  <c r="A10" i="6"/>
  <c r="A22" i="6" s="1"/>
  <c r="A34" i="6" s="1"/>
  <c r="A9" i="6"/>
  <c r="B8" i="6"/>
  <c r="B20" i="6" s="1"/>
  <c r="B32" i="6" s="1"/>
  <c r="A8" i="6"/>
  <c r="A20" i="6" s="1"/>
  <c r="A7" i="6"/>
  <c r="B7" i="6" s="1"/>
  <c r="B19" i="6" s="1"/>
  <c r="B31" i="6" s="1"/>
  <c r="A6" i="6"/>
  <c r="A18" i="6" s="1"/>
  <c r="A5" i="6"/>
  <c r="A17" i="6" s="1"/>
  <c r="B4" i="6"/>
  <c r="B16" i="6" s="1"/>
  <c r="B28" i="6" s="1"/>
  <c r="A4" i="6"/>
  <c r="A3" i="6"/>
  <c r="B3" i="6" s="1"/>
  <c r="B15" i="6" s="1"/>
  <c r="B27" i="6" s="1"/>
  <c r="I2" i="6"/>
  <c r="H2" i="6"/>
  <c r="G2" i="6"/>
  <c r="F2" i="6"/>
  <c r="E2" i="6"/>
  <c r="D2" i="6"/>
  <c r="C2" i="6"/>
  <c r="A1" i="6"/>
  <c r="F9" i="6" l="1"/>
  <c r="O23" i="10"/>
  <c r="F7" i="6"/>
  <c r="O21" i="10"/>
  <c r="F10" i="6"/>
  <c r="K34" i="6" s="1"/>
  <c r="O24" i="10"/>
  <c r="F11" i="6"/>
  <c r="K35" i="6" s="1"/>
  <c r="O25" i="10"/>
  <c r="L5" i="10"/>
  <c r="L4" i="10"/>
  <c r="F5" i="6"/>
  <c r="O19" i="10"/>
  <c r="P17" i="10"/>
  <c r="L28" i="6"/>
  <c r="F8" i="6"/>
  <c r="K32" i="6" s="1"/>
  <c r="K31" i="6"/>
  <c r="L29" i="6"/>
  <c r="F4" i="6"/>
  <c r="K28" i="6" s="1"/>
  <c r="L30" i="6"/>
  <c r="F6" i="6"/>
  <c r="K30" i="6" s="1"/>
  <c r="K33" i="6"/>
  <c r="L31" i="6"/>
  <c r="L32" i="6"/>
  <c r="F3" i="6"/>
  <c r="K27" i="6" s="1"/>
  <c r="L33" i="6"/>
  <c r="L34" i="6"/>
  <c r="K29" i="6"/>
  <c r="L27" i="6"/>
  <c r="L35" i="6"/>
  <c r="A29" i="6"/>
  <c r="A30" i="6"/>
  <c r="E18" i="6"/>
  <c r="Q7" i="10" s="1"/>
  <c r="A32" i="6"/>
  <c r="E20" i="6"/>
  <c r="Q9" i="10" s="1"/>
  <c r="A35" i="6"/>
  <c r="B5" i="6"/>
  <c r="B17" i="6" s="1"/>
  <c r="B29" i="6" s="1"/>
  <c r="B11" i="6"/>
  <c r="B23" i="6" s="1"/>
  <c r="B35" i="6" s="1"/>
  <c r="A21" i="6"/>
  <c r="A28" i="6"/>
  <c r="B9" i="6"/>
  <c r="B21" i="6" s="1"/>
  <c r="B33" i="6" s="1"/>
  <c r="E16" i="6"/>
  <c r="Q5" i="10" s="1"/>
  <c r="E36" i="6"/>
  <c r="P26" i="10" s="1"/>
  <c r="H12" i="6"/>
  <c r="M13" i="10" s="1"/>
  <c r="B6" i="6"/>
  <c r="B18" i="6" s="1"/>
  <c r="B30" i="6" s="1"/>
  <c r="A19" i="6"/>
  <c r="E21" i="6"/>
  <c r="Q10" i="10" s="1"/>
  <c r="B21" i="3" l="1"/>
  <c r="I3" i="6"/>
  <c r="F12" i="6"/>
  <c r="I6" i="6"/>
  <c r="I7" i="6"/>
  <c r="I8" i="6"/>
  <c r="I4" i="6"/>
  <c r="E15" i="6"/>
  <c r="Q4" i="10" s="1"/>
  <c r="G12" i="6"/>
  <c r="A31" i="6"/>
  <c r="F24" i="6"/>
  <c r="L26" i="10" s="1"/>
  <c r="E22" i="6"/>
  <c r="Q11" i="10" s="1"/>
  <c r="D12" i="6"/>
  <c r="K5" i="6" s="1"/>
  <c r="I11" i="6"/>
  <c r="E17" i="6"/>
  <c r="Q6" i="10" s="1"/>
  <c r="I5" i="6"/>
  <c r="E23" i="6"/>
  <c r="Q12" i="10" s="1"/>
  <c r="C12" i="6"/>
  <c r="L13" i="10" s="1"/>
  <c r="E12" i="6"/>
  <c r="O26" i="10" s="1"/>
  <c r="G24" i="6"/>
  <c r="M26" i="10" s="1"/>
  <c r="A33" i="6"/>
  <c r="E19" i="6" l="1"/>
  <c r="Q8" i="10" s="1"/>
  <c r="C24" i="6"/>
  <c r="E24" i="6"/>
  <c r="Q13" i="10" s="1"/>
  <c r="D24" i="6"/>
  <c r="I9" i="6"/>
  <c r="I10" i="6"/>
  <c r="I12" i="6" l="1"/>
  <c r="K6" i="6" s="1"/>
  <c r="F36" i="6"/>
  <c r="K7" i="6"/>
  <c r="C36" i="6"/>
  <c r="O13" i="10" s="1"/>
  <c r="D36" i="6"/>
  <c r="P13" i="10" s="1"/>
  <c r="K4" i="6" l="1"/>
  <c r="Q26" i="10"/>
  <c r="G36" i="6"/>
  <c r="K3" i="6" l="1"/>
  <c r="R26" i="10"/>
  <c r="B20" i="3" s="1"/>
  <c r="D26" i="5"/>
  <c r="E26" i="5"/>
  <c r="F26" i="5"/>
  <c r="G26" i="5"/>
  <c r="C26" i="5"/>
  <c r="D14" i="5"/>
  <c r="E14" i="5"/>
  <c r="F14" i="5"/>
  <c r="G14" i="5"/>
  <c r="C14" i="5"/>
  <c r="D2" i="5"/>
  <c r="E2" i="5"/>
  <c r="F2" i="5"/>
  <c r="G2" i="5"/>
  <c r="H2" i="5"/>
  <c r="I2" i="5"/>
  <c r="C2" i="5"/>
  <c r="B4" i="5" l="1"/>
  <c r="B5" i="5"/>
  <c r="B6" i="5"/>
  <c r="B7" i="5"/>
  <c r="B8" i="5"/>
  <c r="B9" i="5"/>
  <c r="B10" i="5"/>
  <c r="B11" i="5"/>
  <c r="B3" i="5"/>
  <c r="A4" i="5"/>
  <c r="A5" i="5"/>
  <c r="A6" i="5"/>
  <c r="A7" i="5"/>
  <c r="A8" i="5"/>
  <c r="A9" i="5"/>
  <c r="A10" i="5"/>
  <c r="A11" i="5"/>
  <c r="A3" i="5"/>
  <c r="B14" i="5" l="1"/>
  <c r="B26" i="5" s="1"/>
  <c r="A14" i="5"/>
  <c r="A26" i="5" s="1"/>
  <c r="B15" i="5" l="1"/>
  <c r="B27" i="5" s="1"/>
  <c r="A15" i="5"/>
  <c r="B16" i="5" l="1"/>
  <c r="B28" i="5" s="1"/>
  <c r="A16" i="5"/>
  <c r="A27" i="5"/>
  <c r="A17" i="5" l="1"/>
  <c r="B17" i="5"/>
  <c r="B29" i="5" s="1"/>
  <c r="A28" i="5"/>
  <c r="A18" i="5" l="1"/>
  <c r="B18" i="5"/>
  <c r="B30" i="5" s="1"/>
  <c r="A29" i="5"/>
  <c r="A30" i="5" l="1"/>
  <c r="A19" i="5"/>
  <c r="B19" i="5"/>
  <c r="B31" i="5" s="1"/>
  <c r="A21" i="5" l="1"/>
  <c r="B21" i="5"/>
  <c r="B33" i="5" s="1"/>
  <c r="B20" i="5"/>
  <c r="B32" i="5" s="1"/>
  <c r="A20" i="5"/>
  <c r="A31" i="5"/>
  <c r="A33" i="5" l="1"/>
  <c r="A32" i="5"/>
  <c r="A22" i="5"/>
  <c r="B22" i="5"/>
  <c r="B34" i="5" s="1"/>
  <c r="B23" i="5" l="1"/>
  <c r="B35" i="5" s="1"/>
  <c r="A23" i="5"/>
  <c r="A34" i="5"/>
  <c r="A35" i="5" l="1"/>
  <c r="J13" i="2" l="1"/>
  <c r="K4" i="2" l="1"/>
  <c r="K12" i="2" l="1"/>
  <c r="K11" i="2"/>
  <c r="K10" i="2"/>
  <c r="K9" i="2"/>
  <c r="K8" i="2"/>
  <c r="K7" i="2"/>
  <c r="K6" i="2"/>
  <c r="K5" i="2"/>
  <c r="E2" i="2"/>
  <c r="E3" i="2"/>
  <c r="C3" i="2"/>
  <c r="A1" i="2"/>
  <c r="B3" i="2"/>
  <c r="A5" i="2"/>
  <c r="A6" i="2"/>
  <c r="A7" i="2"/>
  <c r="A8" i="2"/>
  <c r="A9" i="2"/>
  <c r="A10" i="2"/>
  <c r="A11" i="2"/>
  <c r="A12" i="2"/>
  <c r="A4" i="2"/>
  <c r="D7" i="7" l="1"/>
  <c r="D7" i="8" s="1"/>
  <c r="D6" i="7"/>
  <c r="D6" i="8" s="1"/>
  <c r="C3" i="7"/>
  <c r="C3" i="8" s="1"/>
  <c r="C4" i="7"/>
  <c r="C4" i="8" s="1"/>
  <c r="D11" i="7"/>
  <c r="D11" i="8" s="1"/>
  <c r="D9" i="7"/>
  <c r="D9" i="8" s="1"/>
  <c r="E3" i="7"/>
  <c r="E3" i="8" s="1"/>
  <c r="D4" i="2"/>
  <c r="E27" i="8" s="1"/>
  <c r="D35" i="7"/>
  <c r="G17" i="7"/>
  <c r="G17" i="8" s="1"/>
  <c r="F18" i="7"/>
  <c r="F18" i="8" s="1"/>
  <c r="G10" i="7"/>
  <c r="F11" i="5"/>
  <c r="G20" i="7"/>
  <c r="G20" i="8" s="1"/>
  <c r="G5" i="7"/>
  <c r="D34" i="7"/>
  <c r="C28" i="7"/>
  <c r="C28" i="8" s="1"/>
  <c r="F17" i="7"/>
  <c r="F17" i="8" s="1"/>
  <c r="D18" i="7"/>
  <c r="D18" i="8" s="1"/>
  <c r="H8" i="7"/>
  <c r="H8" i="8" s="1"/>
  <c r="G9" i="7"/>
  <c r="D3" i="7"/>
  <c r="H4" i="7"/>
  <c r="H4" i="8" s="1"/>
  <c r="G23" i="7"/>
  <c r="G23" i="8" s="1"/>
  <c r="G15" i="7"/>
  <c r="F16" i="7"/>
  <c r="F16" i="8" s="1"/>
  <c r="H7" i="7"/>
  <c r="H7" i="8" s="1"/>
  <c r="G8" i="7"/>
  <c r="D22" i="7"/>
  <c r="D22" i="8" s="1"/>
  <c r="C30" i="7"/>
  <c r="C30" i="8" s="1"/>
  <c r="F23" i="7"/>
  <c r="F23" i="8" s="1"/>
  <c r="F15" i="7"/>
  <c r="D16" i="7"/>
  <c r="D16" i="8" s="1"/>
  <c r="C22" i="7"/>
  <c r="H6" i="7"/>
  <c r="H6" i="8" s="1"/>
  <c r="G7" i="7"/>
  <c r="E8" i="7"/>
  <c r="E8" i="8" s="1"/>
  <c r="C5" i="7"/>
  <c r="D30" i="7"/>
  <c r="C16" i="7"/>
  <c r="D31" i="7"/>
  <c r="C31" i="7"/>
  <c r="C31" i="8" s="1"/>
  <c r="G21" i="7"/>
  <c r="G21" i="8" s="1"/>
  <c r="F22" i="7"/>
  <c r="F22" i="8" s="1"/>
  <c r="C23" i="7"/>
  <c r="H5" i="7"/>
  <c r="H5" i="8" s="1"/>
  <c r="G6" i="7"/>
  <c r="F7" i="5"/>
  <c r="C6" i="7"/>
  <c r="C6" i="8" s="1"/>
  <c r="C32" i="7"/>
  <c r="C32" i="8" s="1"/>
  <c r="D29" i="7"/>
  <c r="G19" i="7"/>
  <c r="G19" i="8" s="1"/>
  <c r="F20" i="7"/>
  <c r="F20" i="8" s="1"/>
  <c r="D21" i="7"/>
  <c r="D21" i="8" s="1"/>
  <c r="H11" i="7"/>
  <c r="H11" i="8" s="1"/>
  <c r="H3" i="7"/>
  <c r="G4" i="7"/>
  <c r="E5" i="7"/>
  <c r="E5" i="8" s="1"/>
  <c r="C8" i="7"/>
  <c r="C8" i="8" s="1"/>
  <c r="F21" i="7"/>
  <c r="F21" i="8" s="1"/>
  <c r="C34" i="7"/>
  <c r="C34" i="8" s="1"/>
  <c r="F19" i="7"/>
  <c r="F19" i="8" s="1"/>
  <c r="D20" i="7"/>
  <c r="D20" i="8" s="1"/>
  <c r="C18" i="7"/>
  <c r="H10" i="7"/>
  <c r="H10" i="8" s="1"/>
  <c r="G11" i="7"/>
  <c r="G3" i="7"/>
  <c r="E4" i="7"/>
  <c r="C11" i="7"/>
  <c r="C11" i="8" s="1"/>
  <c r="C15" i="7"/>
  <c r="C7" i="7"/>
  <c r="C7" i="8" s="1"/>
  <c r="C10" i="2"/>
  <c r="C7" i="2"/>
  <c r="C11" i="2"/>
  <c r="C6" i="2"/>
  <c r="C9" i="2"/>
  <c r="C5" i="2"/>
  <c r="C12" i="2"/>
  <c r="C8" i="2"/>
  <c r="E5" i="2"/>
  <c r="B4" i="2"/>
  <c r="E12" i="2"/>
  <c r="E8" i="2"/>
  <c r="E11" i="2"/>
  <c r="E7" i="2"/>
  <c r="F7" i="2" s="1"/>
  <c r="E10" i="2"/>
  <c r="E6" i="2"/>
  <c r="E4" i="2"/>
  <c r="E9" i="2"/>
  <c r="B11" i="2"/>
  <c r="B7" i="2"/>
  <c r="C4" i="2"/>
  <c r="B8" i="2"/>
  <c r="B12" i="2"/>
  <c r="B5" i="2"/>
  <c r="B9" i="2"/>
  <c r="B6" i="2"/>
  <c r="B10" i="2"/>
  <c r="D12" i="2" l="1"/>
  <c r="E35" i="8" s="1"/>
  <c r="D5" i="2"/>
  <c r="E28" i="8" s="1"/>
  <c r="D7" i="2"/>
  <c r="E30" i="8" s="1"/>
  <c r="D6" i="2"/>
  <c r="E29" i="8" s="1"/>
  <c r="D10" i="2"/>
  <c r="E33" i="8" s="1"/>
  <c r="D9" i="2"/>
  <c r="E32" i="8" s="1"/>
  <c r="D11" i="2"/>
  <c r="E34" i="8" s="1"/>
  <c r="D8" i="2"/>
  <c r="E31" i="8" s="1"/>
  <c r="F10" i="2"/>
  <c r="D8" i="7"/>
  <c r="F8" i="7" s="1"/>
  <c r="F8" i="5"/>
  <c r="D10" i="7"/>
  <c r="D10" i="8" s="1"/>
  <c r="F10" i="5"/>
  <c r="E9" i="7"/>
  <c r="E9" i="8" s="1"/>
  <c r="F9" i="5"/>
  <c r="D4" i="7"/>
  <c r="D4" i="8" s="1"/>
  <c r="F4" i="5"/>
  <c r="E6" i="7"/>
  <c r="E6" i="8" s="1"/>
  <c r="F6" i="5"/>
  <c r="D5" i="7"/>
  <c r="D5" i="8" s="1"/>
  <c r="F5" i="5"/>
  <c r="G9" i="8"/>
  <c r="D34" i="8"/>
  <c r="C19" i="7"/>
  <c r="C15" i="8"/>
  <c r="C18" i="8"/>
  <c r="E18" i="7"/>
  <c r="E7" i="7"/>
  <c r="F7" i="7" s="1"/>
  <c r="C22" i="8"/>
  <c r="E22" i="7"/>
  <c r="G5" i="8"/>
  <c r="D19" i="7"/>
  <c r="G31" i="7" s="1"/>
  <c r="G6" i="8"/>
  <c r="G30" i="7"/>
  <c r="D31" i="8"/>
  <c r="C29" i="7"/>
  <c r="C29" i="8" s="1"/>
  <c r="C20" i="7"/>
  <c r="E20" i="7" s="1"/>
  <c r="G15" i="8"/>
  <c r="C9" i="7"/>
  <c r="C9" i="8" s="1"/>
  <c r="C33" i="7"/>
  <c r="C33" i="8" s="1"/>
  <c r="C16" i="8"/>
  <c r="E16" i="7"/>
  <c r="F15" i="8"/>
  <c r="F24" i="8" s="1"/>
  <c r="F24" i="7"/>
  <c r="G8" i="8"/>
  <c r="D33" i="7"/>
  <c r="D33" i="8" s="1"/>
  <c r="C10" i="7"/>
  <c r="C12" i="7" s="1"/>
  <c r="G18" i="7"/>
  <c r="G18" i="8" s="1"/>
  <c r="G4" i="8"/>
  <c r="D29" i="8"/>
  <c r="C23" i="8"/>
  <c r="D30" i="8"/>
  <c r="C35" i="7"/>
  <c r="C35" i="8" s="1"/>
  <c r="C5" i="8"/>
  <c r="G22" i="7"/>
  <c r="G22" i="8" s="1"/>
  <c r="C21" i="7"/>
  <c r="E21" i="7" s="1"/>
  <c r="D3" i="8"/>
  <c r="F3" i="7"/>
  <c r="F27" i="7" s="1"/>
  <c r="G16" i="7"/>
  <c r="E11" i="7"/>
  <c r="F11" i="7" s="1"/>
  <c r="D27" i="7"/>
  <c r="G3" i="8"/>
  <c r="G12" i="7"/>
  <c r="D23" i="7"/>
  <c r="E23" i="7" s="1"/>
  <c r="D17" i="7"/>
  <c r="C27" i="7"/>
  <c r="G10" i="8"/>
  <c r="G34" i="7"/>
  <c r="D35" i="8"/>
  <c r="E4" i="8"/>
  <c r="H3" i="8"/>
  <c r="F6" i="7"/>
  <c r="D15" i="7"/>
  <c r="D28" i="7"/>
  <c r="G11" i="8"/>
  <c r="C17" i="7"/>
  <c r="G7" i="8"/>
  <c r="D32" i="7"/>
  <c r="E10" i="7"/>
  <c r="H9" i="7"/>
  <c r="G33" i="7" s="1"/>
  <c r="F11" i="2"/>
  <c r="F6" i="2"/>
  <c r="G27" i="5"/>
  <c r="L4" i="2"/>
  <c r="H12" i="5"/>
  <c r="F8" i="2"/>
  <c r="F5" i="2"/>
  <c r="L12" i="2"/>
  <c r="F9" i="2"/>
  <c r="F12" i="2"/>
  <c r="E13" i="2"/>
  <c r="F4" i="2"/>
  <c r="C13" i="2"/>
  <c r="B18" i="3" s="1"/>
  <c r="L9" i="2" l="1"/>
  <c r="L10" i="2"/>
  <c r="L5" i="2"/>
  <c r="L7" i="2"/>
  <c r="L6" i="2"/>
  <c r="L8" i="2"/>
  <c r="E36" i="8"/>
  <c r="D13" i="2"/>
  <c r="B17" i="3" s="1"/>
  <c r="L11" i="2"/>
  <c r="D8" i="8"/>
  <c r="F10" i="7"/>
  <c r="F10" i="8" s="1"/>
  <c r="F5" i="7"/>
  <c r="I5" i="7" s="1"/>
  <c r="G29" i="7"/>
  <c r="M29" i="7" s="1"/>
  <c r="C21" i="8"/>
  <c r="F9" i="7"/>
  <c r="F33" i="7" s="1"/>
  <c r="D12" i="7"/>
  <c r="F4" i="7"/>
  <c r="K28" i="7" s="1"/>
  <c r="C20" i="8"/>
  <c r="D19" i="8"/>
  <c r="K32" i="7"/>
  <c r="C10" i="8"/>
  <c r="C12" i="8" s="1"/>
  <c r="E12" i="7"/>
  <c r="E7" i="8"/>
  <c r="E10" i="8"/>
  <c r="H9" i="8"/>
  <c r="H12" i="8" s="1"/>
  <c r="E19" i="7"/>
  <c r="K31" i="7" s="1"/>
  <c r="K30" i="7"/>
  <c r="G24" i="7"/>
  <c r="G16" i="8"/>
  <c r="G24" i="8" s="1"/>
  <c r="H12" i="7"/>
  <c r="M33" i="7"/>
  <c r="D36" i="7"/>
  <c r="F11" i="8"/>
  <c r="F35" i="7"/>
  <c r="I11" i="7"/>
  <c r="G32" i="7"/>
  <c r="F7" i="8"/>
  <c r="F31" i="7"/>
  <c r="I7" i="7"/>
  <c r="D17" i="8"/>
  <c r="D24" i="7"/>
  <c r="D23" i="8"/>
  <c r="D28" i="8"/>
  <c r="K35" i="7"/>
  <c r="D32" i="8"/>
  <c r="C19" i="8"/>
  <c r="M31" i="7"/>
  <c r="E11" i="8"/>
  <c r="G28" i="7"/>
  <c r="M28" i="7" s="1"/>
  <c r="E17" i="7"/>
  <c r="F6" i="8"/>
  <c r="F30" i="7"/>
  <c r="I6" i="7"/>
  <c r="M34" i="7"/>
  <c r="C17" i="8"/>
  <c r="G27" i="7"/>
  <c r="C24" i="7"/>
  <c r="C36" i="7"/>
  <c r="E15" i="7"/>
  <c r="K27" i="7" s="1"/>
  <c r="F8" i="8"/>
  <c r="I8" i="7"/>
  <c r="F32" i="7"/>
  <c r="D15" i="8"/>
  <c r="G35" i="7"/>
  <c r="M35" i="7" s="1"/>
  <c r="G12" i="8"/>
  <c r="I3" i="7"/>
  <c r="C27" i="8"/>
  <c r="C36" i="8" s="1"/>
  <c r="D27" i="8"/>
  <c r="D12" i="8"/>
  <c r="M30" i="7"/>
  <c r="M27" i="5"/>
  <c r="F13" i="2"/>
  <c r="B15" i="3" s="1"/>
  <c r="I9" i="7" l="1"/>
  <c r="F9" i="8"/>
  <c r="K33" i="7"/>
  <c r="B16" i="3"/>
  <c r="K34" i="7"/>
  <c r="I10" i="7"/>
  <c r="F29" i="7"/>
  <c r="L29" i="7" s="1"/>
  <c r="F34" i="7"/>
  <c r="L34" i="7" s="1"/>
  <c r="F5" i="8"/>
  <c r="K29" i="7"/>
  <c r="F12" i="7"/>
  <c r="K5" i="7" s="1"/>
  <c r="I4" i="7"/>
  <c r="F4" i="8"/>
  <c r="F28" i="7"/>
  <c r="L28" i="7" s="1"/>
  <c r="C24" i="8"/>
  <c r="E12" i="8"/>
  <c r="D24" i="8"/>
  <c r="E24" i="7"/>
  <c r="L33" i="7"/>
  <c r="G27" i="8"/>
  <c r="M27" i="7"/>
  <c r="G36" i="7"/>
  <c r="M36" i="7" s="1"/>
  <c r="L35" i="7"/>
  <c r="L32" i="7"/>
  <c r="L30" i="7"/>
  <c r="L31" i="7"/>
  <c r="L27" i="7"/>
  <c r="D36" i="8"/>
  <c r="M32" i="7"/>
  <c r="E36" i="5"/>
  <c r="I12" i="7" l="1"/>
  <c r="K6" i="7"/>
  <c r="F36" i="7"/>
  <c r="K4" i="7" s="1"/>
  <c r="K36" i="7"/>
  <c r="L36" i="7"/>
  <c r="K7" i="7"/>
  <c r="B23" i="3"/>
  <c r="J27" i="8"/>
  <c r="L27" i="8"/>
  <c r="K3" i="7"/>
  <c r="E20" i="5"/>
  <c r="E21" i="5"/>
  <c r="G32" i="5"/>
  <c r="G32" i="8" s="1"/>
  <c r="G29" i="5"/>
  <c r="G29" i="8" s="1"/>
  <c r="G33" i="5"/>
  <c r="G33" i="8" s="1"/>
  <c r="G34" i="5"/>
  <c r="G34" i="8" s="1"/>
  <c r="G30" i="5"/>
  <c r="G30" i="8" s="1"/>
  <c r="I7" i="5"/>
  <c r="I7" i="8" s="1"/>
  <c r="G35" i="5"/>
  <c r="G35" i="8" s="1"/>
  <c r="K33" i="5" l="1"/>
  <c r="E21" i="8"/>
  <c r="H33" i="8" s="1"/>
  <c r="L35" i="8"/>
  <c r="J35" i="8"/>
  <c r="L34" i="8"/>
  <c r="J34" i="8"/>
  <c r="J29" i="8"/>
  <c r="L29" i="8"/>
  <c r="K32" i="5"/>
  <c r="E20" i="8"/>
  <c r="H32" i="8" s="1"/>
  <c r="L30" i="8"/>
  <c r="J30" i="8"/>
  <c r="J33" i="8"/>
  <c r="L33" i="8"/>
  <c r="L32" i="8"/>
  <c r="J32" i="8"/>
  <c r="M34" i="5"/>
  <c r="M29" i="5"/>
  <c r="M30" i="5"/>
  <c r="M33" i="5"/>
  <c r="M32" i="5"/>
  <c r="M35" i="5"/>
  <c r="E16" i="5"/>
  <c r="I5" i="5"/>
  <c r="I5" i="8" s="1"/>
  <c r="C36" i="5"/>
  <c r="D36" i="5"/>
  <c r="I9" i="5"/>
  <c r="I9" i="8" s="1"/>
  <c r="G31" i="5"/>
  <c r="G31" i="8" s="1"/>
  <c r="E15" i="5"/>
  <c r="C24" i="5"/>
  <c r="I11" i="5"/>
  <c r="I11" i="8" s="1"/>
  <c r="E23" i="5"/>
  <c r="E22" i="5"/>
  <c r="D24" i="5"/>
  <c r="E19" i="5"/>
  <c r="E18" i="5"/>
  <c r="E17" i="5"/>
  <c r="I4" i="5"/>
  <c r="I4" i="8" s="1"/>
  <c r="F24" i="5"/>
  <c r="G24" i="5"/>
  <c r="F35" i="5"/>
  <c r="F31" i="5"/>
  <c r="F29" i="5"/>
  <c r="D12" i="5"/>
  <c r="C12" i="5"/>
  <c r="G12" i="5"/>
  <c r="G28" i="5"/>
  <c r="I6" i="5"/>
  <c r="I6" i="8" s="1"/>
  <c r="I8" i="5"/>
  <c r="I8" i="8" s="1"/>
  <c r="F3" i="5"/>
  <c r="F3" i="8" s="1"/>
  <c r="E12" i="5"/>
  <c r="I10" i="5"/>
  <c r="I10" i="8" s="1"/>
  <c r="E15" i="8" l="1"/>
  <c r="K27" i="5"/>
  <c r="L31" i="5"/>
  <c r="F31" i="8"/>
  <c r="L35" i="5"/>
  <c r="F35" i="8"/>
  <c r="K34" i="5"/>
  <c r="E22" i="8"/>
  <c r="H34" i="8" s="1"/>
  <c r="M28" i="5"/>
  <c r="G28" i="8"/>
  <c r="K28" i="5"/>
  <c r="E16" i="8"/>
  <c r="H28" i="8" s="1"/>
  <c r="K29" i="5"/>
  <c r="E17" i="8"/>
  <c r="H29" i="8" s="1"/>
  <c r="K30" i="5"/>
  <c r="E18" i="8"/>
  <c r="H30" i="8" s="1"/>
  <c r="L31" i="8"/>
  <c r="J31" i="8"/>
  <c r="K35" i="5"/>
  <c r="E23" i="8"/>
  <c r="H35" i="8" s="1"/>
  <c r="L29" i="5"/>
  <c r="F29" i="8"/>
  <c r="K31" i="5"/>
  <c r="E19" i="8"/>
  <c r="H31" i="8" s="1"/>
  <c r="F12" i="8"/>
  <c r="H27" i="8"/>
  <c r="F27" i="5"/>
  <c r="M31" i="5"/>
  <c r="G36" i="5"/>
  <c r="F33" i="5"/>
  <c r="I3" i="5"/>
  <c r="I3" i="8" s="1"/>
  <c r="I12" i="8" s="1"/>
  <c r="F28" i="5"/>
  <c r="E24" i="5"/>
  <c r="K7" i="5" s="1"/>
  <c r="F34" i="5"/>
  <c r="F30" i="5"/>
  <c r="F12" i="5"/>
  <c r="F32" i="5"/>
  <c r="F27" i="8" l="1"/>
  <c r="L27" i="5"/>
  <c r="K6" i="8"/>
  <c r="L28" i="5"/>
  <c r="F28" i="8"/>
  <c r="E24" i="8"/>
  <c r="K7" i="8" s="1"/>
  <c r="K35" i="8"/>
  <c r="I35" i="8"/>
  <c r="L32" i="5"/>
  <c r="F32" i="8"/>
  <c r="K31" i="8"/>
  <c r="I31" i="8"/>
  <c r="L28" i="8"/>
  <c r="L36" i="8" s="1"/>
  <c r="J28" i="8"/>
  <c r="G36" i="8"/>
  <c r="K29" i="8"/>
  <c r="I29" i="8"/>
  <c r="L33" i="5"/>
  <c r="F33" i="8"/>
  <c r="L30" i="5"/>
  <c r="F30" i="8"/>
  <c r="L34" i="5"/>
  <c r="F34" i="8"/>
  <c r="B19" i="3"/>
  <c r="K27" i="8"/>
  <c r="I27" i="8"/>
  <c r="K5" i="8"/>
  <c r="I12" i="5"/>
  <c r="K6" i="5" s="1"/>
  <c r="K3" i="5"/>
  <c r="M36" i="5"/>
  <c r="K36" i="5"/>
  <c r="F36" i="5"/>
  <c r="K5" i="5"/>
  <c r="H36" i="8" l="1"/>
  <c r="F36" i="8"/>
  <c r="I36" i="8" s="1"/>
  <c r="K4" i="8"/>
  <c r="K33" i="8"/>
  <c r="I33" i="8"/>
  <c r="I32" i="8"/>
  <c r="K32" i="8"/>
  <c r="J36" i="8"/>
  <c r="K3" i="8"/>
  <c r="I30" i="8"/>
  <c r="K30" i="8"/>
  <c r="I28" i="8"/>
  <c r="K28" i="8"/>
  <c r="K34" i="8"/>
  <c r="I34" i="8"/>
  <c r="K4" i="5"/>
  <c r="L36" i="5"/>
  <c r="B22" i="3" s="1"/>
  <c r="B24" i="3" l="1"/>
  <c r="K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Parker, John [IDOM]</author>
  </authors>
  <commentList>
    <comment ref="B2" authorId="0" shapeId="0" xr:uid="{CDFD5B60-2DEF-48DB-896C-CFF512373436}">
      <text>
        <r>
          <rPr>
            <b/>
            <sz val="12"/>
            <color indexed="81"/>
            <rFont val="Tahoma"/>
            <family val="2"/>
          </rPr>
          <t>Select Payment Month Using Dropdown</t>
        </r>
      </text>
    </comment>
  </commentList>
</comments>
</file>

<file path=xl/sharedStrings.xml><?xml version="1.0" encoding="utf-8"?>
<sst xmlns="http://schemas.openxmlformats.org/spreadsheetml/2006/main" count="1519" uniqueCount="774">
  <si>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</si>
  <si>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</si>
  <si>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</si>
  <si>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</si>
  <si>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</si>
  <si>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</si>
  <si>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</si>
  <si>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</si>
  <si>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</si>
  <si>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</si>
  <si>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</si>
  <si>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</si>
  <si>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</si>
  <si>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</si>
  <si>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</si>
  <si>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</si>
  <si>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</si>
  <si>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</si>
  <si>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</si>
  <si>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</si>
  <si>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</si>
  <si>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</si>
  <si>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</si>
  <si>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</si>
  <si>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September</t>
  </si>
  <si>
    <t>Pay 1</t>
  </si>
  <si>
    <t>October</t>
  </si>
  <si>
    <t>November</t>
  </si>
  <si>
    <t>December</t>
  </si>
  <si>
    <t>January</t>
  </si>
  <si>
    <t>Pay 2</t>
  </si>
  <si>
    <t>February</t>
  </si>
  <si>
    <t>March</t>
  </si>
  <si>
    <t>April</t>
  </si>
  <si>
    <t>May</t>
  </si>
  <si>
    <t>June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</si>
  <si>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</si>
  <si>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</si>
  <si>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</si>
  <si>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</si>
  <si>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</si>
  <si>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</si>
  <si>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</si>
  <si>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</si>
  <si>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</si>
  <si>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</si>
  <si>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</si>
  <si>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</si>
  <si>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</si>
  <si>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</si>
  <si>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</si>
  <si>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</si>
  <si>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</si>
  <si>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</si>
  <si>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</si>
  <si>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</si>
  <si>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</si>
  <si>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</si>
  <si>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</si>
  <si>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</si>
  <si>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Will not Equal Zero on the last payment because the final payment is the difference of what has been paid vs what is left, so does not equal the the total amount paid. Off by $1,200 to $1,500</t>
  </si>
  <si>
    <t>FiscalYear</t>
  </si>
  <si>
    <t>Dist</t>
  </si>
  <si>
    <t>District</t>
  </si>
  <si>
    <t>AEA Special Ed Support District Cost Formula Generated</t>
  </si>
  <si>
    <t>State Aid Portion Special Ed</t>
  </si>
  <si>
    <t>AEA Statewide State Aid Reduction</t>
  </si>
  <si>
    <t>State Aid Special Ed Minus Reduction</t>
  </si>
  <si>
    <t>Special Education Property Tax Portion</t>
  </si>
  <si>
    <t>AEA Special Ed Support Adjustment</t>
  </si>
  <si>
    <t>Total Special Ed Funding Removing Reduction Including Adjustment</t>
  </si>
  <si>
    <t>State Aid Portion Sharing Operations</t>
  </si>
  <si>
    <t>Sharing Operations Property Tax</t>
  </si>
  <si>
    <t>Total AEA Sharing Operations</t>
  </si>
  <si>
    <t>AEA Teacher Salary Supplement District Cost</t>
  </si>
  <si>
    <t>AEA Professional Development Supplement District Cost</t>
  </si>
  <si>
    <t>AEA Media Services District Cost</t>
  </si>
  <si>
    <t>AEA Ed Services District Cost</t>
  </si>
  <si>
    <t>Total Budget</t>
  </si>
  <si>
    <t>State Aid Portion</t>
  </si>
  <si>
    <t>Property Tax Portion</t>
  </si>
  <si>
    <t>Adair-Casey</t>
  </si>
  <si>
    <t>Adel-Desoto-Minburn</t>
  </si>
  <si>
    <t>AGWSR</t>
  </si>
  <si>
    <t>AHSTW</t>
  </si>
  <si>
    <t>Akron-Westfield</t>
  </si>
  <si>
    <t>Albert City-Truesdale</t>
  </si>
  <si>
    <t>Albia</t>
  </si>
  <si>
    <t>Alburnett</t>
  </si>
  <si>
    <t>Alden</t>
  </si>
  <si>
    <t>Algona</t>
  </si>
  <si>
    <t>Allamakee</t>
  </si>
  <si>
    <t>Alta-Aurelia</t>
  </si>
  <si>
    <t>Ames</t>
  </si>
  <si>
    <t>Anamosa</t>
  </si>
  <si>
    <t>Andrew</t>
  </si>
  <si>
    <t>Ankeny</t>
  </si>
  <si>
    <t>Aplington-Parkersburg</t>
  </si>
  <si>
    <t>Ar-We-Va</t>
  </si>
  <si>
    <t>Atlantic</t>
  </si>
  <si>
    <t>Audubon</t>
  </si>
  <si>
    <t>Ballard</t>
  </si>
  <si>
    <t>Baxter</t>
  </si>
  <si>
    <t>BCLUW</t>
  </si>
  <si>
    <t>Bedford</t>
  </si>
  <si>
    <t>Belle Plaine</t>
  </si>
  <si>
    <t>Bellevue</t>
  </si>
  <si>
    <t>Belmond-Klemme</t>
  </si>
  <si>
    <t>Bennett</t>
  </si>
  <si>
    <t>Benton</t>
  </si>
  <si>
    <t>Bettendorf</t>
  </si>
  <si>
    <t>Bondurant-Farrar</t>
  </si>
  <si>
    <t>Boone</t>
  </si>
  <si>
    <t>Boyden-Hull</t>
  </si>
  <si>
    <t>Boyer Valley</t>
  </si>
  <si>
    <t>Brooklyn-Guernsey-Malcom</t>
  </si>
  <si>
    <t>Burlington</t>
  </si>
  <si>
    <t>CAL</t>
  </si>
  <si>
    <t>Calamus-Wheatland</t>
  </si>
  <si>
    <t>CAM</t>
  </si>
  <si>
    <t>Camanche</t>
  </si>
  <si>
    <t>Cardinal</t>
  </si>
  <si>
    <t>Carlisle</t>
  </si>
  <si>
    <t>Carroll</t>
  </si>
  <si>
    <t>Cedar Falls</t>
  </si>
  <si>
    <t>Cedar Rapids</t>
  </si>
  <si>
    <t>Center Point-Urbana</t>
  </si>
  <si>
    <t>Centerville</t>
  </si>
  <si>
    <t>Central City</t>
  </si>
  <si>
    <t>Central Clayton</t>
  </si>
  <si>
    <t>Central De Witt</t>
  </si>
  <si>
    <t>Central Decatur</t>
  </si>
  <si>
    <t>Central Lee</t>
  </si>
  <si>
    <t>Central Lyon</t>
  </si>
  <si>
    <t>Central Springs</t>
  </si>
  <si>
    <t>Chariton</t>
  </si>
  <si>
    <t>Charles City</t>
  </si>
  <si>
    <t>Charter Oak-Ute</t>
  </si>
  <si>
    <t>Cherokee</t>
  </si>
  <si>
    <t>Clarinda</t>
  </si>
  <si>
    <t>Clarion-Goldfield-Dows</t>
  </si>
  <si>
    <t>Clarke</t>
  </si>
  <si>
    <t>Clarksville</t>
  </si>
  <si>
    <t>Clay Central-Everly</t>
  </si>
  <si>
    <t>Clayton Ridge</t>
  </si>
  <si>
    <t>Clear Creek-Amana</t>
  </si>
  <si>
    <t>Clear Lake</t>
  </si>
  <si>
    <t>Clinton</t>
  </si>
  <si>
    <t>Colfax-Mingo</t>
  </si>
  <si>
    <t>College Community</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</si>
  <si>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</si>
  <si>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</si>
  <si>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</si>
  <si>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</si>
  <si>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</si>
  <si>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</si>
  <si>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</si>
  <si>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</si>
  <si>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</si>
  <si>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</si>
  <si>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</si>
  <si>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</si>
  <si>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</si>
  <si>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</si>
  <si>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</si>
  <si>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</si>
  <si>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</si>
  <si>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Dike-New Hartford</t>
  </si>
  <si>
    <t>Dubuque</t>
  </si>
  <si>
    <t>Dunkerton</t>
  </si>
  <si>
    <t>Durant</t>
  </si>
  <si>
    <t>Eagle Grove</t>
  </si>
  <si>
    <t>Earlham</t>
  </si>
  <si>
    <t>East Buchanan</t>
  </si>
  <si>
    <t>East Marshall</t>
  </si>
  <si>
    <t>East Mills</t>
  </si>
  <si>
    <t>East Sac County</t>
  </si>
  <si>
    <t>East Union</t>
  </si>
  <si>
    <t>Eastern Allamakee</t>
  </si>
  <si>
    <t>Easton Valley</t>
  </si>
  <si>
    <t>Eddyville-Blakesburg-Fremont</t>
  </si>
  <si>
    <t>Edgewood-Colesburg</t>
  </si>
  <si>
    <t>Eldora-New Providence</t>
  </si>
  <si>
    <t>Emmetsburg</t>
  </si>
  <si>
    <t>English Valleys</t>
  </si>
  <si>
    <t>Essex</t>
  </si>
  <si>
    <t>Estherville-Lincoln Central</t>
  </si>
  <si>
    <t>Exira-Elk Horn-Kimballton</t>
  </si>
  <si>
    <t>Fairfield</t>
  </si>
  <si>
    <t>Forest City</t>
  </si>
  <si>
    <t>Fort Dodge</t>
  </si>
  <si>
    <t>Fort Madison</t>
  </si>
  <si>
    <t>Fremont-Mills</t>
  </si>
  <si>
    <t>Galva-Holstein</t>
  </si>
  <si>
    <t>Garner-Hayfield-Ventura</t>
  </si>
  <si>
    <t>George-Little Rock</t>
  </si>
  <si>
    <t>Gilbert</t>
  </si>
  <si>
    <t>Gilmore City-Bradgate</t>
  </si>
  <si>
    <t>Gladbrook-Reinbeck</t>
  </si>
  <si>
    <t>Glenwood</t>
  </si>
  <si>
    <t>Glidden-Ralston</t>
  </si>
  <si>
    <t>GMG</t>
  </si>
  <si>
    <t>Graettinger-Terril</t>
  </si>
  <si>
    <t>Greene County</t>
  </si>
  <si>
    <t>Grinnell-Newburg</t>
  </si>
  <si>
    <t>Griswold</t>
  </si>
  <si>
    <t>Grundy Center</t>
  </si>
  <si>
    <t>Guthrie Center</t>
  </si>
  <si>
    <t>Hamburg</t>
  </si>
  <si>
    <t>Hampton-Dumont</t>
  </si>
  <si>
    <t>Harlan</t>
  </si>
  <si>
    <t>Harris-Lake Park</t>
  </si>
  <si>
    <t>Hartley-Melvin-Sanborn</t>
  </si>
  <si>
    <t>Highland</t>
  </si>
  <si>
    <t>Hinton</t>
  </si>
  <si>
    <t>HLV</t>
  </si>
  <si>
    <t>Howard-Winneshiek</t>
  </si>
  <si>
    <t>Hubbard-Radcliffe</t>
  </si>
  <si>
    <t>Hudson</t>
  </si>
  <si>
    <t>Humboldt</t>
  </si>
  <si>
    <t>IKM-Manning</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</si>
  <si>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</si>
  <si>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</si>
  <si>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</si>
  <si>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</si>
  <si>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</si>
  <si>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</si>
  <si>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</si>
  <si>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</si>
  <si>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</si>
  <si>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</si>
  <si>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</si>
  <si>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</si>
  <si>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</si>
  <si>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</si>
  <si>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</si>
  <si>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</si>
  <si>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</si>
  <si>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</si>
  <si>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</si>
  <si>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</si>
  <si>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</si>
  <si>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</si>
  <si>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</si>
  <si>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</si>
  <si>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</si>
  <si>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Lynnville-Sully</t>
  </si>
  <si>
    <t>Madrid</t>
  </si>
  <si>
    <t>Manson-Northwest Webster</t>
  </si>
  <si>
    <t>Maple Valley-Anthon Oto</t>
  </si>
  <si>
    <t>Maquoketa</t>
  </si>
  <si>
    <t>Maquoketa Valley</t>
  </si>
  <si>
    <t>Marcus-Meriden Cleghorn</t>
  </si>
  <si>
    <t>Marion</t>
  </si>
  <si>
    <t>Marshalltown</t>
  </si>
  <si>
    <t>Martensdale-St Marys</t>
  </si>
  <si>
    <t>Mason City</t>
  </si>
  <si>
    <t>Mediapolis</t>
  </si>
  <si>
    <t>Melcher-Dallas</t>
  </si>
  <si>
    <t>MFL Mar 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</si>
  <si>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</si>
  <si>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</si>
  <si>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</si>
  <si>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</si>
  <si>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</si>
  <si>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</si>
  <si>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</si>
  <si>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</si>
  <si>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</si>
  <si>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</si>
  <si>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</si>
  <si>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</si>
  <si>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</si>
  <si>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</si>
  <si>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</si>
  <si>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</si>
  <si>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</si>
  <si>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</si>
  <si>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</si>
  <si>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</si>
  <si>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</si>
  <si>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</si>
  <si>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</si>
  <si>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</si>
  <si>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 Valley</t>
  </si>
  <si>
    <t>North Iowa</t>
  </si>
  <si>
    <t>North Kossuth</t>
  </si>
  <si>
    <t>North Linn</t>
  </si>
  <si>
    <t>North Mahaska</t>
  </si>
  <si>
    <t>North Polk</t>
  </si>
  <si>
    <t>North Scott</t>
  </si>
  <si>
    <t>North Tama</t>
  </si>
  <si>
    <t>North Union</t>
  </si>
  <si>
    <t>Northeast</t>
  </si>
  <si>
    <t>Northwood-Kensett</t>
  </si>
  <si>
    <t>Norwalk</t>
  </si>
  <si>
    <t>Odebolt Arthur Battle Creek Ida Gr</t>
  </si>
  <si>
    <t>Oelwein</t>
  </si>
  <si>
    <t>Ogden</t>
  </si>
  <si>
    <t>Okoboji</t>
  </si>
  <si>
    <t>Olin</t>
  </si>
  <si>
    <t>Orient-Macksburg</t>
  </si>
  <si>
    <t>Osage</t>
  </si>
  <si>
    <t>Oskaloosa</t>
  </si>
  <si>
    <t>Ottumwa</t>
  </si>
  <si>
    <t>Panorama</t>
  </si>
  <si>
    <t>Paton-Churdan</t>
  </si>
  <si>
    <t>PCM</t>
  </si>
  <si>
    <t>Pekin</t>
  </si>
  <si>
    <t>Pella</t>
  </si>
  <si>
    <t>Perry</t>
  </si>
  <si>
    <t>Pleasant Valley</t>
  </si>
  <si>
    <t>Pleasantville</t>
  </si>
  <si>
    <t>Pocahontas Area</t>
  </si>
  <si>
    <t>Postville</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</si>
  <si>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</si>
  <si>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</si>
  <si>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</si>
  <si>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</si>
  <si>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</si>
  <si>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</si>
  <si>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</si>
  <si>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</si>
  <si>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</si>
  <si>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</si>
  <si>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</si>
  <si>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</si>
  <si>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</si>
  <si>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</si>
  <si>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</si>
  <si>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</si>
  <si>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</si>
  <si>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</si>
  <si>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</si>
  <si>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</si>
  <si>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</si>
  <si>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</si>
  <si>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</si>
  <si>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Central Calhoun</t>
  </si>
  <si>
    <t>South Hamilton</t>
  </si>
  <si>
    <t>South O'Brien</t>
  </si>
  <si>
    <t>South Page</t>
  </si>
  <si>
    <t>South Tama</t>
  </si>
  <si>
    <t>South Winneshiek</t>
  </si>
  <si>
    <t>Southeast Polk</t>
  </si>
  <si>
    <t>Southeast Valley</t>
  </si>
  <si>
    <t>Southeast Warren</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</si>
  <si>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</si>
  <si>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</si>
  <si>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</si>
  <si>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</si>
  <si>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</si>
  <si>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</si>
  <si>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</si>
  <si>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</si>
  <si>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</si>
  <si>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</si>
  <si>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</si>
  <si>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</si>
  <si>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</si>
  <si>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</si>
  <si>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</si>
  <si>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</si>
  <si>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</si>
  <si>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</si>
  <si>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Union</t>
  </si>
  <si>
    <t>United</t>
  </si>
  <si>
    <t>Urbandale</t>
  </si>
  <si>
    <t>Van Buren County</t>
  </si>
  <si>
    <t>Van Meter</t>
  </si>
  <si>
    <t>Villisca</t>
  </si>
  <si>
    <t>Vinton-Shellsburg</t>
  </si>
  <si>
    <t>Waco</t>
  </si>
  <si>
    <t>Wapello</t>
  </si>
  <si>
    <t>Wapsie Valley</t>
  </si>
  <si>
    <t>Washington</t>
  </si>
  <si>
    <t>Waterloo</t>
  </si>
  <si>
    <t>Waukee</t>
  </si>
  <si>
    <t>Waverly-Shell Rock</t>
  </si>
  <si>
    <t>Wayne</t>
  </si>
  <si>
    <t>Webster City</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</si>
  <si>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</si>
  <si>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</si>
  <si>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</si>
  <si>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</si>
  <si>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</si>
  <si>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</si>
  <si>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</si>
  <si>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</si>
  <si>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</si>
  <si>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</si>
  <si>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</si>
  <si>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</si>
  <si>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</si>
  <si>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</si>
  <si>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</si>
  <si>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</si>
  <si>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</si>
  <si>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</si>
  <si>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</si>
  <si>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</si>
  <si>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</si>
  <si>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</si>
  <si>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</si>
  <si>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</si>
  <si>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</si>
  <si>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0018</t>
  </si>
  <si>
    <t>0027</t>
  </si>
  <si>
    <t>0009</t>
  </si>
  <si>
    <t>0441</t>
  </si>
  <si>
    <t>0063</t>
  </si>
  <si>
    <t>0072</t>
  </si>
  <si>
    <t>0081</t>
  </si>
  <si>
    <t>0099</t>
  </si>
  <si>
    <t>0108</t>
  </si>
  <si>
    <t>0126</t>
  </si>
  <si>
    <t>0135</t>
  </si>
  <si>
    <t>0171</t>
  </si>
  <si>
    <t>0225</t>
  </si>
  <si>
    <t>0234</t>
  </si>
  <si>
    <t>0243</t>
  </si>
  <si>
    <t>0261</t>
  </si>
  <si>
    <t>0279</t>
  </si>
  <si>
    <t>0355</t>
  </si>
  <si>
    <t>0387</t>
  </si>
  <si>
    <t>0414</t>
  </si>
  <si>
    <t>0472</t>
  </si>
  <si>
    <t>0513</t>
  </si>
  <si>
    <t>0540</t>
  </si>
  <si>
    <t>0549</t>
  </si>
  <si>
    <t>0576</t>
  </si>
  <si>
    <t>0585</t>
  </si>
  <si>
    <t>0594</t>
  </si>
  <si>
    <t>0603</t>
  </si>
  <si>
    <t>0609</t>
  </si>
  <si>
    <t>0621</t>
  </si>
  <si>
    <t>0720</t>
  </si>
  <si>
    <t>0729</t>
  </si>
  <si>
    <t>0747</t>
  </si>
  <si>
    <t>1917</t>
  </si>
  <si>
    <t>0846</t>
  </si>
  <si>
    <t>0882</t>
  </si>
  <si>
    <t>0916</t>
  </si>
  <si>
    <t>0918</t>
  </si>
  <si>
    <t>0914</t>
  </si>
  <si>
    <t>0936</t>
  </si>
  <si>
    <t>0977</t>
  </si>
  <si>
    <t>0981</t>
  </si>
  <si>
    <t>0999</t>
  </si>
  <si>
    <t>1044</t>
  </si>
  <si>
    <t>1053</t>
  </si>
  <si>
    <t>1062</t>
  </si>
  <si>
    <t>1071</t>
  </si>
  <si>
    <t>1089</t>
  </si>
  <si>
    <t>1080</t>
  </si>
  <si>
    <t>1082</t>
  </si>
  <si>
    <t>1093</t>
  </si>
  <si>
    <t>1079</t>
  </si>
  <si>
    <t>1095</t>
  </si>
  <si>
    <t>4772</t>
  </si>
  <si>
    <t>1107</t>
  </si>
  <si>
    <t>1116</t>
  </si>
  <si>
    <t>1134</t>
  </si>
  <si>
    <t>1152</t>
  </si>
  <si>
    <t>1197</t>
  </si>
  <si>
    <t>1206</t>
  </si>
  <si>
    <t>1211</t>
  </si>
  <si>
    <t>1215</t>
  </si>
  <si>
    <t>1218</t>
  </si>
  <si>
    <t>2763</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</si>
  <si>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</si>
  <si>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</si>
  <si>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</si>
  <si>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</si>
  <si>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</si>
  <si>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</si>
  <si>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</si>
  <si>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</si>
  <si>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</si>
  <si>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</si>
  <si>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</si>
  <si>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</si>
  <si>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</si>
  <si>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</si>
  <si>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</si>
  <si>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</si>
  <si>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</si>
  <si>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</si>
  <si>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</si>
  <si>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</si>
  <si>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</si>
  <si>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</si>
  <si>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</si>
  <si>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</si>
  <si>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</si>
  <si>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1926</t>
  </si>
  <si>
    <t>1944</t>
  </si>
  <si>
    <t>1953</t>
  </si>
  <si>
    <t>1963</t>
  </si>
  <si>
    <t>3582</t>
  </si>
  <si>
    <t>3978</t>
  </si>
  <si>
    <t>6741</t>
  </si>
  <si>
    <t>1970</t>
  </si>
  <si>
    <t>1972</t>
  </si>
  <si>
    <t>1965</t>
  </si>
  <si>
    <t>0657</t>
  </si>
  <si>
    <t>1989</t>
  </si>
  <si>
    <t>2007</t>
  </si>
  <si>
    <t>2088</t>
  </si>
  <si>
    <t>2097</t>
  </si>
  <si>
    <t>2113</t>
  </si>
  <si>
    <t>2124</t>
  </si>
  <si>
    <t>2151</t>
  </si>
  <si>
    <t>2169</t>
  </si>
  <si>
    <t>2295</t>
  </si>
  <si>
    <t>2313</t>
  </si>
  <si>
    <t>2322</t>
  </si>
  <si>
    <t>2369</t>
  </si>
  <si>
    <t>2376</t>
  </si>
  <si>
    <t>2403</t>
  </si>
  <si>
    <t>2457</t>
  </si>
  <si>
    <t>2466</t>
  </si>
  <si>
    <t>2493</t>
  </si>
  <si>
    <t>2502</t>
  </si>
  <si>
    <t>2511</t>
  </si>
  <si>
    <t>2520</t>
  </si>
  <si>
    <t>2682</t>
  </si>
  <si>
    <t>2556</t>
  </si>
  <si>
    <t>3195</t>
  </si>
  <si>
    <t>2709</t>
  </si>
  <si>
    <t>2718</t>
  </si>
  <si>
    <t>2727</t>
  </si>
  <si>
    <t>2754</t>
  </si>
  <si>
    <t>2772</t>
  </si>
  <si>
    <t>2781</t>
  </si>
  <si>
    <t>2826</t>
  </si>
  <si>
    <t>2846</t>
  </si>
  <si>
    <t>2862</t>
  </si>
  <si>
    <t>2977</t>
  </si>
  <si>
    <t>2988</t>
  </si>
  <si>
    <t>2766</t>
  </si>
  <si>
    <t>3029</t>
  </si>
  <si>
    <t>3033</t>
  </si>
  <si>
    <t>3042</t>
  </si>
  <si>
    <t>3060</t>
  </si>
  <si>
    <t>3168</t>
  </si>
  <si>
    <t>3105</t>
  </si>
  <si>
    <t>3114</t>
  </si>
  <si>
    <t>3119</t>
  </si>
  <si>
    <t>3141</t>
  </si>
  <si>
    <t>3150</t>
  </si>
  <si>
    <t>3154</t>
  </si>
  <si>
    <t>3186</t>
  </si>
  <si>
    <t>3204</t>
  </si>
  <si>
    <t>3231</t>
  </si>
  <si>
    <t>3312</t>
  </si>
  <si>
    <t>3330</t>
  </si>
  <si>
    <t>3348</t>
  </si>
  <si>
    <t>3375</t>
  </si>
  <si>
    <t>3420</t>
  </si>
  <si>
    <t>3465</t>
  </si>
  <si>
    <t>3537</t>
  </si>
  <si>
    <t>3555</t>
  </si>
  <si>
    <t>3600</t>
  </si>
  <si>
    <t>3609</t>
  </si>
  <si>
    <t>3645</t>
  </si>
  <si>
    <t>3715</t>
  </si>
  <si>
    <t>3744</t>
  </si>
  <si>
    <t>3798</t>
  </si>
  <si>
    <t>3816</t>
  </si>
  <si>
    <t>3841</t>
  </si>
  <si>
    <t>3906</t>
  </si>
  <si>
    <t>3942</t>
  </si>
  <si>
    <t>4023</t>
  </si>
  <si>
    <t>4033</t>
  </si>
  <si>
    <t>4041</t>
  </si>
  <si>
    <t>4043</t>
  </si>
  <si>
    <t>4068</t>
  </si>
  <si>
    <t>4086</t>
  </si>
  <si>
    <t>4104</t>
  </si>
  <si>
    <t>4122</t>
  </si>
  <si>
    <t>4131</t>
  </si>
  <si>
    <t>4203</t>
  </si>
  <si>
    <t>4212</t>
  </si>
  <si>
    <t>4419</t>
  </si>
  <si>
    <t>4271</t>
  </si>
  <si>
    <t>4269</t>
  </si>
  <si>
    <t>4356</t>
  </si>
  <si>
    <t>4149</t>
  </si>
  <si>
    <t>4437</t>
  </si>
  <si>
    <t>4446</t>
  </si>
  <si>
    <t>4491</t>
  </si>
  <si>
    <t>4505</t>
  </si>
  <si>
    <t>4509</t>
  </si>
  <si>
    <t>4518</t>
  </si>
  <si>
    <t>4527</t>
  </si>
  <si>
    <t>4536</t>
  </si>
  <si>
    <t>4554</t>
  </si>
  <si>
    <t>4572</t>
  </si>
  <si>
    <t>4581</t>
  </si>
  <si>
    <t>4599</t>
  </si>
  <si>
    <t>4617</t>
  </si>
  <si>
    <t>4662</t>
  </si>
  <si>
    <t>4689</t>
  </si>
  <si>
    <t>4644</t>
  </si>
  <si>
    <t>4725</t>
  </si>
  <si>
    <t>2673</t>
  </si>
  <si>
    <t>0153</t>
  </si>
  <si>
    <t>3691</t>
  </si>
  <si>
    <t>4774</t>
  </si>
  <si>
    <t>0873</t>
  </si>
  <si>
    <t>4778</t>
  </si>
  <si>
    <t>4777</t>
  </si>
  <si>
    <t>4776</t>
  </si>
  <si>
    <t>4779</t>
  </si>
  <si>
    <t>4784</t>
  </si>
  <si>
    <t>4785</t>
  </si>
  <si>
    <t>0333</t>
  </si>
  <si>
    <t>4773</t>
  </si>
  <si>
    <t>4788</t>
  </si>
  <si>
    <t>4797</t>
  </si>
  <si>
    <t>4860</t>
  </si>
  <si>
    <t>4869</t>
  </si>
  <si>
    <t>4878</t>
  </si>
  <si>
    <t>4890</t>
  </si>
  <si>
    <t>4905</t>
  </si>
  <si>
    <t>4978</t>
  </si>
  <si>
    <t>4995</t>
  </si>
  <si>
    <t>5013</t>
  </si>
  <si>
    <t>5049</t>
  </si>
  <si>
    <t>5121</t>
  </si>
  <si>
    <t>5139</t>
  </si>
  <si>
    <t>5319</t>
  </si>
  <si>
    <t>5163</t>
  </si>
  <si>
    <t>5166</t>
  </si>
  <si>
    <t>5184</t>
  </si>
  <si>
    <t>5250</t>
  </si>
  <si>
    <t>5256</t>
  </si>
  <si>
    <t>5283</t>
  </si>
  <si>
    <t>5310</t>
  </si>
  <si>
    <t>5463</t>
  </si>
  <si>
    <t>5486</t>
  </si>
  <si>
    <t>5508</t>
  </si>
  <si>
    <t>1975</t>
  </si>
  <si>
    <t>4824</t>
  </si>
  <si>
    <t>5607</t>
  </si>
  <si>
    <t>5643</t>
  </si>
  <si>
    <t>5697</t>
  </si>
  <si>
    <t>5724</t>
  </si>
  <si>
    <t>5805</t>
  </si>
  <si>
    <t>5823</t>
  </si>
  <si>
    <t>5832</t>
  </si>
  <si>
    <t>5877</t>
  </si>
  <si>
    <t>5895</t>
  </si>
  <si>
    <t>5949</t>
  </si>
  <si>
    <t>5976</t>
  </si>
  <si>
    <t>5994</t>
  </si>
  <si>
    <t>6003</t>
  </si>
  <si>
    <t>6012</t>
  </si>
  <si>
    <t>6030</t>
  </si>
  <si>
    <t>6048</t>
  </si>
  <si>
    <t>6039</t>
  </si>
  <si>
    <t>6093</t>
  </si>
  <si>
    <t>6091</t>
  </si>
  <si>
    <t>6095</t>
  </si>
  <si>
    <t>5157</t>
  </si>
  <si>
    <t>6097</t>
  </si>
  <si>
    <t>6098</t>
  </si>
  <si>
    <t>6100</t>
  </si>
  <si>
    <t>6101</t>
  </si>
  <si>
    <t>6096</t>
  </si>
  <si>
    <t>6094</t>
  </si>
  <si>
    <t>6102</t>
  </si>
  <si>
    <t>6120</t>
  </si>
  <si>
    <t>6138</t>
  </si>
  <si>
    <t>5751</t>
  </si>
  <si>
    <t>6165</t>
  </si>
  <si>
    <t>6175</t>
  </si>
  <si>
    <t>6219</t>
  </si>
  <si>
    <t>6246</t>
  </si>
  <si>
    <t>6273</t>
  </si>
  <si>
    <t>6408</t>
  </si>
  <si>
    <t>6453</t>
  </si>
  <si>
    <t>6460</t>
  </si>
  <si>
    <t>6462</t>
  </si>
  <si>
    <t>6471</t>
  </si>
  <si>
    <t>6509</t>
  </si>
  <si>
    <t>6512</t>
  </si>
  <si>
    <t>6516</t>
  </si>
  <si>
    <t>6534</t>
  </si>
  <si>
    <t>1935</t>
  </si>
  <si>
    <t>6561</t>
  </si>
  <si>
    <t>6579</t>
  </si>
  <si>
    <t>6592</t>
  </si>
  <si>
    <t>6615</t>
  </si>
  <si>
    <t>6651</t>
  </si>
  <si>
    <t>6660</t>
  </si>
  <si>
    <t>6700</t>
  </si>
  <si>
    <t>6759</t>
  </si>
  <si>
    <t>6762</t>
  </si>
  <si>
    <t>6768</t>
  </si>
  <si>
    <t>6795</t>
  </si>
  <si>
    <t>6822</t>
  </si>
  <si>
    <t>6840</t>
  </si>
  <si>
    <t>6854</t>
  </si>
  <si>
    <t>6867</t>
  </si>
  <si>
    <t>6921</t>
  </si>
  <si>
    <t>6930</t>
  </si>
  <si>
    <t>6937</t>
  </si>
  <si>
    <t>6943</t>
  </si>
  <si>
    <t>6264</t>
  </si>
  <si>
    <t>6950</t>
  </si>
  <si>
    <t>6957</t>
  </si>
  <si>
    <t>5922</t>
  </si>
  <si>
    <t>0819</t>
  </si>
  <si>
    <t>6969</t>
  </si>
  <si>
    <t>6975</t>
  </si>
  <si>
    <t>6983</t>
  </si>
  <si>
    <t>6985</t>
  </si>
  <si>
    <t>6987</t>
  </si>
  <si>
    <t>6990</t>
  </si>
  <si>
    <t>6961</t>
  </si>
  <si>
    <t>6992</t>
  </si>
  <si>
    <t>7002</t>
  </si>
  <si>
    <t>7029</t>
  </si>
  <si>
    <t>7038</t>
  </si>
  <si>
    <t>7047</t>
  </si>
  <si>
    <t>7056</t>
  </si>
  <si>
    <t>7092</t>
  </si>
  <si>
    <t>7098</t>
  </si>
  <si>
    <t>7110</t>
  </si>
  <si>
    <t>Propery Tax Portion</t>
  </si>
  <si>
    <t>92010000</t>
  </si>
  <si>
    <t>92050000</t>
  </si>
  <si>
    <t>92070000</t>
  </si>
  <si>
    <t>92090000</t>
  </si>
  <si>
    <t>92100000</t>
  </si>
  <si>
    <t>92110000</t>
  </si>
  <si>
    <t>92120000</t>
  </si>
  <si>
    <t>92130000</t>
  </si>
  <si>
    <t>92150000</t>
  </si>
  <si>
    <t>State Aid Portion
Amount Taxe From State Aid Portion Special Ed (Column D)</t>
  </si>
  <si>
    <t>Property Tax Portion Amount to take from Special Ed Property Tax Portion (Column G)</t>
  </si>
  <si>
    <t>Payment Coding Detail Check</t>
  </si>
  <si>
    <t>State Aid Portion
Amount Taken From State Aid Portion Special Ed (Column D)</t>
  </si>
  <si>
    <t>Budget Enrollment</t>
  </si>
  <si>
    <t>Teach Sal Cost PP</t>
  </si>
  <si>
    <t>Prof Dev Cost PP</t>
  </si>
  <si>
    <t>Spec ED Support</t>
  </si>
  <si>
    <t>Spec Ed Adjust</t>
  </si>
  <si>
    <t>Special Ed Total Cost</t>
  </si>
  <si>
    <t>Media Services</t>
  </si>
  <si>
    <t>Education Services</t>
  </si>
  <si>
    <t>Sharing Operations</t>
  </si>
  <si>
    <t>Teacher Salary Supplement</t>
  </si>
  <si>
    <t>Professional Development Supplement</t>
  </si>
  <si>
    <t>Subtotal Budget</t>
  </si>
  <si>
    <t>Prorata Reduction</t>
  </si>
  <si>
    <t xml:space="preserve">State Aid  </t>
  </si>
  <si>
    <t xml:space="preserve">Property Tax  </t>
  </si>
  <si>
    <t>Total Special Ed Weighting in Addition to 1.0</t>
  </si>
  <si>
    <t>AEA Weighted Enrollment</t>
  </si>
  <si>
    <t>Resident Accredited Nonpublic Students</t>
  </si>
  <si>
    <t>Shared-Time Nonpublic Pupils Counted in Line 1.1</t>
  </si>
  <si>
    <t>Total Enrollment Served - AEA Media and Ed Services</t>
  </si>
  <si>
    <t>AEA Special Ed Support Cost Per Pupil</t>
  </si>
  <si>
    <t>AEA Media Cost Per Pupil</t>
  </si>
  <si>
    <t>AEA Ed Services Cost Per Pupil</t>
  </si>
  <si>
    <t>Check Against Final AEA Mounts</t>
  </si>
  <si>
    <t>Pasted Values in From Final AEA Cost Detail Summary For Fiscal Year</t>
  </si>
  <si>
    <t>State Aid and Property Tax Amounts Distributed Correctly</t>
  </si>
  <si>
    <t>September to May Monthy Amounts Distributed Correctly</t>
  </si>
  <si>
    <t>June Amounts Distributed Correctly</t>
  </si>
  <si>
    <t>Overall Amounts total Correct  - State Aid vs. Property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</si>
</sst>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sz val="11"/>
      <name val="Calibri"/>
      <family val="2"/>
    </font>
    <font>
      <b/>
      <sz val="16"/>
      <color theme="1"/>
      <name val="Calibri"/>
      <family val="2"/>
      <scheme val="minor"/>
    </font>
    <font>
      <b/>
      <sz val="14"/>
      <color theme="1"/>
      <name val="Calibri"/>
      <family val="2"/>
      <scheme val="minor"/>
    </font>
    <font>
      <b/>
      <sz val="11"/>
      <name val="Calibri"/>
      <family val="2"/>
      <scheme val="minor"/>
    </font>
    <font>
      <b/>
      <sz val="12"/>
      <color indexed="81"/>
      <name val="Tahoma"/>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1" applyNumberFormat="0" applyFill="0" applyAlignment="0" applyProtection="0"/>
    <xf numFmtId="0" fontId="25" fillId="2" borderId="0" applyNumberFormat="0" applyBorder="0" applyAlignment="0" applyProtection="0"/>
    <xf numFmtId="0" fontId="24" fillId="0" borderId="0" applyNumberFormat="0" applyFill="0" applyBorder="0" applyAlignment="0" applyProtection="0"/>
    <xf numFmtId="0" fontId="23" fillId="7" borderId="7" applyNumberFormat="0" applyAlignment="0" applyProtection="0"/>
    <xf numFmtId="0" fontId="22" fillId="6" borderId="4" applyNumberFormat="0" applyAlignment="0" applyProtection="0"/>
    <xf numFmtId="0" fontId="21" fillId="3" borderId="0" applyNumberFormat="0" applyBorder="0" applyAlignment="0" applyProtection="0"/>
    <xf numFmtId="0" fontId="20" fillId="29" borderId="0" applyNumberFormat="0" applyBorder="0" applyAlignment="0" applyProtection="0"/>
    <xf numFmtId="0" fontId="20" fillId="25"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11" borderId="0" applyNumberFormat="0" applyBorder="0" applyAlignment="0" applyProtection="0"/>
    <xf numFmtId="0" fontId="19" fillId="30"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0" borderId="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0" fillId="0" borderId="6" applyNumberFormat="0" applyFill="0" applyAlignment="0" applyProtection="0"/>
    <xf numFmtId="0" fontId="31" fillId="4" borderId="0" applyNumberFormat="0" applyBorder="0" applyAlignment="0" applyProtection="0"/>
    <xf numFmtId="0" fontId="19" fillId="8" borderId="8" applyNumberFormat="0" applyFont="0" applyAlignment="0" applyProtection="0"/>
    <xf numFmtId="0" fontId="32" fillId="6" borderId="5" applyNumberFormat="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0" borderId="0"/>
  </cellStyleXfs>
  <cellXfs count="81">
    <xf numFmtId="0" fontId="0" fillId="0" borderId="0" xfId="0"/>
    <xf numFmtId="49" fontId="0" fillId="0" borderId="0" xfId="0" applyNumberFormat="1"/>
    <xf numFmtId="0" fontId="19" fillId="0" borderId="0" xfId="72"/>
    <xf numFmtId="0" fontId="18" fillId="0" borderId="0" xfId="72" applyFont="1"/>
    <xf numFmtId="0" fontId="18" fillId="33" borderId="0" xfId="72" applyFont="1" applyFill="1"/>
    <xf numFmtId="0" fontId="18" fillId="0" borderId="0" xfId="72" applyFont="1" applyAlignment="1">
      <alignment horizontal="center"/>
    </xf>
    <xf numFmtId="3" fontId="0" fillId="0" borderId="0" xfId="0" applyNumberFormat="1"/>
    <xf numFmtId="0" fontId="16" fillId="0" borderId="11" xfId="0" applyFont="1" applyBorder="1" applyAlignment="1">
      <alignment wrapText="1"/>
    </xf>
    <xf numFmtId="0" fontId="16" fillId="0" borderId="11" xfId="0" applyFont="1" applyFill="1" applyBorder="1" applyAlignment="1">
      <alignment horizontal="center" wrapText="1"/>
    </xf>
    <xf numFmtId="0" fontId="16" fillId="36" borderId="11" xfId="0" applyFont="1" applyFill="1" applyBorder="1" applyAlignment="1">
      <alignment horizontal="center" wrapText="1"/>
    </xf>
    <xf numFmtId="0" fontId="0" fillId="0" borderId="0" xfId="0" applyAlignment="1">
      <alignment wrapText="1"/>
    </xf>
    <xf numFmtId="0" fontId="0" fillId="0" borderId="11" xfId="0" applyBorder="1"/>
    <xf numFmtId="3" fontId="0" fillId="0" borderId="11" xfId="0" quotePrefix="1" applyNumberFormat="1" applyBorder="1"/>
    <xf numFmtId="3" fontId="0" fillId="0" borderId="13" xfId="0" applyNumberFormat="1" applyBorder="1"/>
    <xf numFmtId="3" fontId="0" fillId="35" borderId="13" xfId="0" applyNumberFormat="1" applyFill="1" applyBorder="1"/>
    <xf numFmtId="3" fontId="0" fillId="36" borderId="13" xfId="0" applyNumberFormat="1" applyFill="1" applyBorder="1"/>
    <xf numFmtId="3" fontId="0" fillId="36" borderId="13" xfId="0" applyNumberFormat="1" applyFont="1" applyFill="1" applyBorder="1"/>
    <xf numFmtId="3" fontId="16" fillId="0" borderId="13" xfId="0" applyNumberFormat="1" applyFont="1" applyBorder="1"/>
    <xf numFmtId="0" fontId="16" fillId="0" borderId="11" xfId="0" applyFont="1" applyFill="1" applyBorder="1"/>
    <xf numFmtId="0" fontId="0" fillId="0" borderId="11" xfId="0" applyFill="1" applyBorder="1"/>
    <xf numFmtId="0" fontId="0" fillId="0" borderId="0" xfId="0" applyFill="1"/>
    <xf numFmtId="49" fontId="0" fillId="0" borderId="11" xfId="0" applyNumberFormat="1" applyBorder="1"/>
    <xf numFmtId="3" fontId="0" fillId="36" borderId="11" xfId="0" quotePrefix="1" applyNumberFormat="1" applyFill="1" applyBorder="1"/>
    <xf numFmtId="3" fontId="16" fillId="36" borderId="13" xfId="0" applyNumberFormat="1" applyFont="1" applyFill="1" applyBorder="1"/>
    <xf numFmtId="0" fontId="16" fillId="37" borderId="11" xfId="0" applyFont="1" applyFill="1" applyBorder="1" applyAlignment="1">
      <alignment horizontal="center" wrapText="1"/>
    </xf>
    <xf numFmtId="3" fontId="0" fillId="37" borderId="11" xfId="0" quotePrefix="1" applyNumberFormat="1" applyFill="1" applyBorder="1"/>
    <xf numFmtId="3" fontId="0" fillId="37" borderId="13" xfId="0" applyNumberFormat="1" applyFill="1" applyBorder="1"/>
    <xf numFmtId="3" fontId="0" fillId="0" borderId="11" xfId="0" applyNumberFormat="1" applyFont="1" applyBorder="1" applyProtection="1">
      <protection hidden="1"/>
    </xf>
    <xf numFmtId="0" fontId="0" fillId="34" borderId="0" xfId="0" applyFill="1" applyAlignment="1">
      <alignment wrapText="1"/>
    </xf>
    <xf numFmtId="0" fontId="16" fillId="0" borderId="12" xfId="0" applyFont="1" applyBorder="1" applyAlignment="1">
      <alignment horizontal="center" wrapText="1"/>
    </xf>
    <xf numFmtId="4" fontId="0" fillId="0" borderId="0" xfId="0" applyNumberFormat="1"/>
    <xf numFmtId="3" fontId="0" fillId="0" borderId="10" xfId="0" applyNumberFormat="1" applyBorder="1"/>
    <xf numFmtId="0" fontId="0" fillId="34" borderId="0" xfId="0" applyFill="1"/>
    <xf numFmtId="0" fontId="16" fillId="0" borderId="12" xfId="0" applyFont="1" applyBorder="1"/>
    <xf numFmtId="0" fontId="0" fillId="0" borderId="0" xfId="0" applyAlignment="1">
      <alignment horizontal="center" wrapText="1"/>
    </xf>
    <xf numFmtId="0" fontId="0" fillId="0" borderId="0" xfId="0" applyFill="1" applyBorder="1" applyAlignment="1">
      <alignment wrapText="1"/>
    </xf>
    <xf numFmtId="0" fontId="16" fillId="0" borderId="12" xfId="0" applyFont="1" applyFill="1" applyBorder="1" applyAlignment="1">
      <alignment horizontal="center" wrapText="1"/>
    </xf>
    <xf numFmtId="0" fontId="16" fillId="0" borderId="0" xfId="0" applyFont="1" applyFill="1" applyBorder="1" applyAlignment="1">
      <alignment horizontal="center" wrapText="1"/>
    </xf>
    <xf numFmtId="3" fontId="0" fillId="0" borderId="0" xfId="0" applyNumberFormat="1" applyFill="1" applyBorder="1"/>
    <xf numFmtId="0" fontId="16" fillId="38" borderId="11" xfId="0" applyFont="1" applyFill="1" applyBorder="1" applyAlignment="1">
      <alignment horizontal="center" wrapText="1"/>
    </xf>
    <xf numFmtId="3" fontId="0" fillId="38" borderId="11" xfId="0" quotePrefix="1" applyNumberFormat="1" applyFill="1" applyBorder="1"/>
    <xf numFmtId="3" fontId="0" fillId="38" borderId="13" xfId="0" applyNumberFormat="1" applyFill="1" applyBorder="1"/>
    <xf numFmtId="3" fontId="16" fillId="38" borderId="13" xfId="0" applyNumberFormat="1" applyFont="1" applyFill="1" applyBorder="1"/>
    <xf numFmtId="3" fontId="0" fillId="38" borderId="13" xfId="0" applyNumberFormat="1" applyFont="1" applyFill="1" applyBorder="1"/>
    <xf numFmtId="3" fontId="16" fillId="37" borderId="13" xfId="0" applyNumberFormat="1" applyFont="1" applyFill="1" applyBorder="1"/>
    <xf numFmtId="0" fontId="0" fillId="0" borderId="0" xfId="0" applyFont="1"/>
    <xf numFmtId="3" fontId="0" fillId="0" borderId="0" xfId="0" applyNumberFormat="1" applyFont="1"/>
    <xf numFmtId="164" fontId="0" fillId="0" borderId="0" xfId="0" applyNumberFormat="1" applyFont="1" applyProtection="1">
      <protection hidden="1"/>
    </xf>
    <xf numFmtId="0" fontId="0" fillId="0" borderId="0" xfId="0" applyFont="1" applyProtection="1">
      <protection hidden="1"/>
    </xf>
    <xf numFmtId="3" fontId="38" fillId="0" borderId="11" xfId="0" applyNumberFormat="1" applyFont="1" applyBorder="1" applyAlignment="1" applyProtection="1">
      <alignment horizontal="center" vertical="center" wrapText="1"/>
      <protection hidden="1"/>
    </xf>
    <xf numFmtId="0" fontId="0" fillId="34" borderId="0" xfId="0" applyFont="1" applyFill="1"/>
    <xf numFmtId="164" fontId="0" fillId="34" borderId="0" xfId="0" applyNumberFormat="1" applyFont="1" applyFill="1" applyProtection="1">
      <protection hidden="1"/>
    </xf>
    <xf numFmtId="0" fontId="0" fillId="34" borderId="0" xfId="0" applyFont="1" applyFill="1" applyProtection="1">
      <protection hidden="1"/>
    </xf>
    <xf numFmtId="3" fontId="38" fillId="34" borderId="0" xfId="0" applyNumberFormat="1" applyFont="1" applyFill="1" applyBorder="1" applyAlignment="1" applyProtection="1">
      <alignment horizontal="center" vertical="center"/>
      <protection hidden="1"/>
    </xf>
    <xf numFmtId="49" fontId="0" fillId="0" borderId="11" xfId="0" applyNumberFormat="1" applyFont="1" applyBorder="1" applyProtection="1">
      <protection hidden="1"/>
    </xf>
    <xf numFmtId="0" fontId="0" fillId="0" borderId="11" xfId="0" applyFont="1" applyBorder="1" applyProtection="1">
      <protection hidden="1"/>
    </xf>
    <xf numFmtId="3" fontId="16" fillId="35" borderId="13" xfId="0" applyNumberFormat="1" applyFont="1" applyFill="1" applyBorder="1"/>
    <xf numFmtId="3" fontId="16" fillId="0" borderId="11" xfId="0" quotePrefix="1" applyNumberFormat="1" applyFont="1" applyBorder="1"/>
    <xf numFmtId="3" fontId="16" fillId="37" borderId="11" xfId="0" quotePrefix="1" applyNumberFormat="1" applyFont="1" applyFill="1" applyBorder="1"/>
    <xf numFmtId="3" fontId="16" fillId="0" borderId="11" xfId="0" applyNumberFormat="1" applyFont="1" applyBorder="1" applyProtection="1">
      <protection hidden="1"/>
    </xf>
    <xf numFmtId="3" fontId="16" fillId="36" borderId="11" xfId="0" quotePrefix="1" applyNumberFormat="1" applyFont="1" applyFill="1" applyBorder="1"/>
    <xf numFmtId="3" fontId="16" fillId="0" borderId="13" xfId="0" applyNumberFormat="1" applyFont="1" applyBorder="1" applyProtection="1">
      <protection hidden="1"/>
    </xf>
    <xf numFmtId="3" fontId="16" fillId="0" borderId="10" xfId="0" applyNumberFormat="1" applyFont="1" applyBorder="1"/>
    <xf numFmtId="3" fontId="16" fillId="37" borderId="14" xfId="0" quotePrefix="1" applyNumberFormat="1" applyFont="1" applyFill="1" applyBorder="1"/>
    <xf numFmtId="3" fontId="16" fillId="36" borderId="15" xfId="0" quotePrefix="1" applyNumberFormat="1" applyFont="1" applyFill="1" applyBorder="1"/>
    <xf numFmtId="3" fontId="16" fillId="36" borderId="10" xfId="0" quotePrefix="1" applyNumberFormat="1" applyFont="1" applyFill="1" applyBorder="1"/>
    <xf numFmtId="3" fontId="16" fillId="37" borderId="15" xfId="0" quotePrefix="1" applyNumberFormat="1" applyFont="1" applyFill="1" applyBorder="1"/>
    <xf numFmtId="3" fontId="16" fillId="37" borderId="10" xfId="0" quotePrefix="1" applyNumberFormat="1" applyFont="1" applyFill="1" applyBorder="1"/>
    <xf numFmtId="3" fontId="16" fillId="0" borderId="11" xfId="0" applyNumberFormat="1" applyFont="1" applyFill="1" applyBorder="1" applyProtection="1">
      <protection hidden="1"/>
    </xf>
    <xf numFmtId="3" fontId="16" fillId="0" borderId="13" xfId="0" applyNumberFormat="1" applyFont="1" applyFill="1" applyBorder="1"/>
    <xf numFmtId="0" fontId="37" fillId="33" borderId="0" xfId="72" applyFont="1" applyFill="1" applyAlignment="1" applyProtection="1">
      <alignment horizontal="center" vertical="center"/>
      <protection locked="0"/>
    </xf>
    <xf numFmtId="0" fontId="38" fillId="0" borderId="0" xfId="0" applyFont="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36" fillId="0" borderId="12" xfId="0" applyFont="1" applyBorder="1" applyAlignment="1">
      <alignment horizontal="center" vertical="center"/>
    </xf>
    <xf numFmtId="0" fontId="16" fillId="37" borderId="11" xfId="0" applyFont="1" applyFill="1" applyBorder="1" applyAlignment="1">
      <alignment horizontal="center" vertical="center"/>
    </xf>
    <xf numFmtId="0" fontId="16" fillId="36" borderId="11" xfId="0" applyFont="1" applyFill="1" applyBorder="1" applyAlignment="1">
      <alignment horizontal="center" vertical="center"/>
    </xf>
    <xf numFmtId="0" fontId="16" fillId="37" borderId="0" xfId="0" applyFont="1" applyFill="1" applyBorder="1" applyAlignment="1">
      <alignment horizontal="center" wrapText="1"/>
    </xf>
    <xf numFmtId="0" fontId="16" fillId="37" borderId="12" xfId="0" applyFont="1" applyFill="1" applyBorder="1" applyAlignment="1">
      <alignment horizontal="center" wrapText="1"/>
    </xf>
    <xf numFmtId="0" fontId="16" fillId="36" borderId="0" xfId="0" applyFont="1" applyFill="1" applyBorder="1" applyAlignment="1">
      <alignment horizontal="center" wrapText="1"/>
    </xf>
    <xf numFmtId="0" fontId="16" fillId="36" borderId="12" xfId="0" applyFont="1" applyFill="1" applyBorder="1" applyAlignment="1">
      <alignment horizontal="center" wrapText="1"/>
    </xf>
    <xf numFmtId="0" fontId="37" fillId="0" borderId="0" xfId="0" applyFont="1" applyAlignment="1">
      <alignment horizontal="center" vertical="center"/>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6"/>
    <tableColumn id="2" xr3:uid="{00000000-0010-0000-0000-000002000000}" name="AEA Name" dataDxfId="15"/>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EED172-E6B1-4303-8BF2-6601E1234DF9}" name="Data_Detail" displayName="Data_Detail" ref="A1:V326" totalsRowShown="0">
  <autoFilter ref="A1:V326" xr:uid="{3C3FDE83-A6FF-4572-A912-BCC62B455E46}"/>
  <tableColumns count="22">
    <tableColumn id="1" xr3:uid="{F975D51C-9753-4082-8925-497BE138D0B6}" name="FiscalYear"/>
    <tableColumn id="2" xr3:uid="{D8937C49-7FC3-40B3-B2E0-64112C506BCC}" name="AEA" dataDxfId="14"/>
    <tableColumn id="3" xr3:uid="{CE2A5982-68D2-4710-9FCF-65CEFEE0E348}" name="AEA Name"/>
    <tableColumn id="4" xr3:uid="{883D72B2-5641-454E-93A0-7176D738D69D}" name="Dist" dataDxfId="13"/>
    <tableColumn id="5" xr3:uid="{C1217724-6AC3-49D1-B786-999A7BCD83CF}" name="District"/>
    <tableColumn id="6" xr3:uid="{44308A31-B6D3-4B83-A090-2007026A0EDA}" name="AEA Special Ed Support District Cost Formula Generated" dataDxfId="12"/>
    <tableColumn id="7" xr3:uid="{35A38103-1D4A-4475-A8AA-76D1D8AAA9CD}" name="State Aid Portion Special Ed" dataDxfId="11"/>
    <tableColumn id="8" xr3:uid="{249CB287-60D4-4A99-8C98-7556D774A772}" name="AEA Statewide State Aid Reduction" dataDxfId="10"/>
    <tableColumn id="9" xr3:uid="{770A9055-D9AA-4B04-B62C-0A36F8F6963D}" name="State Aid Special Ed Minus Reduction" dataDxfId="9"/>
    <tableColumn id="10" xr3:uid="{62ED7B7F-3B99-4C7A-B017-6D98D6AD6C47}" name="Special Education Property Tax Portion" dataDxfId="8"/>
    <tableColumn id="11" xr3:uid="{2F16D3BF-ED45-49C9-A598-AE6645F77453}" name="AEA Special Ed Support Adjustment"/>
    <tableColumn id="12" xr3:uid="{1C4B16D3-D848-4B4B-8EF1-29D1A696B8EA}" name="Total Special Ed Funding Removing Reduction Including Adjustment" dataDxfId="7"/>
    <tableColumn id="13" xr3:uid="{7DEF2C70-3813-4F0F-9EF2-4AA40367D1DF}" name="State Aid Portion Sharing Operations"/>
    <tableColumn id="14" xr3:uid="{DB2531C3-A24D-4F35-A759-467EE9C3DA98}" name="Sharing Operations Property Tax"/>
    <tableColumn id="15" xr3:uid="{1CAE3D14-1B89-496B-984D-DB6054464D1B}" name="Total AEA Sharing Operations"/>
    <tableColumn id="16" xr3:uid="{28C8C1AE-9995-43C4-AC05-09100739D3B6}" name="AEA Teacher Salary Supplement District Cost" dataDxfId="6"/>
    <tableColumn id="17" xr3:uid="{54D40613-B14B-4501-86DF-F803003CB593}" name="AEA Professional Development Supplement District Cost" dataDxfId="5"/>
    <tableColumn id="18" xr3:uid="{7ACEE2A9-C6EE-46C2-8305-A49DEE62186B}" name="AEA Media Services District Cost" dataDxfId="4"/>
    <tableColumn id="19" xr3:uid="{069FCDF4-FF7F-4504-BEB7-5136755C6F1C}" name="AEA Ed Services District Cost" dataDxfId="3"/>
    <tableColumn id="20" xr3:uid="{1503B391-69C8-49DE-A219-5A5E810E028C}" name="Total Budget" dataDxfId="2"/>
    <tableColumn id="21" xr3:uid="{AA37ACFF-D191-4C9C-93C6-3D08D3A21E1E}" name="State Aid Portion" dataDxfId="1"/>
    <tableColumn id="22" xr3:uid="{FE63F165-F777-4640-BDBE-224C9A5C8BE9}" name="Property Tax Por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47</v>
      </c>
      <c r="B1" s="1" t="s">
        <v>48</v>
      </c>
      <c r="C1" t="s">
        <v>0</v>
      </c>
      <c r="D1" t="s">
        <v>1</v>
      </c>
      <c r="E1" t="s">
        <v>2</v>
      </c>
      <c r="F1" t="s">
        <v>3</v>
      </c>
      <c r="G1" t="s">
        <v>4</v>
      </c>
      <c r="H1" t="s">
        <v>5</v>
      </c>
      <c r="I1" t="s">
        <v>6</v>
      </c>
      <c r="J1" t="s">
        <v>7</v>
      </c>
      <c r="K1" t="s">
        <v>8</v>
      </c>
      <c r="L1" t="s">
        <v>9</v>
      </c>
      <c r="M1" t="s">
        <v>10</v>
      </c>
      <c r="N1" t="s">
        <v>11</v>
      </c>
      <c r="O1" t="s">
        <v>12</v>
      </c>
    </row>
    <row r="2" spans="1:15" x14ac:dyDescent="0.25">
      <c r="A2" s="1" t="s">
        <v>13</v>
      </c>
      <c r="B2" s="1" t="s">
        <v>49</v>
      </c>
      <c r="C2">
        <v>14556174</v>
      </c>
      <c r="D2">
        <v>1455617</v>
      </c>
      <c r="E2">
        <v>1455621</v>
      </c>
      <c r="F2">
        <v>1455617</v>
      </c>
      <c r="G2">
        <v>2911234</v>
      </c>
      <c r="H2">
        <v>4366851</v>
      </c>
      <c r="I2">
        <v>5822468</v>
      </c>
      <c r="J2">
        <v>7278085</v>
      </c>
      <c r="K2">
        <v>8733702</v>
      </c>
      <c r="L2">
        <v>10189319</v>
      </c>
      <c r="M2">
        <v>11644936</v>
      </c>
      <c r="N2">
        <v>13100553</v>
      </c>
      <c r="O2">
        <v>14556174</v>
      </c>
    </row>
    <row r="3" spans="1:15" x14ac:dyDescent="0.25">
      <c r="A3" s="1" t="s">
        <v>14</v>
      </c>
      <c r="B3" s="1" t="s">
        <v>50</v>
      </c>
      <c r="C3">
        <v>15212382</v>
      </c>
      <c r="D3">
        <v>1521240</v>
      </c>
      <c r="E3">
        <v>1521222</v>
      </c>
      <c r="F3">
        <v>1521240</v>
      </c>
      <c r="G3">
        <v>3042480</v>
      </c>
      <c r="H3">
        <v>4563720</v>
      </c>
      <c r="I3">
        <v>6084960</v>
      </c>
      <c r="J3">
        <v>7606200</v>
      </c>
      <c r="K3">
        <v>9127440</v>
      </c>
      <c r="L3">
        <v>10648680</v>
      </c>
      <c r="M3">
        <v>12169920</v>
      </c>
      <c r="N3">
        <v>13691160</v>
      </c>
      <c r="O3">
        <v>15212382</v>
      </c>
    </row>
    <row r="4" spans="1:15" x14ac:dyDescent="0.25">
      <c r="A4" s="1" t="s">
        <v>15</v>
      </c>
      <c r="B4" s="1" t="s">
        <v>51</v>
      </c>
      <c r="C4">
        <v>31622730</v>
      </c>
      <c r="D4">
        <v>3162276</v>
      </c>
      <c r="E4">
        <v>3162246</v>
      </c>
      <c r="F4">
        <v>3162276</v>
      </c>
      <c r="G4">
        <v>6324552</v>
      </c>
      <c r="H4">
        <v>9486828</v>
      </c>
      <c r="I4">
        <v>12649104</v>
      </c>
      <c r="J4">
        <v>15811380</v>
      </c>
      <c r="K4">
        <v>18973656</v>
      </c>
      <c r="L4">
        <v>22135932</v>
      </c>
      <c r="M4">
        <v>25298208</v>
      </c>
      <c r="N4">
        <v>28460484</v>
      </c>
      <c r="O4">
        <v>31622730</v>
      </c>
    </row>
    <row r="5" spans="1:15" x14ac:dyDescent="0.25">
      <c r="A5" s="1" t="s">
        <v>16</v>
      </c>
      <c r="B5" s="1" t="s">
        <v>52</v>
      </c>
      <c r="C5">
        <v>22483243</v>
      </c>
      <c r="D5">
        <v>2248325</v>
      </c>
      <c r="E5">
        <v>2248318</v>
      </c>
      <c r="F5">
        <v>2248325</v>
      </c>
      <c r="G5">
        <v>4496650</v>
      </c>
      <c r="H5">
        <v>6744975</v>
      </c>
      <c r="I5">
        <v>8993300</v>
      </c>
      <c r="J5">
        <v>11241625</v>
      </c>
      <c r="K5">
        <v>13489950</v>
      </c>
      <c r="L5">
        <v>15738275</v>
      </c>
      <c r="M5">
        <v>17986600</v>
      </c>
      <c r="N5">
        <v>20234925</v>
      </c>
      <c r="O5">
        <v>22483243</v>
      </c>
    </row>
    <row r="6" spans="1:15" x14ac:dyDescent="0.25">
      <c r="A6" s="1" t="s">
        <v>17</v>
      </c>
      <c r="B6" s="1" t="s">
        <v>53</v>
      </c>
      <c r="C6">
        <v>34581514</v>
      </c>
      <c r="D6">
        <v>3458154</v>
      </c>
      <c r="E6">
        <v>3458128</v>
      </c>
      <c r="F6">
        <v>3458154</v>
      </c>
      <c r="G6">
        <v>6916308</v>
      </c>
      <c r="H6">
        <v>10374462</v>
      </c>
      <c r="I6">
        <v>13832616</v>
      </c>
      <c r="J6">
        <v>17290770</v>
      </c>
      <c r="K6">
        <v>20748924</v>
      </c>
      <c r="L6">
        <v>24207078</v>
      </c>
      <c r="M6">
        <v>27665232</v>
      </c>
      <c r="N6">
        <v>31123386</v>
      </c>
      <c r="O6">
        <v>34581514</v>
      </c>
    </row>
    <row r="7" spans="1:15" x14ac:dyDescent="0.25">
      <c r="A7" s="1" t="s">
        <v>18</v>
      </c>
      <c r="B7" s="1" t="s">
        <v>54</v>
      </c>
      <c r="C7">
        <v>70628446</v>
      </c>
      <c r="D7">
        <v>7062848</v>
      </c>
      <c r="E7">
        <v>7062814</v>
      </c>
      <c r="F7">
        <v>7062848</v>
      </c>
      <c r="G7">
        <v>14125696</v>
      </c>
      <c r="H7">
        <v>21188544</v>
      </c>
      <c r="I7">
        <v>28251392</v>
      </c>
      <c r="J7">
        <v>35314240</v>
      </c>
      <c r="K7">
        <v>42377088</v>
      </c>
      <c r="L7">
        <v>49439936</v>
      </c>
      <c r="M7">
        <v>56502784</v>
      </c>
      <c r="N7">
        <v>63565632</v>
      </c>
      <c r="O7">
        <v>70628446</v>
      </c>
    </row>
    <row r="8" spans="1:15" x14ac:dyDescent="0.25">
      <c r="A8" s="1" t="s">
        <v>19</v>
      </c>
      <c r="B8" s="1" t="s">
        <v>55</v>
      </c>
      <c r="C8">
        <v>20859983</v>
      </c>
      <c r="D8">
        <v>2086001</v>
      </c>
      <c r="E8">
        <v>2085974</v>
      </c>
      <c r="F8">
        <v>2086001</v>
      </c>
      <c r="G8">
        <v>4172002</v>
      </c>
      <c r="H8">
        <v>6258003</v>
      </c>
      <c r="I8">
        <v>8344004</v>
      </c>
      <c r="J8">
        <v>10430005</v>
      </c>
      <c r="K8">
        <v>12516006</v>
      </c>
      <c r="L8">
        <v>14602007</v>
      </c>
      <c r="M8">
        <v>16688008</v>
      </c>
      <c r="N8">
        <v>18774009</v>
      </c>
      <c r="O8">
        <v>20859983</v>
      </c>
    </row>
    <row r="9" spans="1:15" x14ac:dyDescent="0.25">
      <c r="A9" s="1" t="s">
        <v>20</v>
      </c>
      <c r="B9" s="1" t="s">
        <v>56</v>
      </c>
      <c r="C9">
        <v>18403029</v>
      </c>
      <c r="D9">
        <v>1840305</v>
      </c>
      <c r="E9">
        <v>1840284</v>
      </c>
      <c r="F9">
        <v>1840305</v>
      </c>
      <c r="G9">
        <v>3680610</v>
      </c>
      <c r="H9">
        <v>5520915</v>
      </c>
      <c r="I9">
        <v>7361220</v>
      </c>
      <c r="J9">
        <v>9201525</v>
      </c>
      <c r="K9">
        <v>11041830</v>
      </c>
      <c r="L9">
        <v>12882135</v>
      </c>
      <c r="M9">
        <v>14722440</v>
      </c>
      <c r="N9">
        <v>16562745</v>
      </c>
      <c r="O9">
        <v>18403029</v>
      </c>
    </row>
    <row r="10" spans="1:15" x14ac:dyDescent="0.25">
      <c r="A10" s="1" t="s">
        <v>21</v>
      </c>
      <c r="B10" s="1" t="s">
        <v>57</v>
      </c>
      <c r="C10">
        <v>16509513</v>
      </c>
      <c r="D10">
        <v>1650954</v>
      </c>
      <c r="E10">
        <v>1650927</v>
      </c>
      <c r="F10">
        <v>1650954</v>
      </c>
      <c r="G10">
        <v>3301908</v>
      </c>
      <c r="H10">
        <v>4952862</v>
      </c>
      <c r="I10">
        <v>6603816</v>
      </c>
      <c r="J10">
        <v>8254770</v>
      </c>
      <c r="K10">
        <v>9905724</v>
      </c>
      <c r="L10">
        <v>11556678</v>
      </c>
      <c r="M10">
        <v>13207632</v>
      </c>
      <c r="N10">
        <v>14858586</v>
      </c>
      <c r="O10">
        <v>16509513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4"/>
  <sheetViews>
    <sheetView workbookViewId="0">
      <selection activeCell="A9" sqref="A9"/>
    </sheetView>
  </sheetViews>
  <sheetFormatPr defaultRowHeight="15" x14ac:dyDescent="0.25"/>
  <cols>
    <col min="1" max="1" width="54.42578125" customWidth="1"/>
    <col min="2" max="2" width="32.140625" bestFit="1" customWidth="1"/>
    <col min="3" max="3" width="11.140625" bestFit="1" customWidth="1"/>
    <col min="9" max="9" width="23.140625" bestFit="1" customWidth="1"/>
    <col min="10" max="10" width="5.140625" bestFit="1" customWidth="1"/>
  </cols>
  <sheetData>
    <row r="1" spans="1:11" x14ac:dyDescent="0.25">
      <c r="A1" s="3" t="s">
        <v>22</v>
      </c>
      <c r="B1" s="4">
        <v>2024</v>
      </c>
      <c r="C1" s="2"/>
      <c r="D1" s="2"/>
      <c r="E1" s="2"/>
      <c r="F1" s="2"/>
      <c r="G1" s="5"/>
      <c r="H1" s="5"/>
      <c r="I1" s="3" t="s">
        <v>23</v>
      </c>
      <c r="J1" s="2"/>
      <c r="K1" t="s">
        <v>46</v>
      </c>
    </row>
    <row r="2" spans="1:11" x14ac:dyDescent="0.25">
      <c r="A2" s="3"/>
      <c r="C2" s="2"/>
      <c r="D2" s="2"/>
      <c r="E2" s="2"/>
      <c r="F2" s="2"/>
      <c r="G2" s="2"/>
      <c r="H2" s="2"/>
      <c r="I2" s="3" t="s">
        <v>24</v>
      </c>
      <c r="J2" s="3" t="s">
        <v>25</v>
      </c>
      <c r="K2">
        <v>1</v>
      </c>
    </row>
    <row r="3" spans="1:11" x14ac:dyDescent="0.25">
      <c r="A3" s="3"/>
      <c r="B3" s="3"/>
      <c r="C3" s="2"/>
      <c r="D3" s="2"/>
      <c r="E3" s="2"/>
      <c r="F3" s="2"/>
      <c r="G3" s="2"/>
      <c r="H3" s="2"/>
      <c r="I3" s="3" t="s">
        <v>26</v>
      </c>
      <c r="J3" s="3" t="s">
        <v>25</v>
      </c>
      <c r="K3">
        <v>2</v>
      </c>
    </row>
    <row r="4" spans="1:11" x14ac:dyDescent="0.25">
      <c r="A4" s="3"/>
      <c r="B4" s="3"/>
      <c r="C4" s="2"/>
      <c r="D4" s="2"/>
      <c r="E4" s="2"/>
      <c r="F4" s="2"/>
      <c r="G4" s="2"/>
      <c r="H4" s="2"/>
      <c r="I4" s="3" t="s">
        <v>27</v>
      </c>
      <c r="J4" s="3" t="s">
        <v>25</v>
      </c>
      <c r="K4">
        <v>3</v>
      </c>
    </row>
    <row r="5" spans="1:11" x14ac:dyDescent="0.25">
      <c r="A5" s="2"/>
      <c r="B5" s="2"/>
      <c r="C5" s="2"/>
      <c r="D5" s="2"/>
      <c r="E5" s="2"/>
      <c r="F5" s="2"/>
      <c r="G5" s="2"/>
      <c r="H5" s="2"/>
      <c r="I5" s="3" t="s">
        <v>28</v>
      </c>
      <c r="J5" s="3" t="s">
        <v>25</v>
      </c>
      <c r="K5">
        <v>4</v>
      </c>
    </row>
    <row r="6" spans="1:11" x14ac:dyDescent="0.25">
      <c r="A6" s="2"/>
      <c r="B6" s="2"/>
      <c r="C6" s="2"/>
      <c r="D6" s="2"/>
      <c r="E6" s="2"/>
      <c r="F6" s="2"/>
      <c r="G6" s="2"/>
      <c r="H6" s="2"/>
      <c r="I6" s="3" t="s">
        <v>29</v>
      </c>
      <c r="J6" s="3" t="s">
        <v>25</v>
      </c>
      <c r="K6">
        <v>5</v>
      </c>
    </row>
    <row r="7" spans="1:11" x14ac:dyDescent="0.25">
      <c r="A7" s="2"/>
      <c r="B7" s="2"/>
      <c r="C7" s="2"/>
      <c r="D7" s="2"/>
      <c r="E7" s="2"/>
      <c r="F7" s="2"/>
      <c r="G7" s="2"/>
      <c r="H7" s="2"/>
      <c r="I7" s="3" t="s">
        <v>31</v>
      </c>
      <c r="J7" s="3" t="s">
        <v>25</v>
      </c>
      <c r="K7">
        <v>6</v>
      </c>
    </row>
    <row r="8" spans="1:11" x14ac:dyDescent="0.25">
      <c r="A8" s="2"/>
      <c r="B8" s="2"/>
      <c r="C8" s="2"/>
      <c r="D8" s="2"/>
      <c r="E8" s="2"/>
      <c r="F8" s="2"/>
      <c r="G8" s="2"/>
      <c r="H8" s="2"/>
      <c r="I8" s="3" t="s">
        <v>32</v>
      </c>
      <c r="J8" s="3" t="s">
        <v>25</v>
      </c>
      <c r="K8">
        <v>7</v>
      </c>
    </row>
    <row r="9" spans="1:11" x14ac:dyDescent="0.25">
      <c r="A9" s="2"/>
      <c r="B9" s="2"/>
      <c r="C9" s="2"/>
      <c r="D9" s="2"/>
      <c r="E9" s="2"/>
      <c r="F9" s="2"/>
      <c r="G9" s="2"/>
      <c r="H9" s="2"/>
      <c r="I9" s="3" t="s">
        <v>33</v>
      </c>
      <c r="J9" s="3" t="s">
        <v>25</v>
      </c>
      <c r="K9">
        <v>8</v>
      </c>
    </row>
    <row r="10" spans="1:11" x14ac:dyDescent="0.25">
      <c r="A10" s="2"/>
      <c r="B10" s="2"/>
      <c r="C10" s="2"/>
      <c r="D10" s="2"/>
      <c r="E10" s="2"/>
      <c r="F10" s="2"/>
      <c r="G10" s="2"/>
      <c r="H10" s="2"/>
      <c r="I10" s="3" t="s">
        <v>34</v>
      </c>
      <c r="J10" s="3" t="s">
        <v>25</v>
      </c>
      <c r="K10">
        <v>9</v>
      </c>
    </row>
    <row r="11" spans="1:11" x14ac:dyDescent="0.25">
      <c r="A11" s="2"/>
      <c r="B11" s="2"/>
      <c r="C11" s="2"/>
      <c r="D11" s="2"/>
      <c r="E11" s="2"/>
      <c r="F11" s="2"/>
      <c r="G11" s="2"/>
      <c r="H11" s="2"/>
      <c r="I11" s="3" t="s">
        <v>35</v>
      </c>
      <c r="J11" s="3" t="s">
        <v>30</v>
      </c>
      <c r="K11">
        <v>10</v>
      </c>
    </row>
    <row r="14" spans="1:11" x14ac:dyDescent="0.25">
      <c r="A14" t="s">
        <v>38</v>
      </c>
      <c r="B14" t="s">
        <v>39</v>
      </c>
      <c r="C14" t="s">
        <v>59</v>
      </c>
    </row>
    <row r="15" spans="1:11" x14ac:dyDescent="0.25">
      <c r="A15" t="s">
        <v>40</v>
      </c>
      <c r="B15" s="6">
        <f>Payment!F13+Payment!E13-Payment!C13</f>
        <v>0</v>
      </c>
    </row>
    <row r="16" spans="1:11" x14ac:dyDescent="0.25">
      <c r="A16" t="s">
        <v>45</v>
      </c>
      <c r="B16" s="6">
        <f>SUM(Payment!L4:$L$12)</f>
        <v>0</v>
      </c>
    </row>
    <row r="17" spans="1:3" x14ac:dyDescent="0.25">
      <c r="A17" t="s">
        <v>44</v>
      </c>
      <c r="B17">
        <f>Payment!D13*INDEX($I$2:$K$11,MATCH(Payment!$B$2,$I$2:$I$11,0),3)-Payment!E13</f>
        <v>0</v>
      </c>
      <c r="C17" t="s">
        <v>60</v>
      </c>
    </row>
    <row r="18" spans="1:3" x14ac:dyDescent="0.25">
      <c r="A18" t="s">
        <v>58</v>
      </c>
      <c r="B18" s="6">
        <f>C18-Payment!C13</f>
        <v>0</v>
      </c>
      <c r="C18" s="6">
        <v>244857014</v>
      </c>
    </row>
    <row r="19" spans="1:3" x14ac:dyDescent="0.25">
      <c r="A19" t="s">
        <v>743</v>
      </c>
      <c r="B19" s="6">
        <f>SUM(PaymentCodingDetailCheck!C3:I11,PaymentCodingDetailCheck!C15:G23,PaymentCodingDetailCheck!C27:G35)</f>
        <v>0</v>
      </c>
    </row>
    <row r="20" spans="1:3" x14ac:dyDescent="0.25">
      <c r="A20" t="s">
        <v>768</v>
      </c>
      <c r="B20" s="6">
        <f>SUM('Final Total Check'!L4:Q13,'Final Total Check'!L17:R26)</f>
        <v>0</v>
      </c>
    </row>
    <row r="21" spans="1:3" x14ac:dyDescent="0.25">
      <c r="A21" t="s">
        <v>770</v>
      </c>
      <c r="B21" s="6">
        <f>SUM(PaymentCodingTotal!K27:L35)</f>
        <v>0</v>
      </c>
    </row>
    <row r="22" spans="1:3" x14ac:dyDescent="0.25">
      <c r="A22" t="s">
        <v>771</v>
      </c>
      <c r="B22" s="6">
        <f>SUM('PaymentCodingDetail_Sept-May'!$K$27:$M$36)</f>
        <v>0</v>
      </c>
    </row>
    <row r="23" spans="1:3" x14ac:dyDescent="0.25">
      <c r="A23" t="s">
        <v>772</v>
      </c>
      <c r="B23" s="6">
        <f>SUM(PaymentCodingDetail_June!K27:M36)</f>
        <v>0</v>
      </c>
    </row>
    <row r="24" spans="1:3" x14ac:dyDescent="0.25">
      <c r="A24" t="s">
        <v>773</v>
      </c>
      <c r="B24" s="6">
        <f>SUM(PaymentCodingDetailCheck!K3:K7,PaymentCodingDetail_June!K3:K7,'PaymentCodingDetail_Sept-May'!K3:K7,PaymentCodingTotal!K3:K7)</f>
        <v>0</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activeCell="B2" sqref="B2"/>
    </sheetView>
  </sheetViews>
  <sheetFormatPr defaultRowHeight="15" x14ac:dyDescent="0.25"/>
  <cols>
    <col min="1" max="1" width="4.42578125" style="45" customWidth="1"/>
    <col min="2" max="2" width="26.7109375" style="45" bestFit="1" customWidth="1"/>
    <col min="3" max="3" width="13.7109375" style="45" bestFit="1" customWidth="1"/>
    <col min="4" max="4" width="12.42578125" style="45" bestFit="1" customWidth="1"/>
    <col min="5" max="5" width="14.85546875" style="45" bestFit="1" customWidth="1"/>
    <col min="6" max="6" width="13.7109375" style="45" bestFit="1" customWidth="1"/>
    <col min="7" max="8" width="9.140625" style="45" customWidth="1"/>
    <col min="9" max="9" width="9.140625" style="45" hidden="1" customWidth="1"/>
    <col min="10" max="10" width="12.5703125" style="46" hidden="1" customWidth="1"/>
    <col min="11" max="12" width="9.140625" style="45" hidden="1" customWidth="1"/>
    <col min="13" max="13" width="9.140625" style="45" customWidth="1"/>
    <col min="14" max="16384" width="9.140625" style="45"/>
  </cols>
  <sheetData>
    <row r="1" spans="1:12" x14ac:dyDescent="0.25">
      <c r="A1" s="71" t="str">
        <f>CONCATENATE("FY ",Notes!$B$1," AEA State Aid Payments")</f>
        <v>FY 2024 AEA State Aid Payments</v>
      </c>
      <c r="B1" s="72"/>
      <c r="C1" s="72"/>
      <c r="D1" s="72"/>
      <c r="E1" s="72"/>
      <c r="F1" s="72"/>
    </row>
    <row r="2" spans="1:12" ht="30" x14ac:dyDescent="0.25">
      <c r="A2" s="47"/>
      <c r="B2" s="70" t="s">
        <v>24</v>
      </c>
      <c r="C2" s="49" t="s">
        <v>36</v>
      </c>
      <c r="D2" s="49" t="str">
        <f>CONCATENATE(Payment!$B$2," 
Payment")</f>
        <v>September 
Payment</v>
      </c>
      <c r="E2" s="49" t="str">
        <f>CONCATENATE("Paid Through 
",Payment!$B$2)</f>
        <v>Paid Through 
September</v>
      </c>
      <c r="F2" s="49" t="s">
        <v>37</v>
      </c>
      <c r="I2" s="45" t="s">
        <v>43</v>
      </c>
      <c r="L2" s="50" t="s">
        <v>41</v>
      </c>
    </row>
    <row r="3" spans="1:12" ht="27.75" hidden="1" customHeight="1" x14ac:dyDescent="0.25">
      <c r="A3" s="51"/>
      <c r="B3" s="52" t="str">
        <f>Data[[#Headers],[AEA Name]]</f>
        <v>AEA Name</v>
      </c>
      <c r="C3" s="52" t="str">
        <f>Data[[#Headers],[Original Budget]]</f>
        <v>Original Budget</v>
      </c>
      <c r="D3" s="3" t="str">
        <f>IF(Payment!$B$2="June","Pay 2 Final","Pay1 - Sept - May")</f>
        <v>Pay1 - Sept - May</v>
      </c>
      <c r="E3" s="53" t="str">
        <f>CONCATENATE("Paid Thru ",Payment!$B$2)</f>
        <v>Paid Thru September</v>
      </c>
      <c r="F3" s="53"/>
      <c r="K3" s="45" t="s">
        <v>42</v>
      </c>
    </row>
    <row r="4" spans="1:12" x14ac:dyDescent="0.25">
      <c r="A4" s="54" t="str">
        <f>Data!A2</f>
        <v>01</v>
      </c>
      <c r="B4" s="55" t="str">
        <f>INDEX(Data[],MATCH($A4,Data[AEA],0),MATCH(B$3,Data[#Headers],0))</f>
        <v>Keystone AEA 1</v>
      </c>
      <c r="C4" s="27">
        <f>INDEX(Data[],MATCH($A4,Data[AEA],0),MATCH(C$3,Data[#Headers],0))</f>
        <v>14556174</v>
      </c>
      <c r="D4" s="27">
        <f>INDEX(Data[],MATCH($A4,Data[AEA],0),MATCH(D$3,Data[#Headers],0))</f>
        <v>1455617</v>
      </c>
      <c r="E4" s="27">
        <f>INDEX(Data[],MATCH($A4,Data[AEA],0),MATCH(E$3,Data[#Headers],0))</f>
        <v>1455617</v>
      </c>
      <c r="F4" s="27">
        <f>C4-E4</f>
        <v>13100557</v>
      </c>
      <c r="I4" s="45" t="s">
        <v>732</v>
      </c>
      <c r="J4" s="46">
        <v>1455617</v>
      </c>
      <c r="K4" s="45" t="str">
        <f>MID(I4,3,2)</f>
        <v>01</v>
      </c>
      <c r="L4" s="46">
        <f>INDEX($A$4:$F$12,MATCH(K4,$A$4:$A$12,0),4)-J4</f>
        <v>0</v>
      </c>
    </row>
    <row r="5" spans="1:12" x14ac:dyDescent="0.25">
      <c r="A5" s="54" t="str">
        <f>Data!A3</f>
        <v>05</v>
      </c>
      <c r="B5" s="55" t="str">
        <f>INDEX(Data[],MATCH($A5,Data[AEA],0),MATCH(B$3,Data[#Headers],0))</f>
        <v>Prairie Lakes AEA 8</v>
      </c>
      <c r="C5" s="27">
        <f>INDEX(Data[],MATCH($A5,Data[AEA],0),MATCH(C$3,Data[#Headers],0))</f>
        <v>15212382</v>
      </c>
      <c r="D5" s="27">
        <f>INDEX(Data[],MATCH($A5,Data[AEA],0),MATCH(D$3,Data[#Headers],0))</f>
        <v>1521240</v>
      </c>
      <c r="E5" s="27">
        <f>INDEX(Data[],MATCH($A5,Data[AEA],0),MATCH(E$3,Data[#Headers],0))</f>
        <v>1521240</v>
      </c>
      <c r="F5" s="27">
        <f t="shared" ref="F5:F12" si="0">C5-E5</f>
        <v>13691142</v>
      </c>
      <c r="I5" s="45" t="s">
        <v>733</v>
      </c>
      <c r="J5" s="46">
        <v>1521240</v>
      </c>
      <c r="K5" s="45" t="str">
        <f t="shared" ref="K5:K12" si="1">MID(I5,3,2)</f>
        <v>05</v>
      </c>
      <c r="L5" s="46">
        <f t="shared" ref="L5:L12" si="2">INDEX($A$4:$F$12,MATCH(K5,$A$4:$A$12,0),4)-J5</f>
        <v>0</v>
      </c>
    </row>
    <row r="6" spans="1:12" x14ac:dyDescent="0.25">
      <c r="A6" s="54" t="str">
        <f>Data!A4</f>
        <v>07</v>
      </c>
      <c r="B6" s="55" t="str">
        <f>INDEX(Data[],MATCH($A6,Data[AEA],0),MATCH(B$3,Data[#Headers],0))</f>
        <v>Central Rivers</v>
      </c>
      <c r="C6" s="27">
        <f>INDEX(Data[],MATCH($A6,Data[AEA],0),MATCH(C$3,Data[#Headers],0))</f>
        <v>31622730</v>
      </c>
      <c r="D6" s="27">
        <f>INDEX(Data[],MATCH($A6,Data[AEA],0),MATCH(D$3,Data[#Headers],0))</f>
        <v>3162276</v>
      </c>
      <c r="E6" s="27">
        <f>INDEX(Data[],MATCH($A6,Data[AEA],0),MATCH(E$3,Data[#Headers],0))</f>
        <v>3162276</v>
      </c>
      <c r="F6" s="27">
        <f t="shared" si="0"/>
        <v>28460454</v>
      </c>
      <c r="I6" s="45" t="s">
        <v>734</v>
      </c>
      <c r="J6" s="46">
        <v>3162276</v>
      </c>
      <c r="K6" s="45" t="str">
        <f t="shared" si="1"/>
        <v>07</v>
      </c>
      <c r="L6" s="46">
        <f t="shared" si="2"/>
        <v>0</v>
      </c>
    </row>
    <row r="7" spans="1:12" x14ac:dyDescent="0.25">
      <c r="A7" s="54" t="str">
        <f>Data!A5</f>
        <v>09</v>
      </c>
      <c r="B7" s="55" t="str">
        <f>INDEX(Data[],MATCH($A7,Data[AEA],0),MATCH(B$3,Data[#Headers],0))</f>
        <v>Mississippi Bend AEA 9</v>
      </c>
      <c r="C7" s="27">
        <f>INDEX(Data[],MATCH($A7,Data[AEA],0),MATCH(C$3,Data[#Headers],0))</f>
        <v>22483243</v>
      </c>
      <c r="D7" s="27">
        <f>INDEX(Data[],MATCH($A7,Data[AEA],0),MATCH(D$3,Data[#Headers],0))</f>
        <v>2248325</v>
      </c>
      <c r="E7" s="27">
        <f>INDEX(Data[],MATCH($A7,Data[AEA],0),MATCH(E$3,Data[#Headers],0))</f>
        <v>2248325</v>
      </c>
      <c r="F7" s="27">
        <f t="shared" si="0"/>
        <v>20234918</v>
      </c>
      <c r="I7" s="45" t="s">
        <v>735</v>
      </c>
      <c r="J7" s="46">
        <v>2248325</v>
      </c>
      <c r="K7" s="45" t="str">
        <f t="shared" si="1"/>
        <v>09</v>
      </c>
      <c r="L7" s="46">
        <f t="shared" si="2"/>
        <v>0</v>
      </c>
    </row>
    <row r="8" spans="1:12" x14ac:dyDescent="0.25">
      <c r="A8" s="54" t="str">
        <f>Data!A6</f>
        <v>10</v>
      </c>
      <c r="B8" s="55" t="str">
        <f>INDEX(Data[],MATCH($A8,Data[AEA],0),MATCH(B$3,Data[#Headers],0))</f>
        <v>Grant Wood AEA 10</v>
      </c>
      <c r="C8" s="27">
        <f>INDEX(Data[],MATCH($A8,Data[AEA],0),MATCH(C$3,Data[#Headers],0))</f>
        <v>34581514</v>
      </c>
      <c r="D8" s="27">
        <f>INDEX(Data[],MATCH($A8,Data[AEA],0),MATCH(D$3,Data[#Headers],0))</f>
        <v>3458154</v>
      </c>
      <c r="E8" s="27">
        <f>INDEX(Data[],MATCH($A8,Data[AEA],0),MATCH(E$3,Data[#Headers],0))</f>
        <v>3458154</v>
      </c>
      <c r="F8" s="27">
        <f t="shared" si="0"/>
        <v>31123360</v>
      </c>
      <c r="I8" s="45" t="s">
        <v>736</v>
      </c>
      <c r="J8" s="46">
        <v>3458154</v>
      </c>
      <c r="K8" s="45" t="str">
        <f t="shared" si="1"/>
        <v>10</v>
      </c>
      <c r="L8" s="46">
        <f t="shared" si="2"/>
        <v>0</v>
      </c>
    </row>
    <row r="9" spans="1:12" x14ac:dyDescent="0.25">
      <c r="A9" s="54" t="str">
        <f>Data!A7</f>
        <v>11</v>
      </c>
      <c r="B9" s="55" t="str">
        <f>INDEX(Data[],MATCH($A9,Data[AEA],0),MATCH(B$3,Data[#Headers],0))</f>
        <v>Heartland AEA 11</v>
      </c>
      <c r="C9" s="27">
        <f>INDEX(Data[],MATCH($A9,Data[AEA],0),MATCH(C$3,Data[#Headers],0))</f>
        <v>70628446</v>
      </c>
      <c r="D9" s="27">
        <f>INDEX(Data[],MATCH($A9,Data[AEA],0),MATCH(D$3,Data[#Headers],0))</f>
        <v>7062848</v>
      </c>
      <c r="E9" s="27">
        <f>INDEX(Data[],MATCH($A9,Data[AEA],0),MATCH(E$3,Data[#Headers],0))</f>
        <v>7062848</v>
      </c>
      <c r="F9" s="27">
        <f t="shared" si="0"/>
        <v>63565598</v>
      </c>
      <c r="I9" s="45" t="s">
        <v>737</v>
      </c>
      <c r="J9" s="46">
        <v>7062848</v>
      </c>
      <c r="K9" s="45" t="str">
        <f t="shared" si="1"/>
        <v>11</v>
      </c>
      <c r="L9" s="46">
        <f t="shared" si="2"/>
        <v>0</v>
      </c>
    </row>
    <row r="10" spans="1:12" x14ac:dyDescent="0.25">
      <c r="A10" s="54" t="str">
        <f>Data!A8</f>
        <v>12</v>
      </c>
      <c r="B10" s="55" t="str">
        <f>INDEX(Data[],MATCH($A10,Data[AEA],0),MATCH(B$3,Data[#Headers],0))</f>
        <v>Northwest AEA</v>
      </c>
      <c r="C10" s="27">
        <f>INDEX(Data[],MATCH($A10,Data[AEA],0),MATCH(C$3,Data[#Headers],0))</f>
        <v>20859983</v>
      </c>
      <c r="D10" s="27">
        <f>INDEX(Data[],MATCH($A10,Data[AEA],0),MATCH(D$3,Data[#Headers],0))</f>
        <v>2086001</v>
      </c>
      <c r="E10" s="27">
        <f>INDEX(Data[],MATCH($A10,Data[AEA],0),MATCH(E$3,Data[#Headers],0))</f>
        <v>2086001</v>
      </c>
      <c r="F10" s="27">
        <f t="shared" si="0"/>
        <v>18773982</v>
      </c>
      <c r="I10" s="45" t="s">
        <v>738</v>
      </c>
      <c r="J10" s="46">
        <v>2086001</v>
      </c>
      <c r="K10" s="45" t="str">
        <f t="shared" si="1"/>
        <v>12</v>
      </c>
      <c r="L10" s="46">
        <f t="shared" si="2"/>
        <v>0</v>
      </c>
    </row>
    <row r="11" spans="1:12" x14ac:dyDescent="0.25">
      <c r="A11" s="54" t="str">
        <f>Data!A9</f>
        <v>13</v>
      </c>
      <c r="B11" s="55" t="str">
        <f>INDEX(Data[],MATCH($A11,Data[AEA],0),MATCH(B$3,Data[#Headers],0))</f>
        <v>Green Hills AEA 13</v>
      </c>
      <c r="C11" s="27">
        <f>INDEX(Data[],MATCH($A11,Data[AEA],0),MATCH(C$3,Data[#Headers],0))</f>
        <v>18403029</v>
      </c>
      <c r="D11" s="27">
        <f>INDEX(Data[],MATCH($A11,Data[AEA],0),MATCH(D$3,Data[#Headers],0))</f>
        <v>1840305</v>
      </c>
      <c r="E11" s="27">
        <f>INDEX(Data[],MATCH($A11,Data[AEA],0),MATCH(E$3,Data[#Headers],0))</f>
        <v>1840305</v>
      </c>
      <c r="F11" s="27">
        <f t="shared" si="0"/>
        <v>16562724</v>
      </c>
      <c r="I11" s="45" t="s">
        <v>739</v>
      </c>
      <c r="J11" s="46">
        <v>1840305</v>
      </c>
      <c r="K11" s="45" t="str">
        <f t="shared" si="1"/>
        <v>13</v>
      </c>
      <c r="L11" s="46">
        <f t="shared" si="2"/>
        <v>0</v>
      </c>
    </row>
    <row r="12" spans="1:12" x14ac:dyDescent="0.25">
      <c r="A12" s="54" t="str">
        <f>Data!A10</f>
        <v>15</v>
      </c>
      <c r="B12" s="55" t="str">
        <f>INDEX(Data[],MATCH($A12,Data[AEA],0),MATCH(B$3,Data[#Headers],0))</f>
        <v>Great Prairie AEA 15</v>
      </c>
      <c r="C12" s="27">
        <f>INDEX(Data[],MATCH($A12,Data[AEA],0),MATCH(C$3,Data[#Headers],0))</f>
        <v>16509513</v>
      </c>
      <c r="D12" s="27">
        <f>INDEX(Data[],MATCH($A12,Data[AEA],0),MATCH(D$3,Data[#Headers],0))</f>
        <v>1650954</v>
      </c>
      <c r="E12" s="27">
        <f>INDEX(Data[],MATCH($A12,Data[AEA],0),MATCH(E$3,Data[#Headers],0))</f>
        <v>1650954</v>
      </c>
      <c r="F12" s="27">
        <f t="shared" si="0"/>
        <v>14858559</v>
      </c>
      <c r="I12" s="45" t="s">
        <v>740</v>
      </c>
      <c r="J12" s="46">
        <v>1650954</v>
      </c>
      <c r="K12" s="45" t="str">
        <f t="shared" si="1"/>
        <v>15</v>
      </c>
      <c r="L12" s="46">
        <f t="shared" si="2"/>
        <v>0</v>
      </c>
    </row>
    <row r="13" spans="1:12" ht="15.75" thickBot="1" x14ac:dyDescent="0.3">
      <c r="A13" s="48"/>
      <c r="B13" s="48"/>
      <c r="C13" s="61">
        <f>SUM(C4:C12)</f>
        <v>244857014</v>
      </c>
      <c r="D13" s="61">
        <f t="shared" ref="D13:F13" si="3">SUM(D4:D12)</f>
        <v>24485720</v>
      </c>
      <c r="E13" s="61">
        <f t="shared" si="3"/>
        <v>24485720</v>
      </c>
      <c r="F13" s="61">
        <f t="shared" si="3"/>
        <v>220371294</v>
      </c>
      <c r="J13" s="46">
        <f>SUM(J4:J12)</f>
        <v>24485720</v>
      </c>
    </row>
    <row r="14" spans="1:12" ht="15.75" thickTop="1" x14ac:dyDescent="0.25"/>
  </sheetData>
  <sheetProtection sheet="1" objects="1" scenarios="1"/>
  <mergeCells count="1">
    <mergeCell ref="A1:F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Notes!$I$2:$I$11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F290-9B74-424F-9292-512575D86326}">
  <sheetPr>
    <tabColor rgb="FFFF0000"/>
    <pageSetUpPr fitToPage="1"/>
  </sheetPr>
  <dimension ref="A1:L39"/>
  <sheetViews>
    <sheetView zoomScale="90" zoomScaleNormal="90" workbookViewId="0">
      <selection activeCell="D20" sqref="D20"/>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bestFit="1" customWidth="1"/>
    <col min="12" max="12" width="11" bestFit="1" customWidth="1"/>
    <col min="13" max="13" width="12.140625" bestFit="1" customWidth="1"/>
  </cols>
  <sheetData>
    <row r="1" spans="1:11" ht="45" customHeight="1" x14ac:dyDescent="0.25">
      <c r="A1" s="73" t="str">
        <f>_xlfn.CONCAT("FY ",K2," AEA Enrollments and Cost - Final - State Aid and Property Tax Breakdown")</f>
        <v>FY 2024 AEA Enrollments and Cost - Final - State Aid and Property Tax Breakdown</v>
      </c>
      <c r="B1" s="73"/>
      <c r="C1" s="73"/>
      <c r="D1" s="73"/>
      <c r="E1" s="73"/>
      <c r="F1" s="73"/>
      <c r="G1" s="73"/>
      <c r="H1" s="73"/>
      <c r="I1" s="73"/>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4" t="str">
        <f>Data_Detail[[#Headers],[State Aid Special Ed Minus Reduction]]</f>
        <v>State Aid Special Ed Minus Reduction</v>
      </c>
      <c r="G2" s="39" t="str">
        <f>Data_Detail[[#Headers],[Special Education Property Tax Portion]]</f>
        <v>Special Education Property Tax Portion</v>
      </c>
      <c r="H2" s="3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2024</v>
      </c>
    </row>
    <row r="3" spans="1:11" x14ac:dyDescent="0.25">
      <c r="A3" s="21" t="str">
        <f>Data!A2</f>
        <v>01</v>
      </c>
      <c r="B3" s="11" t="str">
        <f>INDEX(Data_Detail[],MATCH(PaymentCodingDetailCheck!$A3,Data_Detail[AEA],0),3)</f>
        <v>Keystone AEA 1</v>
      </c>
      <c r="C3" s="12">
        <f>('PaymentCodingDetail_Sept-May'!C3*9)+PaymentCodingDetail_June!C3-PaymentCodingTotal!C3</f>
        <v>0</v>
      </c>
      <c r="D3" s="12">
        <f>('PaymentCodingDetail_Sept-May'!D3*9)+PaymentCodingDetail_June!D3-PaymentCodingTotal!D3</f>
        <v>0</v>
      </c>
      <c r="E3" s="12">
        <f>('PaymentCodingDetail_Sept-May'!E3*9)+PaymentCodingDetail_June!E3-PaymentCodingTotal!E3</f>
        <v>0</v>
      </c>
      <c r="F3" s="25">
        <f>('PaymentCodingDetail_Sept-May'!F3*9)+PaymentCodingDetail_June!F3-PaymentCodingTotal!F3</f>
        <v>0</v>
      </c>
      <c r="G3" s="40">
        <f>('PaymentCodingDetail_Sept-May'!G3*9)+PaymentCodingDetail_June!G3-PaymentCodingTotal!G3</f>
        <v>0</v>
      </c>
      <c r="H3" s="40">
        <f>('PaymentCodingDetail_Sept-May'!H3*9)+PaymentCodingDetail_June!H3-PaymentCodingTotal!H3</f>
        <v>0</v>
      </c>
      <c r="I3" s="12">
        <f>('PaymentCodingDetail_Sept-May'!I3*9)+PaymentCodingDetail_June!I3-PaymentCodingTotal!I3</f>
        <v>0</v>
      </c>
      <c r="K3" s="6">
        <f>G12+D24+H12+C36+D36-G36</f>
        <v>0</v>
      </c>
    </row>
    <row r="4" spans="1:11" x14ac:dyDescent="0.25">
      <c r="A4" s="21" t="str">
        <f>Data!A3</f>
        <v>05</v>
      </c>
      <c r="B4" s="11" t="str">
        <f>INDEX(Data_Detail[],MATCH(PaymentCodingDetailCheck!$A4,Data_Detail[AEA],0),3)</f>
        <v>Prairie Lakes AEA 8</v>
      </c>
      <c r="C4" s="12">
        <f>('PaymentCodingDetail_Sept-May'!C4*9)+PaymentCodingDetail_June!C4-PaymentCodingTotal!C4</f>
        <v>0</v>
      </c>
      <c r="D4" s="12">
        <f>('PaymentCodingDetail_Sept-May'!D4*9)+PaymentCodingDetail_June!D4-PaymentCodingTotal!D4</f>
        <v>0</v>
      </c>
      <c r="E4" s="12">
        <f>('PaymentCodingDetail_Sept-May'!E4*9)+PaymentCodingDetail_June!E4-PaymentCodingTotal!E4</f>
        <v>0</v>
      </c>
      <c r="F4" s="25">
        <f>('PaymentCodingDetail_Sept-May'!F4*9)+PaymentCodingDetail_June!F4-PaymentCodingTotal!F4</f>
        <v>0</v>
      </c>
      <c r="G4" s="40">
        <f>('PaymentCodingDetail_Sept-May'!G4*9)+PaymentCodingDetail_June!G4-PaymentCodingTotal!G4</f>
        <v>0</v>
      </c>
      <c r="H4" s="40">
        <f>('PaymentCodingDetail_Sept-May'!H4*9)+PaymentCodingDetail_June!H4-PaymentCodingTotal!H4</f>
        <v>0</v>
      </c>
      <c r="I4" s="12">
        <f>('PaymentCodingDetail_Sept-May'!I4*9)+PaymentCodingDetail_June!I4-PaymentCodingTotal!I4</f>
        <v>0</v>
      </c>
      <c r="K4" s="6">
        <f>F12+C24+F24+G24-F36</f>
        <v>0</v>
      </c>
    </row>
    <row r="5" spans="1:11" x14ac:dyDescent="0.25">
      <c r="A5" s="21" t="str">
        <f>Data!A4</f>
        <v>07</v>
      </c>
      <c r="B5" s="11" t="str">
        <f>INDEX(Data_Detail[],MATCH(PaymentCodingDetailCheck!$A5,Data_Detail[AEA],0),3)</f>
        <v>Central Rivers</v>
      </c>
      <c r="C5" s="12">
        <f>('PaymentCodingDetail_Sept-May'!C5*9)+PaymentCodingDetail_June!C5-PaymentCodingTotal!C5</f>
        <v>0</v>
      </c>
      <c r="D5" s="12">
        <f>('PaymentCodingDetail_Sept-May'!D5*9)+PaymentCodingDetail_June!D5-PaymentCodingTotal!D5</f>
        <v>0</v>
      </c>
      <c r="E5" s="12">
        <f>('PaymentCodingDetail_Sept-May'!E5*9)+PaymentCodingDetail_June!E5-PaymentCodingTotal!E5</f>
        <v>0</v>
      </c>
      <c r="F5" s="25">
        <f>('PaymentCodingDetail_Sept-May'!F5*9)+PaymentCodingDetail_June!F5-PaymentCodingTotal!F5</f>
        <v>0</v>
      </c>
      <c r="G5" s="40">
        <f>('PaymentCodingDetail_Sept-May'!G5*9)+PaymentCodingDetail_June!G5-PaymentCodingTotal!G5</f>
        <v>0</v>
      </c>
      <c r="H5" s="40">
        <f>('PaymentCodingDetail_Sept-May'!H5*9)+PaymentCodingDetail_June!H5-PaymentCodingTotal!H5</f>
        <v>0</v>
      </c>
      <c r="I5" s="12">
        <f>('PaymentCodingDetail_Sept-May'!I5*9)+PaymentCodingDetail_June!I5-PaymentCodingTotal!I5</f>
        <v>0</v>
      </c>
      <c r="K5" s="6">
        <f>F12+E12-D12</f>
        <v>0</v>
      </c>
    </row>
    <row r="6" spans="1:11" x14ac:dyDescent="0.25">
      <c r="A6" s="21" t="str">
        <f>Data!A5</f>
        <v>09</v>
      </c>
      <c r="B6" s="11" t="str">
        <f>INDEX(Data_Detail[],MATCH(PaymentCodingDetailCheck!$A6,Data_Detail[AEA],0),3)</f>
        <v>Mississippi Bend AEA 9</v>
      </c>
      <c r="C6" s="12">
        <f>('PaymentCodingDetail_Sept-May'!C6*9)+PaymentCodingDetail_June!C6-PaymentCodingTotal!C6</f>
        <v>0</v>
      </c>
      <c r="D6" s="12">
        <f>('PaymentCodingDetail_Sept-May'!D6*9)+PaymentCodingDetail_June!D6-PaymentCodingTotal!D6</f>
        <v>0</v>
      </c>
      <c r="E6" s="12">
        <f>('PaymentCodingDetail_Sept-May'!E6*9)+PaymentCodingDetail_June!E6-PaymentCodingTotal!E6</f>
        <v>0</v>
      </c>
      <c r="F6" s="25">
        <f>('PaymentCodingDetail_Sept-May'!F6*9)+PaymentCodingDetail_June!F6-PaymentCodingTotal!F6</f>
        <v>0</v>
      </c>
      <c r="G6" s="40">
        <f>('PaymentCodingDetail_Sept-May'!G6*9)+PaymentCodingDetail_June!G6-PaymentCodingTotal!G6</f>
        <v>0</v>
      </c>
      <c r="H6" s="40">
        <f>('PaymentCodingDetail_Sept-May'!H6*9)+PaymentCodingDetail_June!H6-PaymentCodingTotal!H6</f>
        <v>0</v>
      </c>
      <c r="I6" s="12">
        <f>('PaymentCodingDetail_Sept-May'!I6*9)+PaymentCodingDetail_June!I6-PaymentCodingTotal!I6</f>
        <v>0</v>
      </c>
      <c r="K6" s="6">
        <f>H12+G12+F12-I12</f>
        <v>0</v>
      </c>
    </row>
    <row r="7" spans="1:11" x14ac:dyDescent="0.25">
      <c r="A7" s="21" t="str">
        <f>Data!A6</f>
        <v>10</v>
      </c>
      <c r="B7" s="11" t="str">
        <f>INDEX(Data_Detail[],MATCH(PaymentCodingDetailCheck!$A7,Data_Detail[AEA],0),3)</f>
        <v>Grant Wood AEA 10</v>
      </c>
      <c r="C7" s="12">
        <f>('PaymentCodingDetail_Sept-May'!C7*9)+PaymentCodingDetail_June!C7-PaymentCodingTotal!C7</f>
        <v>0</v>
      </c>
      <c r="D7" s="12">
        <f>('PaymentCodingDetail_Sept-May'!D7*9)+PaymentCodingDetail_June!D7-PaymentCodingTotal!D7</f>
        <v>0</v>
      </c>
      <c r="E7" s="12">
        <f>('PaymentCodingDetail_Sept-May'!E7*9)+PaymentCodingDetail_June!E7-PaymentCodingTotal!E7</f>
        <v>0</v>
      </c>
      <c r="F7" s="25">
        <f>('PaymentCodingDetail_Sept-May'!F7*9)+PaymentCodingDetail_June!F7-PaymentCodingTotal!F7</f>
        <v>0</v>
      </c>
      <c r="G7" s="40">
        <f>('PaymentCodingDetail_Sept-May'!G7*9)+PaymentCodingDetail_June!G7-PaymentCodingTotal!G7</f>
        <v>0</v>
      </c>
      <c r="H7" s="40">
        <f>('PaymentCodingDetail_Sept-May'!H7*9)+PaymentCodingDetail_June!H7-PaymentCodingTotal!H7</f>
        <v>0</v>
      </c>
      <c r="I7" s="12">
        <f>('PaymentCodingDetail_Sept-May'!I7*9)+PaymentCodingDetail_June!I7-PaymentCodingTotal!I7</f>
        <v>0</v>
      </c>
      <c r="K7" s="6">
        <f>C24+D24-E24</f>
        <v>0</v>
      </c>
    </row>
    <row r="8" spans="1:11" x14ac:dyDescent="0.25">
      <c r="A8" s="21" t="str">
        <f>Data!A7</f>
        <v>11</v>
      </c>
      <c r="B8" s="11" t="str">
        <f>INDEX(Data_Detail[],MATCH(PaymentCodingDetailCheck!$A8,Data_Detail[AEA],0),3)</f>
        <v>Heartland AEA 11</v>
      </c>
      <c r="C8" s="12">
        <f>('PaymentCodingDetail_Sept-May'!C8*9)+PaymentCodingDetail_June!C8-PaymentCodingTotal!C8</f>
        <v>0</v>
      </c>
      <c r="D8" s="12">
        <f>('PaymentCodingDetail_Sept-May'!D8*9)+PaymentCodingDetail_June!D8-PaymentCodingTotal!D8</f>
        <v>0</v>
      </c>
      <c r="E8" s="12">
        <f>('PaymentCodingDetail_Sept-May'!E8*9)+PaymentCodingDetail_June!E8-PaymentCodingTotal!E8</f>
        <v>0</v>
      </c>
      <c r="F8" s="25">
        <f>('PaymentCodingDetail_Sept-May'!F8*9)+PaymentCodingDetail_June!F8-PaymentCodingTotal!F8</f>
        <v>0</v>
      </c>
      <c r="G8" s="40">
        <f>('PaymentCodingDetail_Sept-May'!G8*9)+PaymentCodingDetail_June!G8-PaymentCodingTotal!G8</f>
        <v>0</v>
      </c>
      <c r="H8" s="40">
        <f>('PaymentCodingDetail_Sept-May'!H8*9)+PaymentCodingDetail_June!H8-PaymentCodingTotal!H8</f>
        <v>0</v>
      </c>
      <c r="I8" s="12">
        <f>('PaymentCodingDetail_Sept-May'!I8*9)+PaymentCodingDetail_June!I8-PaymentCodingTotal!I8</f>
        <v>0</v>
      </c>
    </row>
    <row r="9" spans="1:11" x14ac:dyDescent="0.25">
      <c r="A9" s="21" t="str">
        <f>Data!A8</f>
        <v>12</v>
      </c>
      <c r="B9" s="11" t="str">
        <f>INDEX(Data_Detail[],MATCH(PaymentCodingDetailCheck!$A9,Data_Detail[AEA],0),3)</f>
        <v>Northwest AEA</v>
      </c>
      <c r="C9" s="12">
        <f>('PaymentCodingDetail_Sept-May'!C9*9)+PaymentCodingDetail_June!C9-PaymentCodingTotal!C9</f>
        <v>0</v>
      </c>
      <c r="D9" s="12">
        <f>('PaymentCodingDetail_Sept-May'!D9*9)+PaymentCodingDetail_June!D9-PaymentCodingTotal!D9</f>
        <v>0</v>
      </c>
      <c r="E9" s="12">
        <f>('PaymentCodingDetail_Sept-May'!E9*9)+PaymentCodingDetail_June!E9-PaymentCodingTotal!E9</f>
        <v>0</v>
      </c>
      <c r="F9" s="25">
        <f>('PaymentCodingDetail_Sept-May'!F9*9)+PaymentCodingDetail_June!F9-PaymentCodingTotal!F9</f>
        <v>0</v>
      </c>
      <c r="G9" s="40">
        <f>('PaymentCodingDetail_Sept-May'!G9*9)+PaymentCodingDetail_June!G9-PaymentCodingTotal!G9</f>
        <v>0</v>
      </c>
      <c r="H9" s="40">
        <f>('PaymentCodingDetail_Sept-May'!H9*9)+PaymentCodingDetail_June!H9-PaymentCodingTotal!H9</f>
        <v>0</v>
      </c>
      <c r="I9" s="12">
        <f>('PaymentCodingDetail_Sept-May'!I9*9)+PaymentCodingDetail_June!I9-PaymentCodingTotal!I9</f>
        <v>0</v>
      </c>
    </row>
    <row r="10" spans="1:11" x14ac:dyDescent="0.25">
      <c r="A10" s="21" t="str">
        <f>Data!A9</f>
        <v>13</v>
      </c>
      <c r="B10" s="11" t="str">
        <f>INDEX(Data_Detail[],MATCH(PaymentCodingDetailCheck!$A10,Data_Detail[AEA],0),3)</f>
        <v>Green Hills AEA 13</v>
      </c>
      <c r="C10" s="12">
        <f>('PaymentCodingDetail_Sept-May'!C10*9)+PaymentCodingDetail_June!C10-PaymentCodingTotal!C10</f>
        <v>0</v>
      </c>
      <c r="D10" s="12">
        <f>('PaymentCodingDetail_Sept-May'!D10*9)+PaymentCodingDetail_June!D10-PaymentCodingTotal!D10</f>
        <v>0</v>
      </c>
      <c r="E10" s="12">
        <f>('PaymentCodingDetail_Sept-May'!E10*9)+PaymentCodingDetail_June!E10-PaymentCodingTotal!E10</f>
        <v>0</v>
      </c>
      <c r="F10" s="25">
        <f>('PaymentCodingDetail_Sept-May'!F10*9)+PaymentCodingDetail_June!F10-PaymentCodingTotal!F10</f>
        <v>0</v>
      </c>
      <c r="G10" s="40">
        <f>('PaymentCodingDetail_Sept-May'!G10*9)+PaymentCodingDetail_June!G10-PaymentCodingTotal!G10</f>
        <v>0</v>
      </c>
      <c r="H10" s="40">
        <f>('PaymentCodingDetail_Sept-May'!H10*9)+PaymentCodingDetail_June!H10-PaymentCodingTotal!H10</f>
        <v>0</v>
      </c>
      <c r="I10" s="12">
        <f>('PaymentCodingDetail_Sept-May'!I10*9)+PaymentCodingDetail_June!I10-PaymentCodingTotal!I10</f>
        <v>0</v>
      </c>
    </row>
    <row r="11" spans="1:11" x14ac:dyDescent="0.25">
      <c r="A11" s="21" t="str">
        <f>Data!A10</f>
        <v>15</v>
      </c>
      <c r="B11" s="11" t="str">
        <f>INDEX(Data_Detail[],MATCH(PaymentCodingDetailCheck!$A11,Data_Detail[AEA],0),3)</f>
        <v>Great Prairie AEA 15</v>
      </c>
      <c r="C11" s="12">
        <f>('PaymentCodingDetail_Sept-May'!C11*9)+PaymentCodingDetail_June!C11-PaymentCodingTotal!C11</f>
        <v>0</v>
      </c>
      <c r="D11" s="12">
        <f>('PaymentCodingDetail_Sept-May'!D11*9)+PaymentCodingDetail_June!D11-PaymentCodingTotal!D11</f>
        <v>0</v>
      </c>
      <c r="E11" s="12">
        <f>('PaymentCodingDetail_Sept-May'!E11*9)+PaymentCodingDetail_June!E11-PaymentCodingTotal!E11</f>
        <v>0</v>
      </c>
      <c r="F11" s="25">
        <f>('PaymentCodingDetail_Sept-May'!F11*9)+PaymentCodingDetail_June!F11-PaymentCodingTotal!F11</f>
        <v>0</v>
      </c>
      <c r="G11" s="40">
        <f>('PaymentCodingDetail_Sept-May'!G11*9)+PaymentCodingDetail_June!G11-PaymentCodingTotal!G11</f>
        <v>0</v>
      </c>
      <c r="H11" s="40">
        <f>('PaymentCodingDetail_Sept-May'!H11*9)+PaymentCodingDetail_June!H11-PaymentCodingTotal!H11</f>
        <v>0</v>
      </c>
      <c r="I11" s="12">
        <f>('PaymentCodingDetail_Sept-May'!I11*9)+PaymentCodingDetail_June!I11-PaymentCodingTotal!I11</f>
        <v>0</v>
      </c>
    </row>
    <row r="12" spans="1:11" ht="15.75" thickBot="1" x14ac:dyDescent="0.3">
      <c r="C12" s="13">
        <f>SUM(C3:C11)</f>
        <v>0</v>
      </c>
      <c r="D12" s="13">
        <f t="shared" ref="D12:I12" si="0">SUM(D3:D11)</f>
        <v>0</v>
      </c>
      <c r="E12" s="13">
        <f t="shared" si="0"/>
        <v>0</v>
      </c>
      <c r="F12" s="26">
        <f t="shared" si="0"/>
        <v>0</v>
      </c>
      <c r="G12" s="41">
        <f t="shared" si="0"/>
        <v>0</v>
      </c>
      <c r="H12" s="43">
        <f>SUM(H3:H11)</f>
        <v>0</v>
      </c>
      <c r="I12" s="17">
        <f t="shared" si="0"/>
        <v>0</v>
      </c>
    </row>
    <row r="13" spans="1:11" ht="7.5" customHeight="1" thickTop="1" x14ac:dyDescent="0.25"/>
    <row r="14" spans="1:11" ht="45" x14ac:dyDescent="0.25">
      <c r="A14" s="18" t="str">
        <f t="shared" ref="A14:B23" si="1">A2</f>
        <v>AEA</v>
      </c>
      <c r="B14" s="18" t="str">
        <f t="shared" si="1"/>
        <v>AEA Name</v>
      </c>
      <c r="C14" s="24" t="str">
        <f>Data_Detail[[#Headers],[State Aid Portion Sharing Operations]]</f>
        <v>State Aid Portion Sharing Operations</v>
      </c>
      <c r="D14" s="39" t="str">
        <f>Data_Detail[[#Headers],[Sharing Operations Property Tax]]</f>
        <v>Sharing Operations Property Tax</v>
      </c>
      <c r="E14" s="39" t="str">
        <f>Data_Detail[[#Headers],[Total AEA Sharing Operations]]</f>
        <v>Total AEA Sharing Operations</v>
      </c>
      <c r="F14" s="24" t="str">
        <f>Data_Detail[[#Headers],[AEA Teacher Salary Supplement District Cost]]</f>
        <v>AEA Teacher Salary Supplement District Cost</v>
      </c>
      <c r="G14" s="24" t="str">
        <f>Data_Detail[[#Headers],[AEA Professional Development Supplement District Cost]]</f>
        <v>AEA Professional Development Supplement District Cost</v>
      </c>
    </row>
    <row r="15" spans="1:11" x14ac:dyDescent="0.25">
      <c r="A15" s="19" t="str">
        <f t="shared" si="1"/>
        <v>01</v>
      </c>
      <c r="B15" s="19" t="str">
        <f t="shared" si="1"/>
        <v>Keystone AEA 1</v>
      </c>
      <c r="C15" s="25">
        <f>('PaymentCodingDetail_Sept-May'!C15*9)+PaymentCodingDetail_June!C15-PaymentCodingTotal!C15</f>
        <v>0</v>
      </c>
      <c r="D15" s="40">
        <f>('PaymentCodingDetail_Sept-May'!D15*9)+PaymentCodingDetail_June!D15-PaymentCodingTotal!D15</f>
        <v>0</v>
      </c>
      <c r="E15" s="40">
        <f>('PaymentCodingDetail_Sept-May'!E15*9)+PaymentCodingDetail_June!E15-PaymentCodingTotal!E15</f>
        <v>0</v>
      </c>
      <c r="F15" s="25">
        <f>('PaymentCodingDetail_Sept-May'!F15*9)+PaymentCodingDetail_June!F15-PaymentCodingTotal!F15</f>
        <v>0</v>
      </c>
      <c r="G15" s="25">
        <f>('PaymentCodingDetail_Sept-May'!G15*9)+PaymentCodingDetail_June!G15-PaymentCodingTotal!G15</f>
        <v>0</v>
      </c>
    </row>
    <row r="16" spans="1:11" x14ac:dyDescent="0.25">
      <c r="A16" s="19" t="str">
        <f t="shared" si="1"/>
        <v>05</v>
      </c>
      <c r="B16" s="19" t="str">
        <f t="shared" si="1"/>
        <v>Prairie Lakes AEA 8</v>
      </c>
      <c r="C16" s="25">
        <f>('PaymentCodingDetail_Sept-May'!C16*9)+PaymentCodingDetail_June!C16-PaymentCodingTotal!C16</f>
        <v>0</v>
      </c>
      <c r="D16" s="40">
        <f>('PaymentCodingDetail_Sept-May'!D16*9)+PaymentCodingDetail_June!D16-PaymentCodingTotal!D16</f>
        <v>0</v>
      </c>
      <c r="E16" s="40">
        <f>('PaymentCodingDetail_Sept-May'!E16*9)+PaymentCodingDetail_June!E16-PaymentCodingTotal!E16</f>
        <v>0</v>
      </c>
      <c r="F16" s="25">
        <f>('PaymentCodingDetail_Sept-May'!F16*9)+PaymentCodingDetail_June!F16-PaymentCodingTotal!F16</f>
        <v>0</v>
      </c>
      <c r="G16" s="25">
        <f>('PaymentCodingDetail_Sept-May'!G16*9)+PaymentCodingDetail_June!G16-PaymentCodingTotal!G16</f>
        <v>0</v>
      </c>
      <c r="H16" s="74" t="s">
        <v>79</v>
      </c>
    </row>
    <row r="17" spans="1:12" x14ac:dyDescent="0.25">
      <c r="A17" s="19" t="str">
        <f t="shared" si="1"/>
        <v>07</v>
      </c>
      <c r="B17" s="19" t="str">
        <f t="shared" si="1"/>
        <v>Central Rivers</v>
      </c>
      <c r="C17" s="25">
        <f>('PaymentCodingDetail_Sept-May'!C17*9)+PaymentCodingDetail_June!C17-PaymentCodingTotal!C17</f>
        <v>0</v>
      </c>
      <c r="D17" s="40">
        <f>('PaymentCodingDetail_Sept-May'!D17*9)+PaymentCodingDetail_June!D17-PaymentCodingTotal!D17</f>
        <v>0</v>
      </c>
      <c r="E17" s="40">
        <f>('PaymentCodingDetail_Sept-May'!E17*9)+PaymentCodingDetail_June!E17-PaymentCodingTotal!E17</f>
        <v>0</v>
      </c>
      <c r="F17" s="25">
        <f>('PaymentCodingDetail_Sept-May'!F17*9)+PaymentCodingDetail_June!F17-PaymentCodingTotal!F17</f>
        <v>0</v>
      </c>
      <c r="G17" s="25">
        <f>('PaymentCodingDetail_Sept-May'!G17*9)+PaymentCodingDetail_June!G17-PaymentCodingTotal!G17</f>
        <v>0</v>
      </c>
      <c r="H17" s="74"/>
    </row>
    <row r="18" spans="1:12" x14ac:dyDescent="0.25">
      <c r="A18" s="19" t="str">
        <f t="shared" si="1"/>
        <v>09</v>
      </c>
      <c r="B18" s="19" t="str">
        <f t="shared" si="1"/>
        <v>Mississippi Bend AEA 9</v>
      </c>
      <c r="C18" s="25">
        <f>('PaymentCodingDetail_Sept-May'!C18*9)+PaymentCodingDetail_June!C18-PaymentCodingTotal!C18</f>
        <v>0</v>
      </c>
      <c r="D18" s="40">
        <f>('PaymentCodingDetail_Sept-May'!D18*9)+PaymentCodingDetail_June!D18-PaymentCodingTotal!D18</f>
        <v>0</v>
      </c>
      <c r="E18" s="40">
        <f>('PaymentCodingDetail_Sept-May'!E18*9)+PaymentCodingDetail_June!E18-PaymentCodingTotal!E18</f>
        <v>0</v>
      </c>
      <c r="F18" s="25">
        <f>('PaymentCodingDetail_Sept-May'!F18*9)+PaymentCodingDetail_June!F18-PaymentCodingTotal!F18</f>
        <v>0</v>
      </c>
      <c r="G18" s="25">
        <f>('PaymentCodingDetail_Sept-May'!G18*9)+PaymentCodingDetail_June!G18-PaymentCodingTotal!G18</f>
        <v>0</v>
      </c>
      <c r="H18" s="75" t="s">
        <v>731</v>
      </c>
    </row>
    <row r="19" spans="1:12" x14ac:dyDescent="0.25">
      <c r="A19" s="19" t="str">
        <f t="shared" si="1"/>
        <v>10</v>
      </c>
      <c r="B19" s="19" t="str">
        <f t="shared" si="1"/>
        <v>Grant Wood AEA 10</v>
      </c>
      <c r="C19" s="25">
        <f>('PaymentCodingDetail_Sept-May'!C19*9)+PaymentCodingDetail_June!C19-PaymentCodingTotal!C19</f>
        <v>0</v>
      </c>
      <c r="D19" s="40">
        <f>('PaymentCodingDetail_Sept-May'!D19*9)+PaymentCodingDetail_June!D19-PaymentCodingTotal!D19</f>
        <v>0</v>
      </c>
      <c r="E19" s="40">
        <f>('PaymentCodingDetail_Sept-May'!E19*9)+PaymentCodingDetail_June!E19-PaymentCodingTotal!E19</f>
        <v>0</v>
      </c>
      <c r="F19" s="25">
        <f>('PaymentCodingDetail_Sept-May'!F19*9)+PaymentCodingDetail_June!F19-PaymentCodingTotal!F19</f>
        <v>0</v>
      </c>
      <c r="G19" s="25">
        <f>('PaymentCodingDetail_Sept-May'!G19*9)+PaymentCodingDetail_June!G19-PaymentCodingTotal!G19</f>
        <v>0</v>
      </c>
      <c r="H19" s="75"/>
    </row>
    <row r="20" spans="1:12" x14ac:dyDescent="0.25">
      <c r="A20" s="19" t="str">
        <f t="shared" si="1"/>
        <v>11</v>
      </c>
      <c r="B20" s="19" t="str">
        <f t="shared" si="1"/>
        <v>Heartland AEA 11</v>
      </c>
      <c r="C20" s="25">
        <f>('PaymentCodingDetail_Sept-May'!C20*9)+PaymentCodingDetail_June!C20-PaymentCodingTotal!C20</f>
        <v>0</v>
      </c>
      <c r="D20" s="40">
        <f>('PaymentCodingDetail_Sept-May'!D20*9)+PaymentCodingDetail_June!D20-PaymentCodingTotal!D20</f>
        <v>0</v>
      </c>
      <c r="E20" s="40">
        <f>('PaymentCodingDetail_Sept-May'!E20*9)+PaymentCodingDetail_June!E20-PaymentCodingTotal!E20</f>
        <v>0</v>
      </c>
      <c r="F20" s="25">
        <f>('PaymentCodingDetail_Sept-May'!F20*9)+PaymentCodingDetail_June!F20-PaymentCodingTotal!F20</f>
        <v>0</v>
      </c>
      <c r="G20" s="25">
        <f>('PaymentCodingDetail_Sept-May'!G20*9)+PaymentCodingDetail_June!G20-PaymentCodingTotal!G20</f>
        <v>0</v>
      </c>
    </row>
    <row r="21" spans="1:12" x14ac:dyDescent="0.25">
      <c r="A21" s="19" t="str">
        <f t="shared" si="1"/>
        <v>12</v>
      </c>
      <c r="B21" s="19" t="str">
        <f t="shared" si="1"/>
        <v>Northwest AEA</v>
      </c>
      <c r="C21" s="25">
        <f>('PaymentCodingDetail_Sept-May'!C21*9)+PaymentCodingDetail_June!C21-PaymentCodingTotal!C21</f>
        <v>0</v>
      </c>
      <c r="D21" s="40">
        <f>('PaymentCodingDetail_Sept-May'!D21*9)+PaymentCodingDetail_June!D21-PaymentCodingTotal!D21</f>
        <v>0</v>
      </c>
      <c r="E21" s="40">
        <f>('PaymentCodingDetail_Sept-May'!E21*9)+PaymentCodingDetail_June!E21-PaymentCodingTotal!E21</f>
        <v>0</v>
      </c>
      <c r="F21" s="25">
        <f>('PaymentCodingDetail_Sept-May'!F21*9)+PaymentCodingDetail_June!F21-PaymentCodingTotal!F21</f>
        <v>0</v>
      </c>
      <c r="G21" s="25">
        <f>('PaymentCodingDetail_Sept-May'!G21*9)+PaymentCodingDetail_June!G21-PaymentCodingTotal!G21</f>
        <v>0</v>
      </c>
    </row>
    <row r="22" spans="1:12" x14ac:dyDescent="0.25">
      <c r="A22" s="19" t="str">
        <f t="shared" si="1"/>
        <v>13</v>
      </c>
      <c r="B22" s="19" t="str">
        <f t="shared" si="1"/>
        <v>Green Hills AEA 13</v>
      </c>
      <c r="C22" s="25">
        <f>('PaymentCodingDetail_Sept-May'!C22*9)+PaymentCodingDetail_June!C22-PaymentCodingTotal!C22</f>
        <v>0</v>
      </c>
      <c r="D22" s="40">
        <f>('PaymentCodingDetail_Sept-May'!D22*9)+PaymentCodingDetail_June!D22-PaymentCodingTotal!D22</f>
        <v>0</v>
      </c>
      <c r="E22" s="40">
        <f>('PaymentCodingDetail_Sept-May'!E22*9)+PaymentCodingDetail_June!E22-PaymentCodingTotal!E22</f>
        <v>0</v>
      </c>
      <c r="F22" s="25">
        <f>('PaymentCodingDetail_Sept-May'!F22*9)+PaymentCodingDetail_June!F22-PaymentCodingTotal!F22</f>
        <v>0</v>
      </c>
      <c r="G22" s="25">
        <f>('PaymentCodingDetail_Sept-May'!G22*9)+PaymentCodingDetail_June!G22-PaymentCodingTotal!G22</f>
        <v>0</v>
      </c>
    </row>
    <row r="23" spans="1:12" x14ac:dyDescent="0.25">
      <c r="A23" s="19" t="str">
        <f t="shared" si="1"/>
        <v>15</v>
      </c>
      <c r="B23" s="19" t="str">
        <f t="shared" si="1"/>
        <v>Great Prairie AEA 15</v>
      </c>
      <c r="C23" s="25">
        <f>('PaymentCodingDetail_Sept-May'!C23*9)+PaymentCodingDetail_June!C23-PaymentCodingTotal!C23</f>
        <v>0</v>
      </c>
      <c r="D23" s="40">
        <f>('PaymentCodingDetail_Sept-May'!D23*9)+PaymentCodingDetail_June!D23-PaymentCodingTotal!D23</f>
        <v>0</v>
      </c>
      <c r="E23" s="40">
        <f>('PaymentCodingDetail_Sept-May'!E23*9)+PaymentCodingDetail_June!E23-PaymentCodingTotal!E23</f>
        <v>0</v>
      </c>
      <c r="F23" s="25">
        <f>('PaymentCodingDetail_Sept-May'!F23*9)+PaymentCodingDetail_June!F23-PaymentCodingTotal!F23</f>
        <v>0</v>
      </c>
      <c r="G23" s="25">
        <f>('PaymentCodingDetail_Sept-May'!G23*9)+PaymentCodingDetail_June!G23-PaymentCodingTotal!G23</f>
        <v>0</v>
      </c>
    </row>
    <row r="24" spans="1:12" ht="15.75" thickBot="1" x14ac:dyDescent="0.3">
      <c r="A24" s="20"/>
      <c r="B24" s="20"/>
      <c r="C24" s="14">
        <f>SUM(C15:C23)</f>
        <v>0</v>
      </c>
      <c r="D24" s="41">
        <f>SUM(D15:D23)</f>
        <v>0</v>
      </c>
      <c r="E24" s="42">
        <f>SUM(E15:E23)</f>
        <v>0</v>
      </c>
      <c r="F24" s="26">
        <f>SUM(F15:F23)</f>
        <v>0</v>
      </c>
      <c r="G24" s="26">
        <f>SUM(G15:G23)</f>
        <v>0</v>
      </c>
    </row>
    <row r="25" spans="1:12" ht="7.5" customHeight="1" thickTop="1" x14ac:dyDescent="0.25">
      <c r="A25" s="20"/>
      <c r="B25" s="20"/>
      <c r="F25" s="6"/>
      <c r="G25" s="6"/>
      <c r="H25" s="6"/>
    </row>
    <row r="26" spans="1:12" ht="30" x14ac:dyDescent="0.25">
      <c r="A26" s="18" t="str">
        <f t="shared" ref="A26:B35" si="2">A14</f>
        <v>AEA</v>
      </c>
      <c r="B26" s="18" t="str">
        <f t="shared" si="2"/>
        <v>AEA Name</v>
      </c>
      <c r="C26" s="39" t="str">
        <f>Data_Detail[[#Headers],[AEA Media Services District Cost]]</f>
        <v>AEA Media Services District Cost</v>
      </c>
      <c r="D26" s="39" t="str">
        <f>Data_Detail[[#Headers],[AEA Ed Services District Cost]]</f>
        <v>AEA Ed Services District Cost</v>
      </c>
      <c r="E26" s="8" t="str">
        <f>Data_Detail[[#Headers],[Total Budget]]</f>
        <v>Total Budget</v>
      </c>
      <c r="F26" s="24" t="str">
        <f>Data_Detail[[#Headers],[State Aid Portion]]</f>
        <v>State Aid Portion</v>
      </c>
      <c r="G26" s="39" t="str">
        <f>Data_Detail[[#Headers],[Property Tax Portion]]</f>
        <v>Property Tax Portion</v>
      </c>
      <c r="H26" t="s">
        <v>78</v>
      </c>
      <c r="I26" t="s">
        <v>79</v>
      </c>
      <c r="J26" t="s">
        <v>80</v>
      </c>
    </row>
    <row r="27" spans="1:12" x14ac:dyDescent="0.25">
      <c r="A27" s="11" t="str">
        <f t="shared" si="2"/>
        <v>01</v>
      </c>
      <c r="B27" s="11" t="str">
        <f t="shared" si="2"/>
        <v>Keystone AEA 1</v>
      </c>
      <c r="C27" s="40">
        <f>('PaymentCodingDetail_Sept-May'!C27*9)+PaymentCodingDetail_June!C27-PaymentCodingTotal!C27</f>
        <v>0</v>
      </c>
      <c r="D27" s="40">
        <f>('PaymentCodingDetail_Sept-May'!D27*9)+PaymentCodingDetail_June!D27-PaymentCodingTotal!D27</f>
        <v>0</v>
      </c>
      <c r="E27" s="12">
        <f>('PaymentCodingDetail_Sept-May'!E27*9)+PaymentCodingDetail_June!E27-PaymentCodingTotal!E27</f>
        <v>0</v>
      </c>
      <c r="F27" s="25">
        <f>('PaymentCodingDetail_Sept-May'!F27*9)+PaymentCodingDetail_June!F27-PaymentCodingTotal!F27</f>
        <v>0</v>
      </c>
      <c r="G27" s="40">
        <f>('PaymentCodingDetail_Sept-May'!G27*9)+PaymentCodingDetail_June!G27-PaymentCodingTotal!G27</f>
        <v>0</v>
      </c>
      <c r="H27" s="6">
        <f>E27-D27-C27-G15-F15-E15-H3-G3-F3</f>
        <v>0</v>
      </c>
      <c r="I27" s="6">
        <f>F27-G15-F15-C15-F3</f>
        <v>0</v>
      </c>
      <c r="J27" s="6">
        <f>G27-D27-C27-D15-H3-G3</f>
        <v>0</v>
      </c>
      <c r="K27" s="6">
        <f>F27*9</f>
        <v>0</v>
      </c>
      <c r="L27" s="6">
        <f>G27*9</f>
        <v>0</v>
      </c>
    </row>
    <row r="28" spans="1:12" x14ac:dyDescent="0.25">
      <c r="A28" s="11" t="str">
        <f t="shared" si="2"/>
        <v>05</v>
      </c>
      <c r="B28" s="11" t="str">
        <f t="shared" si="2"/>
        <v>Prairie Lakes AEA 8</v>
      </c>
      <c r="C28" s="40">
        <f>('PaymentCodingDetail_Sept-May'!C28*9)+PaymentCodingDetail_June!C28-PaymentCodingTotal!C28</f>
        <v>0</v>
      </c>
      <c r="D28" s="40">
        <f>('PaymentCodingDetail_Sept-May'!D28*9)+PaymentCodingDetail_June!D28-PaymentCodingTotal!D28</f>
        <v>0</v>
      </c>
      <c r="E28" s="12">
        <f>('PaymentCodingDetail_Sept-May'!E28*9)+PaymentCodingDetail_June!E28-PaymentCodingTotal!E28</f>
        <v>0</v>
      </c>
      <c r="F28" s="25">
        <f>('PaymentCodingDetail_Sept-May'!F28*9)+PaymentCodingDetail_June!F28-PaymentCodingTotal!F28</f>
        <v>0</v>
      </c>
      <c r="G28" s="40">
        <f>('PaymentCodingDetail_Sept-May'!G28*9)+PaymentCodingDetail_June!G28-PaymentCodingTotal!G28</f>
        <v>0</v>
      </c>
      <c r="H28" s="6">
        <f t="shared" ref="H28:H36" si="3">E28-D28-C28-G16-F16-E16-H4-G4-F4</f>
        <v>0</v>
      </c>
      <c r="I28" s="6">
        <f t="shared" ref="I28:I36" si="4">F28-G16-F16-C16-F4</f>
        <v>0</v>
      </c>
      <c r="J28" s="6">
        <f t="shared" ref="J28:J36" si="5">G28-D28-C28-D16-H4-G4</f>
        <v>0</v>
      </c>
      <c r="K28" s="6">
        <f t="shared" ref="K28:L35" si="6">F28*9</f>
        <v>0</v>
      </c>
      <c r="L28" s="6">
        <f t="shared" si="6"/>
        <v>0</v>
      </c>
    </row>
    <row r="29" spans="1:12" x14ac:dyDescent="0.25">
      <c r="A29" s="11" t="str">
        <f t="shared" si="2"/>
        <v>07</v>
      </c>
      <c r="B29" s="11" t="str">
        <f t="shared" si="2"/>
        <v>Central Rivers</v>
      </c>
      <c r="C29" s="40">
        <f>('PaymentCodingDetail_Sept-May'!C29*9)+PaymentCodingDetail_June!C29-PaymentCodingTotal!C29</f>
        <v>0</v>
      </c>
      <c r="D29" s="40">
        <f>('PaymentCodingDetail_Sept-May'!D29*9)+PaymentCodingDetail_June!D29-PaymentCodingTotal!D29</f>
        <v>0</v>
      </c>
      <c r="E29" s="12">
        <f>('PaymentCodingDetail_Sept-May'!E29*9)+PaymentCodingDetail_June!E29-PaymentCodingTotal!E29</f>
        <v>0</v>
      </c>
      <c r="F29" s="25">
        <f>('PaymentCodingDetail_Sept-May'!F29*9)+PaymentCodingDetail_June!F29-PaymentCodingTotal!F29</f>
        <v>0</v>
      </c>
      <c r="G29" s="40">
        <f>('PaymentCodingDetail_Sept-May'!G29*9)+PaymentCodingDetail_June!G29-PaymentCodingTotal!G29</f>
        <v>0</v>
      </c>
      <c r="H29" s="6">
        <f t="shared" si="3"/>
        <v>0</v>
      </c>
      <c r="I29" s="6">
        <f t="shared" si="4"/>
        <v>0</v>
      </c>
      <c r="J29" s="6">
        <f t="shared" si="5"/>
        <v>0</v>
      </c>
      <c r="K29" s="6">
        <f t="shared" si="6"/>
        <v>0</v>
      </c>
      <c r="L29" s="6">
        <f t="shared" si="6"/>
        <v>0</v>
      </c>
    </row>
    <row r="30" spans="1:12" x14ac:dyDescent="0.25">
      <c r="A30" s="11" t="str">
        <f t="shared" si="2"/>
        <v>09</v>
      </c>
      <c r="B30" s="11" t="str">
        <f t="shared" si="2"/>
        <v>Mississippi Bend AEA 9</v>
      </c>
      <c r="C30" s="40">
        <f>('PaymentCodingDetail_Sept-May'!C30*9)+PaymentCodingDetail_June!C30-PaymentCodingTotal!C30</f>
        <v>0</v>
      </c>
      <c r="D30" s="40">
        <f>('PaymentCodingDetail_Sept-May'!D30*9)+PaymentCodingDetail_June!D30-PaymentCodingTotal!D30</f>
        <v>0</v>
      </c>
      <c r="E30" s="12">
        <f>('PaymentCodingDetail_Sept-May'!E30*9)+PaymentCodingDetail_June!E30-PaymentCodingTotal!E30</f>
        <v>0</v>
      </c>
      <c r="F30" s="25">
        <f>('PaymentCodingDetail_Sept-May'!F30*9)+PaymentCodingDetail_June!F30-PaymentCodingTotal!F30</f>
        <v>0</v>
      </c>
      <c r="G30" s="40">
        <f>('PaymentCodingDetail_Sept-May'!G30*9)+PaymentCodingDetail_June!G30-PaymentCodingTotal!G30</f>
        <v>0</v>
      </c>
      <c r="H30" s="6">
        <f t="shared" si="3"/>
        <v>0</v>
      </c>
      <c r="I30" s="6">
        <f t="shared" si="4"/>
        <v>0</v>
      </c>
      <c r="J30" s="6">
        <f t="shared" si="5"/>
        <v>0</v>
      </c>
      <c r="K30" s="6">
        <f t="shared" si="6"/>
        <v>0</v>
      </c>
      <c r="L30" s="6">
        <f t="shared" si="6"/>
        <v>0</v>
      </c>
    </row>
    <row r="31" spans="1:12" x14ac:dyDescent="0.25">
      <c r="A31" s="11" t="str">
        <f t="shared" si="2"/>
        <v>10</v>
      </c>
      <c r="B31" s="11" t="str">
        <f t="shared" si="2"/>
        <v>Grant Wood AEA 10</v>
      </c>
      <c r="C31" s="40">
        <f>('PaymentCodingDetail_Sept-May'!C31*9)+PaymentCodingDetail_June!C31-PaymentCodingTotal!C31</f>
        <v>0</v>
      </c>
      <c r="D31" s="40">
        <f>('PaymentCodingDetail_Sept-May'!D31*9)+PaymentCodingDetail_June!D31-PaymentCodingTotal!D31</f>
        <v>0</v>
      </c>
      <c r="E31" s="12">
        <f>('PaymentCodingDetail_Sept-May'!E31*9)+PaymentCodingDetail_June!E31-PaymentCodingTotal!E31</f>
        <v>0</v>
      </c>
      <c r="F31" s="25">
        <f>('PaymentCodingDetail_Sept-May'!F31*9)+PaymentCodingDetail_June!F31-PaymentCodingTotal!F31</f>
        <v>0</v>
      </c>
      <c r="G31" s="40">
        <f>('PaymentCodingDetail_Sept-May'!G31*9)+PaymentCodingDetail_June!G31-PaymentCodingTotal!G31</f>
        <v>0</v>
      </c>
      <c r="H31" s="6">
        <f t="shared" si="3"/>
        <v>0</v>
      </c>
      <c r="I31" s="6">
        <f t="shared" si="4"/>
        <v>0</v>
      </c>
      <c r="J31" s="6">
        <f t="shared" si="5"/>
        <v>0</v>
      </c>
      <c r="K31" s="6">
        <f t="shared" si="6"/>
        <v>0</v>
      </c>
      <c r="L31" s="6">
        <f t="shared" si="6"/>
        <v>0</v>
      </c>
    </row>
    <row r="32" spans="1:12" x14ac:dyDescent="0.25">
      <c r="A32" s="11" t="str">
        <f t="shared" si="2"/>
        <v>11</v>
      </c>
      <c r="B32" s="11" t="str">
        <f t="shared" si="2"/>
        <v>Heartland AEA 11</v>
      </c>
      <c r="C32" s="40">
        <f>('PaymentCodingDetail_Sept-May'!C32*9)+PaymentCodingDetail_June!C32-PaymentCodingTotal!C32</f>
        <v>0</v>
      </c>
      <c r="D32" s="40">
        <f>('PaymentCodingDetail_Sept-May'!D32*9)+PaymentCodingDetail_June!D32-PaymentCodingTotal!D32</f>
        <v>0</v>
      </c>
      <c r="E32" s="12">
        <f>('PaymentCodingDetail_Sept-May'!E32*9)+PaymentCodingDetail_June!E32-PaymentCodingTotal!E32</f>
        <v>0</v>
      </c>
      <c r="F32" s="25">
        <f>('PaymentCodingDetail_Sept-May'!F32*9)+PaymentCodingDetail_June!F32-PaymentCodingTotal!F32</f>
        <v>0</v>
      </c>
      <c r="G32" s="40">
        <f>('PaymentCodingDetail_Sept-May'!G32*9)+PaymentCodingDetail_June!G32-PaymentCodingTotal!G32</f>
        <v>0</v>
      </c>
      <c r="H32" s="6">
        <f t="shared" si="3"/>
        <v>0</v>
      </c>
      <c r="I32" s="6">
        <f t="shared" si="4"/>
        <v>0</v>
      </c>
      <c r="J32" s="6">
        <f t="shared" si="5"/>
        <v>0</v>
      </c>
      <c r="K32" s="6">
        <f t="shared" si="6"/>
        <v>0</v>
      </c>
      <c r="L32" s="6">
        <f t="shared" si="6"/>
        <v>0</v>
      </c>
    </row>
    <row r="33" spans="1:12" x14ac:dyDescent="0.25">
      <c r="A33" s="11" t="str">
        <f t="shared" si="2"/>
        <v>12</v>
      </c>
      <c r="B33" s="11" t="str">
        <f t="shared" si="2"/>
        <v>Northwest AEA</v>
      </c>
      <c r="C33" s="40">
        <f>('PaymentCodingDetail_Sept-May'!C33*9)+PaymentCodingDetail_June!C33-PaymentCodingTotal!C33</f>
        <v>0</v>
      </c>
      <c r="D33" s="40">
        <f>('PaymentCodingDetail_Sept-May'!D33*9)+PaymentCodingDetail_June!D33-PaymentCodingTotal!D33</f>
        <v>0</v>
      </c>
      <c r="E33" s="12">
        <f>('PaymentCodingDetail_Sept-May'!E33*9)+PaymentCodingDetail_June!E33-PaymentCodingTotal!E33</f>
        <v>0</v>
      </c>
      <c r="F33" s="25">
        <f>('PaymentCodingDetail_Sept-May'!F33*9)+PaymentCodingDetail_June!F33-PaymentCodingTotal!F33</f>
        <v>0</v>
      </c>
      <c r="G33" s="40">
        <f>('PaymentCodingDetail_Sept-May'!G33*9)+PaymentCodingDetail_June!G33-PaymentCodingTotal!G33</f>
        <v>0</v>
      </c>
      <c r="H33" s="6">
        <f t="shared" si="3"/>
        <v>0</v>
      </c>
      <c r="I33" s="6">
        <f t="shared" si="4"/>
        <v>0</v>
      </c>
      <c r="J33" s="6">
        <f t="shared" si="5"/>
        <v>0</v>
      </c>
      <c r="K33" s="6">
        <f t="shared" si="6"/>
        <v>0</v>
      </c>
      <c r="L33" s="6">
        <f t="shared" si="6"/>
        <v>0</v>
      </c>
    </row>
    <row r="34" spans="1:12" x14ac:dyDescent="0.25">
      <c r="A34" s="11" t="str">
        <f t="shared" si="2"/>
        <v>13</v>
      </c>
      <c r="B34" s="11" t="str">
        <f t="shared" si="2"/>
        <v>Green Hills AEA 13</v>
      </c>
      <c r="C34" s="40">
        <f>('PaymentCodingDetail_Sept-May'!C34*9)+PaymentCodingDetail_June!C34-PaymentCodingTotal!C34</f>
        <v>0</v>
      </c>
      <c r="D34" s="40">
        <f>('PaymentCodingDetail_Sept-May'!D34*9)+PaymentCodingDetail_June!D34-PaymentCodingTotal!D34</f>
        <v>0</v>
      </c>
      <c r="E34" s="12">
        <f>('PaymentCodingDetail_Sept-May'!E34*9)+PaymentCodingDetail_June!E34-PaymentCodingTotal!E34</f>
        <v>0</v>
      </c>
      <c r="F34" s="25">
        <f>('PaymentCodingDetail_Sept-May'!F34*9)+PaymentCodingDetail_June!F34-PaymentCodingTotal!F34</f>
        <v>0</v>
      </c>
      <c r="G34" s="40">
        <f>('PaymentCodingDetail_Sept-May'!G34*9)+PaymentCodingDetail_June!G34-PaymentCodingTotal!G34</f>
        <v>0</v>
      </c>
      <c r="H34" s="6">
        <f t="shared" si="3"/>
        <v>0</v>
      </c>
      <c r="I34" s="6">
        <f t="shared" si="4"/>
        <v>0</v>
      </c>
      <c r="J34" s="6">
        <f t="shared" si="5"/>
        <v>0</v>
      </c>
      <c r="K34" s="6">
        <f t="shared" si="6"/>
        <v>0</v>
      </c>
      <c r="L34" s="6">
        <f t="shared" si="6"/>
        <v>0</v>
      </c>
    </row>
    <row r="35" spans="1:12" x14ac:dyDescent="0.25">
      <c r="A35" s="11" t="str">
        <f t="shared" si="2"/>
        <v>15</v>
      </c>
      <c r="B35" s="11" t="str">
        <f t="shared" si="2"/>
        <v>Great Prairie AEA 15</v>
      </c>
      <c r="C35" s="40">
        <f>('PaymentCodingDetail_Sept-May'!C35*9)+PaymentCodingDetail_June!C35-PaymentCodingTotal!C35</f>
        <v>0</v>
      </c>
      <c r="D35" s="40">
        <f>('PaymentCodingDetail_Sept-May'!D35*9)+PaymentCodingDetail_June!D35-PaymentCodingTotal!D35</f>
        <v>0</v>
      </c>
      <c r="E35" s="12">
        <f>('PaymentCodingDetail_Sept-May'!E35*9)+PaymentCodingDetail_June!E35-PaymentCodingTotal!E35</f>
        <v>0</v>
      </c>
      <c r="F35" s="25">
        <f>('PaymentCodingDetail_Sept-May'!F35*9)+PaymentCodingDetail_June!F35-PaymentCodingTotal!F35</f>
        <v>0</v>
      </c>
      <c r="G35" s="40">
        <f>('PaymentCodingDetail_Sept-May'!G35*9)+PaymentCodingDetail_June!G35-PaymentCodingTotal!G35</f>
        <v>0</v>
      </c>
      <c r="H35" s="6">
        <f t="shared" si="3"/>
        <v>0</v>
      </c>
      <c r="I35" s="6">
        <f t="shared" si="4"/>
        <v>0</v>
      </c>
      <c r="J35" s="6">
        <f t="shared" si="5"/>
        <v>0</v>
      </c>
      <c r="K35" s="6">
        <f t="shared" si="6"/>
        <v>0</v>
      </c>
      <c r="L35" s="6">
        <f t="shared" si="6"/>
        <v>0</v>
      </c>
    </row>
    <row r="36" spans="1:12" ht="15.75" thickBot="1" x14ac:dyDescent="0.3">
      <c r="C36" s="41">
        <f t="shared" ref="C36:E36" si="7">SUM(C27:C35)</f>
        <v>0</v>
      </c>
      <c r="D36" s="41">
        <f t="shared" si="7"/>
        <v>0</v>
      </c>
      <c r="E36" s="17">
        <f t="shared" si="7"/>
        <v>0</v>
      </c>
      <c r="F36" s="25">
        <f>SUM(F27:F35)</f>
        <v>0</v>
      </c>
      <c r="G36" s="40">
        <f>SUM(G27:G35)</f>
        <v>0</v>
      </c>
      <c r="H36" s="6">
        <f t="shared" si="3"/>
        <v>0</v>
      </c>
      <c r="I36" s="6">
        <f t="shared" si="4"/>
        <v>0</v>
      </c>
      <c r="J36" s="6">
        <f t="shared" si="5"/>
        <v>0</v>
      </c>
      <c r="K36" s="6">
        <f>SUM(K27:K35)</f>
        <v>0</v>
      </c>
      <c r="L36" s="6">
        <f>SUM(L27:L35)</f>
        <v>0</v>
      </c>
    </row>
    <row r="37" spans="1:12" ht="15.75" thickTop="1" x14ac:dyDescent="0.25"/>
    <row r="39" spans="1:12"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53F6-87C9-499F-922A-FFB36F150567}">
  <sheetPr>
    <pageSetUpPr fitToPage="1"/>
  </sheetPr>
  <dimension ref="A1:M39"/>
  <sheetViews>
    <sheetView topLeftCell="A7" zoomScale="90" zoomScaleNormal="90" workbookViewId="0">
      <selection activeCell="E8" sqref="E8"/>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bestFit="1" customWidth="1"/>
    <col min="12" max="12" width="11" bestFit="1" customWidth="1"/>
    <col min="13" max="13" width="12.140625" bestFit="1" customWidth="1"/>
  </cols>
  <sheetData>
    <row r="1" spans="1:11" ht="45" customHeight="1" x14ac:dyDescent="0.25">
      <c r="A1" s="73" t="str">
        <f>_xlfn.CONCAT("FY ",K2," AEA Enrollments and Cost - Final - State Aid and Property Tax Breakdown - June Payment")</f>
        <v>FY 2024 AEA Enrollments and Cost - Final - State Aid and Property Tax Breakdown - June Payment</v>
      </c>
      <c r="B1" s="73"/>
      <c r="C1" s="73"/>
      <c r="D1" s="73"/>
      <c r="E1" s="73"/>
      <c r="F1" s="73"/>
      <c r="G1" s="73"/>
      <c r="H1" s="73"/>
      <c r="I1" s="73"/>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4"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2024</v>
      </c>
    </row>
    <row r="3" spans="1:11" x14ac:dyDescent="0.25">
      <c r="A3" s="21" t="str">
        <f>Data!A2</f>
        <v>01</v>
      </c>
      <c r="B3" s="11" t="str">
        <f>INDEX(Data_Detail[],MATCH(PaymentCodingDetail_June!$A3,Data_Detail[AEA],0),3)</f>
        <v>Keystone AEA 1</v>
      </c>
      <c r="C3" s="12">
        <f>PaymentCodingTotal!C3-('PaymentCodingDetail_Sept-May'!C3*9)</f>
        <v>1121621</v>
      </c>
      <c r="D3" s="12">
        <f>PaymentCodingTotal!D3-('PaymentCodingDetail_Sept-May'!D3*9)</f>
        <v>850543</v>
      </c>
      <c r="E3" s="12">
        <f>PaymentCodingTotal!E3-('PaymentCodingDetail_Sept-May'!E3*9)</f>
        <v>209495</v>
      </c>
      <c r="F3" s="58">
        <f>D3-E3</f>
        <v>641048</v>
      </c>
      <c r="G3" s="22">
        <f>PaymentCodingTotal!G3-('PaymentCodingDetail_Sept-May'!G3*9)</f>
        <v>271078</v>
      </c>
      <c r="H3" s="22">
        <f>PaymentCodingTotal!H3-('PaymentCodingDetail_Sept-May'!H3*9)</f>
        <v>1057</v>
      </c>
      <c r="I3" s="57">
        <f>SUM(F3:H3)</f>
        <v>913183</v>
      </c>
      <c r="K3" s="6">
        <f>G12+D24+H12+C36+D36-G36</f>
        <v>0</v>
      </c>
    </row>
    <row r="4" spans="1:11" x14ac:dyDescent="0.25">
      <c r="A4" s="21" t="str">
        <f>Data!A3</f>
        <v>05</v>
      </c>
      <c r="B4" s="11" t="str">
        <f>INDEX(Data_Detail[],MATCH(PaymentCodingDetail_June!$A4,Data_Detail[AEA],0),3)</f>
        <v>Prairie Lakes AEA 8</v>
      </c>
      <c r="C4" s="12">
        <f>PaymentCodingTotal!C4-('PaymentCodingDetail_Sept-May'!C4*9)</f>
        <v>1173370</v>
      </c>
      <c r="D4" s="12">
        <f>PaymentCodingTotal!D4-('PaymentCodingDetail_Sept-May'!D4*9)</f>
        <v>900781</v>
      </c>
      <c r="E4" s="12">
        <f>PaymentCodingTotal!E4-('PaymentCodingDetail_Sept-May'!E4*9)</f>
        <v>222751</v>
      </c>
      <c r="F4" s="58">
        <f t="shared" ref="F4:F11" si="0">D4-E4</f>
        <v>678030</v>
      </c>
      <c r="G4" s="22">
        <f>PaymentCodingTotal!G4-('PaymentCodingDetail_Sept-May'!G4*9)</f>
        <v>272589</v>
      </c>
      <c r="H4" s="22">
        <f>PaymentCodingTotal!H4-('PaymentCodingDetail_Sept-May'!H4*9)</f>
        <v>7351</v>
      </c>
      <c r="I4" s="57">
        <f t="shared" ref="I4:I11" si="1">SUM(F4:H4)</f>
        <v>957970</v>
      </c>
      <c r="K4" s="6">
        <f>F12+C24+F24+G24-F36</f>
        <v>0</v>
      </c>
    </row>
    <row r="5" spans="1:11" x14ac:dyDescent="0.25">
      <c r="A5" s="21" t="str">
        <f>Data!A4</f>
        <v>07</v>
      </c>
      <c r="B5" s="11" t="str">
        <f>INDEX(Data_Detail[],MATCH(PaymentCodingDetail_June!$A5,Data_Detail[AEA],0),3)</f>
        <v>Central Rivers</v>
      </c>
      <c r="C5" s="12">
        <f>PaymentCodingTotal!C5-('PaymentCodingDetail_Sept-May'!C5*9)</f>
        <v>2381354</v>
      </c>
      <c r="D5" s="12">
        <f>PaymentCodingTotal!D5-('PaymentCodingDetail_Sept-May'!D5*9)</f>
        <v>1864071</v>
      </c>
      <c r="E5" s="12">
        <f>PaymentCodingTotal!E5-('PaymentCodingDetail_Sept-May'!E5*9)</f>
        <v>413411</v>
      </c>
      <c r="F5" s="58">
        <f t="shared" si="0"/>
        <v>1450660</v>
      </c>
      <c r="G5" s="22">
        <f>PaymentCodingTotal!G5-('PaymentCodingDetail_Sept-May'!G5*9)</f>
        <v>517283</v>
      </c>
      <c r="H5" s="22">
        <f>PaymentCodingTotal!H5-('PaymentCodingDetail_Sept-May'!H5*9)</f>
        <v>12073</v>
      </c>
      <c r="I5" s="57">
        <f t="shared" si="1"/>
        <v>1980016</v>
      </c>
      <c r="K5" s="6">
        <f>F12+E12-D12</f>
        <v>0</v>
      </c>
    </row>
    <row r="6" spans="1:11" x14ac:dyDescent="0.25">
      <c r="A6" s="21" t="str">
        <f>Data!A5</f>
        <v>09</v>
      </c>
      <c r="B6" s="11" t="str">
        <f>INDEX(Data_Detail[],MATCH(PaymentCodingDetail_June!$A6,Data_Detail[AEA],0),3)</f>
        <v>Mississippi Bend AEA 9</v>
      </c>
      <c r="C6" s="12">
        <f>PaymentCodingTotal!C6-('PaymentCodingDetail_Sept-May'!C6*9)</f>
        <v>1735078</v>
      </c>
      <c r="D6" s="12">
        <f>PaymentCodingTotal!D6-('PaymentCodingDetail_Sept-May'!D6*9)</f>
        <v>1367744</v>
      </c>
      <c r="E6" s="12">
        <f>PaymentCodingTotal!E6-('PaymentCodingDetail_Sept-May'!E6*9)</f>
        <v>300823</v>
      </c>
      <c r="F6" s="58">
        <f t="shared" si="0"/>
        <v>1066921</v>
      </c>
      <c r="G6" s="22">
        <f>PaymentCodingTotal!G6-('PaymentCodingDetail_Sept-May'!G6*9)</f>
        <v>367325</v>
      </c>
      <c r="H6" s="22">
        <f>PaymentCodingTotal!H6-('PaymentCodingDetail_Sept-May'!H6*9)</f>
        <v>10382</v>
      </c>
      <c r="I6" s="57">
        <f t="shared" si="1"/>
        <v>1444628</v>
      </c>
      <c r="K6" s="6">
        <f>H12+G12+F12-I12</f>
        <v>0</v>
      </c>
    </row>
    <row r="7" spans="1:11" x14ac:dyDescent="0.25">
      <c r="A7" s="21" t="str">
        <f>Data!A6</f>
        <v>10</v>
      </c>
      <c r="B7" s="11" t="str">
        <f>INDEX(Data_Detail[],MATCH(PaymentCodingDetail_June!$A7,Data_Detail[AEA],0),3)</f>
        <v>Grant Wood AEA 10</v>
      </c>
      <c r="C7" s="12">
        <f>PaymentCodingTotal!C7-('PaymentCodingDetail_Sept-May'!C7*9)</f>
        <v>2593200</v>
      </c>
      <c r="D7" s="12">
        <f>PaymentCodingTotal!D7-('PaymentCodingDetail_Sept-May'!D7*9)</f>
        <v>2055994</v>
      </c>
      <c r="E7" s="12">
        <f>PaymentCodingTotal!E7-('PaymentCodingDetail_Sept-May'!E7*9)</f>
        <v>382044</v>
      </c>
      <c r="F7" s="58">
        <f t="shared" si="0"/>
        <v>1673950</v>
      </c>
      <c r="G7" s="22">
        <f>PaymentCodingTotal!G7-('PaymentCodingDetail_Sept-May'!G7*9)</f>
        <v>537206</v>
      </c>
      <c r="H7" s="22">
        <f>PaymentCodingTotal!H7-('PaymentCodingDetail_Sept-May'!H7*9)</f>
        <v>8050</v>
      </c>
      <c r="I7" s="57">
        <f t="shared" si="1"/>
        <v>2219206</v>
      </c>
      <c r="K7" s="6">
        <f>C24+D24-E24</f>
        <v>0</v>
      </c>
    </row>
    <row r="8" spans="1:11" x14ac:dyDescent="0.25">
      <c r="A8" s="21" t="str">
        <f>Data!A7</f>
        <v>11</v>
      </c>
      <c r="B8" s="11" t="str">
        <f>INDEX(Data_Detail[],MATCH(PaymentCodingDetail_June!$A8,Data_Detail[AEA],0),3)</f>
        <v>Heartland AEA 11</v>
      </c>
      <c r="C8" s="12">
        <f>PaymentCodingTotal!C8-('PaymentCodingDetail_Sept-May'!C8*9)</f>
        <v>5254779</v>
      </c>
      <c r="D8" s="12">
        <f>PaymentCodingTotal!D8-('PaymentCodingDetail_Sept-May'!D8*9)</f>
        <v>4256970</v>
      </c>
      <c r="E8" s="12">
        <f>PaymentCodingTotal!E8-('PaymentCodingDetail_Sept-May'!E8*9)</f>
        <v>676831</v>
      </c>
      <c r="F8" s="58">
        <f t="shared" si="0"/>
        <v>3580139</v>
      </c>
      <c r="G8" s="22">
        <f>PaymentCodingTotal!G8-('PaymentCodingDetail_Sept-May'!G8*9)</f>
        <v>997809</v>
      </c>
      <c r="H8" s="22">
        <f>PaymentCodingTotal!H8-('PaymentCodingDetail_Sept-May'!H8*9)</f>
        <v>2335</v>
      </c>
      <c r="I8" s="57">
        <f t="shared" si="1"/>
        <v>4580283</v>
      </c>
    </row>
    <row r="9" spans="1:11" x14ac:dyDescent="0.25">
      <c r="A9" s="21" t="str">
        <f>Data!A8</f>
        <v>12</v>
      </c>
      <c r="B9" s="11" t="str">
        <f>INDEX(Data_Detail[],MATCH(PaymentCodingDetail_June!$A9,Data_Detail[AEA],0),3)</f>
        <v>Northwest AEA</v>
      </c>
      <c r="C9" s="12">
        <f>PaymentCodingTotal!C9-('PaymentCodingDetail_Sept-May'!C9*9)</f>
        <v>1558145</v>
      </c>
      <c r="D9" s="12">
        <f>PaymentCodingTotal!D9-('PaymentCodingDetail_Sept-May'!D9*9)</f>
        <v>1208003</v>
      </c>
      <c r="E9" s="12">
        <f>PaymentCodingTotal!E9-('PaymentCodingDetail_Sept-May'!E9*9)</f>
        <v>253168</v>
      </c>
      <c r="F9" s="58">
        <f t="shared" si="0"/>
        <v>954835</v>
      </c>
      <c r="G9" s="22">
        <f>PaymentCodingTotal!G9-('PaymentCodingDetail_Sept-May'!G9*9)</f>
        <v>350142</v>
      </c>
      <c r="H9" s="22">
        <f>PaymentCodingTotal!H9-('PaymentCodingDetail_Sept-May'!H9*9)</f>
        <v>3199</v>
      </c>
      <c r="I9" s="57">
        <f t="shared" si="1"/>
        <v>1308176</v>
      </c>
    </row>
    <row r="10" spans="1:11" x14ac:dyDescent="0.25">
      <c r="A10" s="21" t="str">
        <f>Data!A9</f>
        <v>13</v>
      </c>
      <c r="B10" s="11" t="str">
        <f>INDEX(Data_Detail[],MATCH(PaymentCodingDetail_June!$A10,Data_Detail[AEA],0),3)</f>
        <v>Green Hills AEA 13</v>
      </c>
      <c r="C10" s="12">
        <f>PaymentCodingTotal!C10-('PaymentCodingDetail_Sept-May'!C10*9)</f>
        <v>1431041</v>
      </c>
      <c r="D10" s="12">
        <f>PaymentCodingTotal!D10-('PaymentCodingDetail_Sept-May'!D10*9)</f>
        <v>1131326</v>
      </c>
      <c r="E10" s="12">
        <f>PaymentCodingTotal!E10-('PaymentCodingDetail_Sept-May'!E10*9)</f>
        <v>257216</v>
      </c>
      <c r="F10" s="58">
        <f t="shared" si="0"/>
        <v>874110</v>
      </c>
      <c r="G10" s="22">
        <f>PaymentCodingTotal!G10-('PaymentCodingDetail_Sept-May'!G10*9)</f>
        <v>299715</v>
      </c>
      <c r="H10" s="22">
        <f>PaymentCodingTotal!H10-('PaymentCodingDetail_Sept-May'!H10*9)</f>
        <v>4962</v>
      </c>
      <c r="I10" s="57">
        <f t="shared" si="1"/>
        <v>1178787</v>
      </c>
    </row>
    <row r="11" spans="1:11" x14ac:dyDescent="0.25">
      <c r="A11" s="21" t="str">
        <f>Data!A10</f>
        <v>15</v>
      </c>
      <c r="B11" s="11" t="str">
        <f>INDEX(Data_Detail[],MATCH(PaymentCodingDetail_June!$A11,Data_Detail[AEA],0),3)</f>
        <v>Great Prairie AEA 15</v>
      </c>
      <c r="C11" s="12">
        <f>PaymentCodingTotal!C11-('PaymentCodingDetail_Sept-May'!C11*9)</f>
        <v>1279785</v>
      </c>
      <c r="D11" s="12">
        <f>PaymentCodingTotal!D11-('PaymentCodingDetail_Sept-May'!D11*9)</f>
        <v>1019826</v>
      </c>
      <c r="E11" s="12">
        <f>PaymentCodingTotal!E11-('PaymentCodingDetail_Sept-May'!E11*9)</f>
        <v>239957</v>
      </c>
      <c r="F11" s="58">
        <f t="shared" si="0"/>
        <v>779869</v>
      </c>
      <c r="G11" s="22">
        <f>PaymentCodingTotal!G11-('PaymentCodingDetail_Sept-May'!G11*9)</f>
        <v>259977</v>
      </c>
      <c r="H11" s="22">
        <f>PaymentCodingTotal!H11-('PaymentCodingDetail_Sept-May'!H11*9)</f>
        <v>8485</v>
      </c>
      <c r="I11" s="57">
        <f t="shared" si="1"/>
        <v>1048331</v>
      </c>
    </row>
    <row r="12" spans="1:11" ht="15.75" thickBot="1" x14ac:dyDescent="0.3">
      <c r="C12" s="17">
        <f>SUM(C3:C11)</f>
        <v>18528373</v>
      </c>
      <c r="D12" s="17">
        <f t="shared" ref="D12:I12" si="2">SUM(D3:D11)</f>
        <v>14655258</v>
      </c>
      <c r="E12" s="17">
        <f t="shared" si="2"/>
        <v>2955696</v>
      </c>
      <c r="F12" s="44">
        <f t="shared" si="2"/>
        <v>11699562</v>
      </c>
      <c r="G12" s="23">
        <f t="shared" si="2"/>
        <v>3873124</v>
      </c>
      <c r="H12" s="23">
        <f>SUM(H3:H11)</f>
        <v>57894</v>
      </c>
      <c r="I12" s="17">
        <f t="shared" si="2"/>
        <v>15630580</v>
      </c>
    </row>
    <row r="13" spans="1:11" ht="7.5" customHeight="1" thickTop="1" x14ac:dyDescent="0.25"/>
    <row r="14" spans="1:11" ht="45" x14ac:dyDescent="0.25">
      <c r="A14" s="18" t="str">
        <f t="shared" ref="A14:B23" si="3">A2</f>
        <v>AEA</v>
      </c>
      <c r="B14" s="18" t="str">
        <f t="shared" si="3"/>
        <v>AEA Name</v>
      </c>
      <c r="C14" s="24"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4" t="str">
        <f>Data_Detail[[#Headers],[AEA Teacher Salary Supplement District Cost]]</f>
        <v>AEA Teacher Salary Supplement District Cost</v>
      </c>
      <c r="G14" s="24" t="str">
        <f>Data_Detail[[#Headers],[AEA Professional Development Supplement District Cost]]</f>
        <v>AEA Professional Development Supplement District Cost</v>
      </c>
    </row>
    <row r="15" spans="1:11" x14ac:dyDescent="0.25">
      <c r="A15" s="19" t="str">
        <f t="shared" si="3"/>
        <v>01</v>
      </c>
      <c r="B15" s="19" t="str">
        <f t="shared" si="3"/>
        <v>Keystone AEA 1</v>
      </c>
      <c r="C15" s="25">
        <f>PaymentCodingTotal!C15-('PaymentCodingDetail_Sept-May'!C15*9)</f>
        <v>2276</v>
      </c>
      <c r="D15" s="22">
        <f>PaymentCodingTotal!D15-('PaymentCodingDetail_Sept-May'!D15*9)</f>
        <v>725</v>
      </c>
      <c r="E15" s="60">
        <f>SUM(C15:D15)</f>
        <v>3001</v>
      </c>
      <c r="F15" s="25">
        <f>PaymentCodingTotal!F15-('PaymentCodingDetail_Sept-May'!F15*9)</f>
        <v>111058</v>
      </c>
      <c r="G15" s="25">
        <f>PaymentCodingTotal!G15-('PaymentCodingDetail_Sept-May'!G15*9)</f>
        <v>12051</v>
      </c>
    </row>
    <row r="16" spans="1:11" x14ac:dyDescent="0.25">
      <c r="A16" s="19" t="str">
        <f t="shared" si="3"/>
        <v>05</v>
      </c>
      <c r="B16" s="19" t="str">
        <f t="shared" si="3"/>
        <v>Prairie Lakes AEA 8</v>
      </c>
      <c r="C16" s="25">
        <f>PaymentCodingTotal!C16-('PaymentCodingDetail_Sept-May'!C16*9)</f>
        <v>0</v>
      </c>
      <c r="D16" s="22">
        <f>PaymentCodingTotal!D16-('PaymentCodingDetail_Sept-May'!D16*9)</f>
        <v>0</v>
      </c>
      <c r="E16" s="60">
        <f t="shared" ref="E16:E23" si="4">SUM(C16:D16)</f>
        <v>0</v>
      </c>
      <c r="F16" s="25">
        <f>PaymentCodingTotal!F16-('PaymentCodingDetail_Sept-May'!F16*9)</f>
        <v>124444</v>
      </c>
      <c r="G16" s="25">
        <f>PaymentCodingTotal!G16-('PaymentCodingDetail_Sept-May'!G16*9)</f>
        <v>14793</v>
      </c>
      <c r="H16" s="74" t="s">
        <v>79</v>
      </c>
    </row>
    <row r="17" spans="1:13" x14ac:dyDescent="0.25">
      <c r="A17" s="19" t="str">
        <f t="shared" si="3"/>
        <v>07</v>
      </c>
      <c r="B17" s="19" t="str">
        <f t="shared" si="3"/>
        <v>Central Rivers</v>
      </c>
      <c r="C17" s="25">
        <f>PaymentCodingTotal!C17-('PaymentCodingDetail_Sept-May'!C17*9)</f>
        <v>2351</v>
      </c>
      <c r="D17" s="22">
        <f>PaymentCodingTotal!D17-('PaymentCodingDetail_Sept-May'!D17*9)</f>
        <v>650</v>
      </c>
      <c r="E17" s="60">
        <f t="shared" si="4"/>
        <v>3001</v>
      </c>
      <c r="F17" s="25">
        <f>PaymentCodingTotal!F17-('PaymentCodingDetail_Sept-May'!F17*9)</f>
        <v>294795</v>
      </c>
      <c r="G17" s="25">
        <f>PaymentCodingTotal!G17-('PaymentCodingDetail_Sept-May'!G17*9)</f>
        <v>33931</v>
      </c>
      <c r="H17" s="74"/>
    </row>
    <row r="18" spans="1:13" x14ac:dyDescent="0.25">
      <c r="A18" s="19" t="str">
        <f t="shared" si="3"/>
        <v>09</v>
      </c>
      <c r="B18" s="19" t="str">
        <f t="shared" si="3"/>
        <v>Mississippi Bend AEA 9</v>
      </c>
      <c r="C18" s="25">
        <f>PaymentCodingTotal!C18-('PaymentCodingDetail_Sept-May'!C18*9)</f>
        <v>0</v>
      </c>
      <c r="D18" s="22">
        <f>PaymentCodingTotal!D18-('PaymentCodingDetail_Sept-May'!D18*9)</f>
        <v>0</v>
      </c>
      <c r="E18" s="60">
        <f t="shared" si="4"/>
        <v>0</v>
      </c>
      <c r="F18" s="25">
        <f>PaymentCodingTotal!F18-('PaymentCodingDetail_Sept-May'!F18*9)</f>
        <v>159466</v>
      </c>
      <c r="G18" s="25">
        <f>PaymentCodingTotal!G18-('PaymentCodingDetail_Sept-May'!G18*9)</f>
        <v>18706</v>
      </c>
      <c r="H18" s="75" t="s">
        <v>731</v>
      </c>
    </row>
    <row r="19" spans="1:13" x14ac:dyDescent="0.25">
      <c r="A19" s="19" t="str">
        <f t="shared" si="3"/>
        <v>10</v>
      </c>
      <c r="B19" s="19" t="str">
        <f t="shared" si="3"/>
        <v>Grant Wood AEA 10</v>
      </c>
      <c r="C19" s="25">
        <f>PaymentCodingTotal!C19-('PaymentCodingDetail_Sept-May'!C19*9)</f>
        <v>2377</v>
      </c>
      <c r="D19" s="22">
        <f>PaymentCodingTotal!D19-('PaymentCodingDetail_Sept-May'!D19*9)</f>
        <v>624</v>
      </c>
      <c r="E19" s="60">
        <f t="shared" si="4"/>
        <v>3001</v>
      </c>
      <c r="F19" s="25">
        <f>PaymentCodingTotal!F19-('PaymentCodingDetail_Sept-May'!F19*9)</f>
        <v>245684</v>
      </c>
      <c r="G19" s="25">
        <f>PaymentCodingTotal!G19-('PaymentCodingDetail_Sept-May'!G19*9)</f>
        <v>28605</v>
      </c>
      <c r="H19" s="75"/>
    </row>
    <row r="20" spans="1:13" x14ac:dyDescent="0.25">
      <c r="A20" s="19" t="str">
        <f t="shared" si="3"/>
        <v>11</v>
      </c>
      <c r="B20" s="19" t="str">
        <f t="shared" si="3"/>
        <v>Heartland AEA 11</v>
      </c>
      <c r="C20" s="25">
        <f>PaymentCodingTotal!C20-('PaymentCodingDetail_Sept-May'!C20*9)</f>
        <v>0</v>
      </c>
      <c r="D20" s="22">
        <f>PaymentCodingTotal!D20-('PaymentCodingDetail_Sept-May'!D20*9)</f>
        <v>0</v>
      </c>
      <c r="E20" s="60">
        <f t="shared" si="4"/>
        <v>0</v>
      </c>
      <c r="F20" s="25">
        <f>PaymentCodingTotal!F20-('PaymentCodingDetail_Sept-May'!F20*9)</f>
        <v>447527</v>
      </c>
      <c r="G20" s="25">
        <f>PaymentCodingTotal!G20-('PaymentCodingDetail_Sept-May'!G20*9)</f>
        <v>56124</v>
      </c>
    </row>
    <row r="21" spans="1:13" x14ac:dyDescent="0.25">
      <c r="A21" s="19" t="str">
        <f t="shared" si="3"/>
        <v>12</v>
      </c>
      <c r="B21" s="19" t="str">
        <f t="shared" si="3"/>
        <v>Northwest AEA</v>
      </c>
      <c r="C21" s="25">
        <f>PaymentCodingTotal!C21-('PaymentCodingDetail_Sept-May'!C21*9)</f>
        <v>2327</v>
      </c>
      <c r="D21" s="22">
        <f>PaymentCodingTotal!D21-('PaymentCodingDetail_Sept-May'!D21*9)</f>
        <v>674</v>
      </c>
      <c r="E21" s="60">
        <f t="shared" si="4"/>
        <v>3001</v>
      </c>
      <c r="F21" s="25">
        <f>PaymentCodingTotal!F21-('PaymentCodingDetail_Sept-May'!F21*9)</f>
        <v>157035</v>
      </c>
      <c r="G21" s="25">
        <f>PaymentCodingTotal!G21-('PaymentCodingDetail_Sept-May'!G21*9)</f>
        <v>18721</v>
      </c>
    </row>
    <row r="22" spans="1:13" x14ac:dyDescent="0.25">
      <c r="A22" s="19" t="str">
        <f t="shared" si="3"/>
        <v>13</v>
      </c>
      <c r="B22" s="19" t="str">
        <f t="shared" si="3"/>
        <v>Green Hills AEA 13</v>
      </c>
      <c r="C22" s="25">
        <f>PaymentCodingTotal!C22-('PaymentCodingDetail_Sept-May'!C22*9)</f>
        <v>2372</v>
      </c>
      <c r="D22" s="22">
        <f>PaymentCodingTotal!D22-('PaymentCodingDetail_Sept-May'!D22*9)</f>
        <v>630</v>
      </c>
      <c r="E22" s="60">
        <f t="shared" si="4"/>
        <v>3002</v>
      </c>
      <c r="F22" s="25">
        <f>PaymentCodingTotal!F22-('PaymentCodingDetail_Sept-May'!F22*9)</f>
        <v>147145</v>
      </c>
      <c r="G22" s="25">
        <f>PaymentCodingTotal!G22-('PaymentCodingDetail_Sept-May'!G22*9)</f>
        <v>15871</v>
      </c>
    </row>
    <row r="23" spans="1:13" x14ac:dyDescent="0.25">
      <c r="A23" s="19" t="str">
        <f t="shared" si="3"/>
        <v>15</v>
      </c>
      <c r="B23" s="19" t="str">
        <f t="shared" si="3"/>
        <v>Great Prairie AEA 15</v>
      </c>
      <c r="C23" s="25">
        <f>PaymentCodingTotal!C23-('PaymentCodingDetail_Sept-May'!C23*9)</f>
        <v>2386</v>
      </c>
      <c r="D23" s="22">
        <f>PaymentCodingTotal!D23-('PaymentCodingDetail_Sept-May'!D23*9)</f>
        <v>605</v>
      </c>
      <c r="E23" s="60">
        <f t="shared" si="4"/>
        <v>2991</v>
      </c>
      <c r="F23" s="25">
        <f>PaymentCodingTotal!F23-('PaymentCodingDetail_Sept-May'!F23*9)</f>
        <v>128898</v>
      </c>
      <c r="G23" s="25">
        <f>PaymentCodingTotal!G23-('PaymentCodingDetail_Sept-May'!G23*9)</f>
        <v>14120</v>
      </c>
    </row>
    <row r="24" spans="1:13" ht="15.75" thickBot="1" x14ac:dyDescent="0.3">
      <c r="A24" s="20"/>
      <c r="B24" s="20"/>
      <c r="C24" s="56">
        <f>SUM(C15:C23)</f>
        <v>14089</v>
      </c>
      <c r="D24" s="23">
        <f>SUM(D15:D23)</f>
        <v>3908</v>
      </c>
      <c r="E24" s="23">
        <f>SUM(E15:E23)</f>
        <v>17997</v>
      </c>
      <c r="F24" s="44">
        <f>SUM(F15:F23)</f>
        <v>1816052</v>
      </c>
      <c r="G24" s="44">
        <f>SUM(G15:G23)</f>
        <v>212922</v>
      </c>
    </row>
    <row r="25" spans="1:13" ht="7.5" customHeight="1" thickTop="1" x14ac:dyDescent="0.25">
      <c r="A25" s="20"/>
      <c r="B25" s="20"/>
      <c r="F25" s="6"/>
      <c r="G25" s="6"/>
      <c r="H25" s="6"/>
    </row>
    <row r="26" spans="1:13" ht="30" x14ac:dyDescent="0.25">
      <c r="A26" s="18" t="str">
        <f t="shared" ref="A26:B35" si="5">A14</f>
        <v>AEA</v>
      </c>
      <c r="B26" s="18"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4" t="str">
        <f>Data_Detail[[#Headers],[State Aid Portion]]</f>
        <v>State Aid Portion</v>
      </c>
      <c r="G26" s="9" t="str">
        <f>Data_Detail[[#Headers],[Property Tax Portion]]</f>
        <v>Property Tax Portion</v>
      </c>
      <c r="K26" t="s">
        <v>78</v>
      </c>
      <c r="L26" t="s">
        <v>79</v>
      </c>
      <c r="M26" t="s">
        <v>80</v>
      </c>
    </row>
    <row r="27" spans="1:13" x14ac:dyDescent="0.25">
      <c r="A27" s="11" t="str">
        <f t="shared" si="5"/>
        <v>01</v>
      </c>
      <c r="B27" s="11" t="str">
        <f t="shared" si="5"/>
        <v>Keystone AEA 1</v>
      </c>
      <c r="C27" s="22">
        <f>PaymentCodingTotal!C27-('PaymentCodingDetail_Sept-May'!C27*9)</f>
        <v>196934</v>
      </c>
      <c r="D27" s="22">
        <f>PaymentCodingTotal!D27-('PaymentCodingDetail_Sept-May'!D27*9)</f>
        <v>219394</v>
      </c>
      <c r="E27" s="59">
        <f>INDEX(Data[],MATCH($A27,Data[AEA],0),MATCH("Pay 2 Final",Data[#Headers],0))</f>
        <v>1455621</v>
      </c>
      <c r="F27" s="58">
        <f>F3+C15+F15+G15</f>
        <v>766433</v>
      </c>
      <c r="G27" s="60">
        <f>G3+H3+D15+C27+D27</f>
        <v>689188</v>
      </c>
      <c r="K27" s="6">
        <f>E27-D27-C27-G15-F15-E15-H3-G3-F3</f>
        <v>0</v>
      </c>
      <c r="L27" s="6">
        <f t="shared" ref="L27:L36" si="6">F27-G15-F15-C15-F3</f>
        <v>0</v>
      </c>
      <c r="M27" s="6">
        <f t="shared" ref="M27:M36" si="7">G27-D27-C27-D15-H3-G3</f>
        <v>0</v>
      </c>
    </row>
    <row r="28" spans="1:13" x14ac:dyDescent="0.25">
      <c r="A28" s="11" t="str">
        <f t="shared" si="5"/>
        <v>05</v>
      </c>
      <c r="B28" s="11" t="str">
        <f t="shared" si="5"/>
        <v>Prairie Lakes AEA 8</v>
      </c>
      <c r="C28" s="22">
        <f>PaymentCodingTotal!C28-('PaymentCodingDetail_Sept-May'!C28*9)</f>
        <v>199997</v>
      </c>
      <c r="D28" s="22">
        <f>PaymentCodingTotal!D28-('PaymentCodingDetail_Sept-May'!D28*9)</f>
        <v>224018</v>
      </c>
      <c r="E28" s="59">
        <f>INDEX(Data[],MATCH($A28,Data[AEA],0),MATCH("Pay 2 Final",Data[#Headers],0))</f>
        <v>1521222</v>
      </c>
      <c r="F28" s="58">
        <f t="shared" ref="F28:F35" si="8">F4+C16+F16+G16</f>
        <v>817267</v>
      </c>
      <c r="G28" s="60">
        <f t="shared" ref="G28:G35" si="9">G4+H4+D16+C28+D28</f>
        <v>703955</v>
      </c>
      <c r="K28" s="6">
        <f t="shared" ref="K28:K36" si="10">E28-D28-C28-G16-F16-E16-H4-G4-F4</f>
        <v>0</v>
      </c>
      <c r="L28" s="6">
        <f t="shared" si="6"/>
        <v>0</v>
      </c>
      <c r="M28" s="6">
        <f t="shared" si="7"/>
        <v>0</v>
      </c>
    </row>
    <row r="29" spans="1:13" x14ac:dyDescent="0.25">
      <c r="A29" s="11" t="str">
        <f t="shared" si="5"/>
        <v>07</v>
      </c>
      <c r="B29" s="11" t="str">
        <f t="shared" si="5"/>
        <v>Central Rivers</v>
      </c>
      <c r="C29" s="22">
        <f>PaymentCodingTotal!C29-('PaymentCodingDetail_Sept-May'!C29*9)</f>
        <v>402141</v>
      </c>
      <c r="D29" s="22">
        <f>PaymentCodingTotal!D29-('PaymentCodingDetail_Sept-May'!D29*9)</f>
        <v>448362</v>
      </c>
      <c r="E29" s="59">
        <f>INDEX(Data[],MATCH($A29,Data[AEA],0),MATCH("Pay 2 Final",Data[#Headers],0))</f>
        <v>3162246</v>
      </c>
      <c r="F29" s="58">
        <f t="shared" si="8"/>
        <v>1781737</v>
      </c>
      <c r="G29" s="60">
        <f t="shared" si="9"/>
        <v>1380509</v>
      </c>
      <c r="K29" s="6">
        <f t="shared" si="10"/>
        <v>0</v>
      </c>
      <c r="L29" s="6">
        <f t="shared" si="6"/>
        <v>0</v>
      </c>
      <c r="M29" s="6">
        <f t="shared" si="7"/>
        <v>0</v>
      </c>
    </row>
    <row r="30" spans="1:13" x14ac:dyDescent="0.25">
      <c r="A30" s="11" t="str">
        <f t="shared" si="5"/>
        <v>09</v>
      </c>
      <c r="B30" s="11" t="str">
        <f t="shared" si="5"/>
        <v>Mississippi Bend AEA 9</v>
      </c>
      <c r="C30" s="22">
        <f>PaymentCodingTotal!C30-('PaymentCodingDetail_Sept-May'!C30*9)</f>
        <v>298895</v>
      </c>
      <c r="D30" s="22">
        <f>PaymentCodingTotal!D30-('PaymentCodingDetail_Sept-May'!D30*9)</f>
        <v>326623</v>
      </c>
      <c r="E30" s="59">
        <f>INDEX(Data[],MATCH($A30,Data[AEA],0),MATCH("Pay 2 Final",Data[#Headers],0))</f>
        <v>2248318</v>
      </c>
      <c r="F30" s="58">
        <f t="shared" si="8"/>
        <v>1245093</v>
      </c>
      <c r="G30" s="60">
        <f t="shared" si="9"/>
        <v>1003225</v>
      </c>
      <c r="K30" s="6">
        <f t="shared" si="10"/>
        <v>0</v>
      </c>
      <c r="L30" s="6">
        <f t="shared" si="6"/>
        <v>0</v>
      </c>
      <c r="M30" s="6">
        <f t="shared" si="7"/>
        <v>0</v>
      </c>
    </row>
    <row r="31" spans="1:13" x14ac:dyDescent="0.25">
      <c r="A31" s="11" t="str">
        <f t="shared" si="5"/>
        <v>10</v>
      </c>
      <c r="B31" s="11" t="str">
        <f t="shared" si="5"/>
        <v>Grant Wood AEA 10</v>
      </c>
      <c r="C31" s="22">
        <f>PaymentCodingTotal!C31-('PaymentCodingDetail_Sept-May'!C31*9)</f>
        <v>458081</v>
      </c>
      <c r="D31" s="22">
        <f>PaymentCodingTotal!D31-('PaymentCodingDetail_Sept-May'!D31*9)</f>
        <v>503551</v>
      </c>
      <c r="E31" s="59">
        <f>INDEX(Data[],MATCH($A31,Data[AEA],0),MATCH("Pay 2 Final",Data[#Headers],0))</f>
        <v>3458128</v>
      </c>
      <c r="F31" s="58">
        <f t="shared" si="8"/>
        <v>1950616</v>
      </c>
      <c r="G31" s="60">
        <f t="shared" si="9"/>
        <v>1507512</v>
      </c>
      <c r="K31" s="6">
        <f t="shared" si="10"/>
        <v>0</v>
      </c>
      <c r="L31" s="6">
        <f t="shared" si="6"/>
        <v>0</v>
      </c>
      <c r="M31" s="6">
        <f t="shared" si="7"/>
        <v>0</v>
      </c>
    </row>
    <row r="32" spans="1:13" x14ac:dyDescent="0.25">
      <c r="A32" s="11" t="str">
        <f t="shared" si="5"/>
        <v>11</v>
      </c>
      <c r="B32" s="11" t="str">
        <f t="shared" si="5"/>
        <v>Heartland AEA 11</v>
      </c>
      <c r="C32" s="22">
        <f>PaymentCodingTotal!C32-('PaymentCodingDetail_Sept-May'!C32*9)</f>
        <v>943001</v>
      </c>
      <c r="D32" s="22">
        <f>PaymentCodingTotal!D32-('PaymentCodingDetail_Sept-May'!D32*9)</f>
        <v>1035879</v>
      </c>
      <c r="E32" s="59">
        <f>INDEX(Data[],MATCH($A32,Data[AEA],0),MATCH("Pay 2 Final",Data[#Headers],0))</f>
        <v>7062814</v>
      </c>
      <c r="F32" s="58">
        <f t="shared" si="8"/>
        <v>4083790</v>
      </c>
      <c r="G32" s="60">
        <f t="shared" si="9"/>
        <v>2979024</v>
      </c>
      <c r="K32" s="6">
        <f t="shared" si="10"/>
        <v>0</v>
      </c>
      <c r="L32" s="6">
        <f t="shared" si="6"/>
        <v>0</v>
      </c>
      <c r="M32" s="6">
        <f t="shared" si="7"/>
        <v>0</v>
      </c>
    </row>
    <row r="33" spans="1:13" x14ac:dyDescent="0.25">
      <c r="A33" s="11" t="str">
        <f t="shared" si="5"/>
        <v>12</v>
      </c>
      <c r="B33" s="11" t="str">
        <f t="shared" si="5"/>
        <v>Northwest AEA</v>
      </c>
      <c r="C33" s="22">
        <f>PaymentCodingTotal!C33-('PaymentCodingDetail_Sept-May'!C33*9)</f>
        <v>282599</v>
      </c>
      <c r="D33" s="22">
        <f>PaymentCodingTotal!D33-('PaymentCodingDetail_Sept-May'!D33*9)</f>
        <v>316442</v>
      </c>
      <c r="E33" s="59">
        <f>INDEX(Data[],MATCH($A33,Data[AEA],0),MATCH("Pay 2 Final",Data[#Headers],0))</f>
        <v>2085974</v>
      </c>
      <c r="F33" s="58">
        <f t="shared" si="8"/>
        <v>1132918</v>
      </c>
      <c r="G33" s="60">
        <f t="shared" si="9"/>
        <v>953056</v>
      </c>
      <c r="K33" s="6">
        <f t="shared" si="10"/>
        <v>0</v>
      </c>
      <c r="L33" s="6">
        <f t="shared" si="6"/>
        <v>0</v>
      </c>
      <c r="M33" s="6">
        <f t="shared" si="7"/>
        <v>0</v>
      </c>
    </row>
    <row r="34" spans="1:13" x14ac:dyDescent="0.25">
      <c r="A34" s="11" t="str">
        <f t="shared" si="5"/>
        <v>13</v>
      </c>
      <c r="B34" s="11" t="str">
        <f t="shared" si="5"/>
        <v>Green Hills AEA 13</v>
      </c>
      <c r="C34" s="22">
        <f>PaymentCodingTotal!C34-('PaymentCodingDetail_Sept-May'!C34*9)</f>
        <v>235324</v>
      </c>
      <c r="D34" s="22">
        <f>PaymentCodingTotal!D34-('PaymentCodingDetail_Sept-May'!D34*9)</f>
        <v>260155</v>
      </c>
      <c r="E34" s="59">
        <f>INDEX(Data[],MATCH($A34,Data[AEA],0),MATCH("Pay 2 Final",Data[#Headers],0))</f>
        <v>1840284</v>
      </c>
      <c r="F34" s="58">
        <f t="shared" si="8"/>
        <v>1039498</v>
      </c>
      <c r="G34" s="60">
        <f t="shared" si="9"/>
        <v>800786</v>
      </c>
      <c r="K34" s="6">
        <f t="shared" si="10"/>
        <v>0</v>
      </c>
      <c r="L34" s="6">
        <f t="shared" si="6"/>
        <v>0</v>
      </c>
      <c r="M34" s="6">
        <f t="shared" si="7"/>
        <v>0</v>
      </c>
    </row>
    <row r="35" spans="1:13" x14ac:dyDescent="0.25">
      <c r="A35" s="11" t="str">
        <f t="shared" si="5"/>
        <v>15</v>
      </c>
      <c r="B35" s="11" t="str">
        <f t="shared" si="5"/>
        <v>Great Prairie AEA 15</v>
      </c>
      <c r="C35" s="22">
        <f>PaymentCodingTotal!C35-('PaymentCodingDetail_Sept-May'!C35*9)</f>
        <v>217512</v>
      </c>
      <c r="D35" s="22">
        <f>PaymentCodingTotal!D35-('PaymentCodingDetail_Sept-May'!D35*9)</f>
        <v>239075</v>
      </c>
      <c r="E35" s="59">
        <f>INDEX(Data[],MATCH($A35,Data[AEA],0),MATCH("Pay 2 Final",Data[#Headers],0))</f>
        <v>1650927</v>
      </c>
      <c r="F35" s="66">
        <f t="shared" si="8"/>
        <v>925273</v>
      </c>
      <c r="G35" s="64">
        <f t="shared" si="9"/>
        <v>725654</v>
      </c>
      <c r="K35" s="6">
        <f t="shared" si="10"/>
        <v>0</v>
      </c>
      <c r="L35" s="6">
        <f t="shared" si="6"/>
        <v>0</v>
      </c>
      <c r="M35" s="6">
        <f t="shared" si="7"/>
        <v>0</v>
      </c>
    </row>
    <row r="36" spans="1:13" ht="15.75" thickBot="1" x14ac:dyDescent="0.3">
      <c r="C36" s="23">
        <f t="shared" ref="C36:E36" si="11">SUM(C27:C35)</f>
        <v>3234484</v>
      </c>
      <c r="D36" s="23">
        <f t="shared" si="11"/>
        <v>3573499</v>
      </c>
      <c r="E36" s="17">
        <f t="shared" si="11"/>
        <v>24485534</v>
      </c>
      <c r="F36" s="67">
        <f>SUM(F27:F35)</f>
        <v>13742625</v>
      </c>
      <c r="G36" s="65">
        <f>SUM(G27:G35)</f>
        <v>10742909</v>
      </c>
      <c r="K36" s="6">
        <f t="shared" si="10"/>
        <v>0</v>
      </c>
      <c r="L36" s="6">
        <f t="shared" si="6"/>
        <v>0</v>
      </c>
      <c r="M36" s="6">
        <f t="shared" si="7"/>
        <v>0</v>
      </c>
    </row>
    <row r="37" spans="1:13" ht="15.75" thickTop="1" x14ac:dyDescent="0.25"/>
    <row r="39" spans="1:13"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DE00-6774-4957-911F-A975DD9CEC5E}">
  <sheetPr>
    <tabColor rgb="FFFFC000"/>
    <pageSetUpPr fitToPage="1"/>
  </sheetPr>
  <dimension ref="A1:L39"/>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32.42578125" hidden="1" customWidth="1"/>
    <col min="12" max="12" width="31.85546875" hidden="1" customWidth="1"/>
    <col min="13" max="13" width="27.5703125" customWidth="1"/>
  </cols>
  <sheetData>
    <row r="1" spans="1:11" ht="45" customHeight="1" x14ac:dyDescent="0.25">
      <c r="A1" s="73" t="str">
        <f>_xlfn.CONCAT("FY ",K2," AEA Enrollments and Cost - Final - State Aid and Property Tax Breakdown")</f>
        <v>FY 2024 AEA Enrollments and Cost - Final - State Aid and Property Tax Breakdown</v>
      </c>
      <c r="B1" s="73"/>
      <c r="C1" s="73"/>
      <c r="D1" s="73"/>
      <c r="E1" s="73"/>
      <c r="F1" s="73"/>
      <c r="G1" s="73"/>
      <c r="H1" s="73"/>
      <c r="I1" s="73"/>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4"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2024</v>
      </c>
    </row>
    <row r="3" spans="1:11" x14ac:dyDescent="0.25">
      <c r="A3" s="21" t="str">
        <f>Data!A2</f>
        <v>01</v>
      </c>
      <c r="B3" s="11" t="str">
        <f>INDEX(Data_Detail[],MATCH(PaymentCodingTotal!$A3,Data_Detail[AEA],0),3)</f>
        <v>Keystone AEA 1</v>
      </c>
      <c r="C3" s="12">
        <f>SUMIFS(INDEX(Data_Detail[],0,MATCH(C$2,Data_Detail[#Headers],0)),Data_Detail[AEA],$A3,Data_Detail[FiscalYear],$K$2)</f>
        <v>11216201</v>
      </c>
      <c r="D3" s="12">
        <f>SUMIFS(INDEX(Data_Detail[],0,MATCH(D$2,Data_Detail[#Headers],0)),Data_Detail[AEA],$A3,Data_Detail[FiscalYear],$K$2)-2</f>
        <v>8505421</v>
      </c>
      <c r="E3" s="12">
        <f>SUMIFS(INDEX(Data_Detail[],0,MATCH(E$2,Data_Detail[#Headers],0)),Data_Detail[AEA],$A3,Data_Detail[FiscalYear],$K$2)</f>
        <v>2094923</v>
      </c>
      <c r="F3" s="58">
        <f t="shared" ref="F3:F11" si="0">D3-E3</f>
        <v>6410498</v>
      </c>
      <c r="G3" s="22">
        <f>SUMIFS(INDEX(Data_Detail[],0,MATCH(G$2,Data_Detail[#Headers],0)),Data_Detail[AEA],$A3,Data_Detail[FiscalYear],$K$2)+2</f>
        <v>2710780</v>
      </c>
      <c r="H3" s="22">
        <f>SUMIFS(INDEX(Data_Detail[],0,MATCH(H$2,Data_Detail[#Headers],0)),Data_Detail[AEA],$A3,Data_Detail[FiscalYear],$K$2)</f>
        <v>10552</v>
      </c>
      <c r="I3" s="57">
        <f>SUM(F3:H3)</f>
        <v>9131830</v>
      </c>
      <c r="K3" s="6">
        <f>G12+D24+H12+C36+D36-G36</f>
        <v>0</v>
      </c>
    </row>
    <row r="4" spans="1:11" x14ac:dyDescent="0.25">
      <c r="A4" s="21" t="str">
        <f>Data!A3</f>
        <v>05</v>
      </c>
      <c r="B4" s="11" t="str">
        <f>INDEX(Data_Detail[],MATCH(PaymentCodingTotal!$A4,Data_Detail[AEA],0),3)</f>
        <v>Prairie Lakes AEA 8</v>
      </c>
      <c r="C4" s="12">
        <f>SUMIFS(INDEX(Data_Detail[],0,MATCH(C$2,Data_Detail[#Headers],0)),Data_Detail[AEA],$A4,Data_Detail[FiscalYear],$K$2)</f>
        <v>11733799</v>
      </c>
      <c r="D4" s="12">
        <f>SUMIFS(INDEX(Data_Detail[],0,MATCH(D$2,Data_Detail[#Headers],0)),Data_Detail[AEA],$A4,Data_Detail[FiscalYear],$K$2)</f>
        <v>9007891</v>
      </c>
      <c r="E4" s="12">
        <f>SUMIFS(INDEX(Data_Detail[],0,MATCH(E$2,Data_Detail[#Headers],0)),Data_Detail[AEA],$A4,Data_Detail[FiscalYear],$K$2)</f>
        <v>2227501</v>
      </c>
      <c r="F4" s="58">
        <f t="shared" si="0"/>
        <v>6780390</v>
      </c>
      <c r="G4" s="22">
        <f>SUMIFS(INDEX(Data_Detail[],0,MATCH(G$2,Data_Detail[#Headers],0)),Data_Detail[AEA],$A4,Data_Detail[FiscalYear],$K$2)</f>
        <v>2725908</v>
      </c>
      <c r="H4" s="22">
        <f>SUMIFS(INDEX(Data_Detail[],0,MATCH(H$2,Data_Detail[#Headers],0)),Data_Detail[AEA],$A4,Data_Detail[FiscalYear],$K$2)</f>
        <v>73537</v>
      </c>
      <c r="I4" s="57">
        <f t="shared" ref="I4:I11" si="1">SUM(F4:H4)</f>
        <v>9579835</v>
      </c>
      <c r="K4" s="6">
        <f>F12+C24+F24+G24-F36</f>
        <v>0</v>
      </c>
    </row>
    <row r="5" spans="1:11" x14ac:dyDescent="0.25">
      <c r="A5" s="21" t="str">
        <f>Data!A4</f>
        <v>07</v>
      </c>
      <c r="B5" s="11" t="str">
        <f>INDEX(Data_Detail[],MATCH(PaymentCodingTotal!$A5,Data_Detail[AEA],0),3)</f>
        <v>Central Rivers</v>
      </c>
      <c r="C5" s="12">
        <f>SUMIFS(INDEX(Data_Detail[],0,MATCH(C$2,Data_Detail[#Headers],0)),Data_Detail[AEA],$A5,Data_Detail[FiscalYear],$K$2)</f>
        <v>23813783</v>
      </c>
      <c r="D5" s="12">
        <f>SUMIFS(INDEX(Data_Detail[],0,MATCH(D$2,Data_Detail[#Headers],0)),Data_Detail[AEA],$A5,Data_Detail[FiscalYear],$K$2)-3</f>
        <v>18640926</v>
      </c>
      <c r="E5" s="12">
        <f>SUMIFS(INDEX(Data_Detail[],0,MATCH(E$2,Data_Detail[#Headers],0)),Data_Detail[AEA],$A5,Data_Detail[FiscalYear],$K$2)</f>
        <v>4134155</v>
      </c>
      <c r="F5" s="58">
        <f t="shared" si="0"/>
        <v>14506771</v>
      </c>
      <c r="G5" s="22">
        <f>SUMIFS(INDEX(Data_Detail[],0,MATCH(G$2,Data_Detail[#Headers],0)),Data_Detail[AEA],$A5,Data_Detail[FiscalYear],$K$2)+3</f>
        <v>5172857</v>
      </c>
      <c r="H5" s="22">
        <f>SUMIFS(INDEX(Data_Detail[],0,MATCH(H$2,Data_Detail[#Headers],0)),Data_Detail[AEA],$A5,Data_Detail[FiscalYear],$K$2)</f>
        <v>120712</v>
      </c>
      <c r="I5" s="57">
        <f t="shared" si="1"/>
        <v>19800340</v>
      </c>
      <c r="K5" s="6">
        <f>F12+E12-D12</f>
        <v>0</v>
      </c>
    </row>
    <row r="6" spans="1:11" x14ac:dyDescent="0.25">
      <c r="A6" s="21" t="str">
        <f>Data!A5</f>
        <v>09</v>
      </c>
      <c r="B6" s="11" t="str">
        <f>INDEX(Data_Detail[],MATCH(PaymentCodingTotal!$A6,Data_Detail[AEA],0),3)</f>
        <v>Mississippi Bend AEA 9</v>
      </c>
      <c r="C6" s="12">
        <f>SUMIFS(INDEX(Data_Detail[],0,MATCH(C$2,Data_Detail[#Headers],0)),Data_Detail[AEA],$A6,Data_Detail[FiscalYear],$K$2)</f>
        <v>17350789</v>
      </c>
      <c r="D6" s="12">
        <f>SUMIFS(INDEX(Data_Detail[],0,MATCH(D$2,Data_Detail[#Headers],0)),Data_Detail[AEA],$A6,Data_Detail[FiscalYear],$K$2)</f>
        <v>13677539</v>
      </c>
      <c r="E6" s="12">
        <f>SUMIFS(INDEX(Data_Detail[],0,MATCH(E$2,Data_Detail[#Headers],0)),Data_Detail[AEA],$A6,Data_Detail[FiscalYear],$K$2)</f>
        <v>3008239</v>
      </c>
      <c r="F6" s="58">
        <f t="shared" si="0"/>
        <v>10669300</v>
      </c>
      <c r="G6" s="22">
        <f>SUMIFS(INDEX(Data_Detail[],0,MATCH(G$2,Data_Detail[#Headers],0)),Data_Detail[AEA],$A6,Data_Detail[FiscalYear],$K$2)</f>
        <v>3673250</v>
      </c>
      <c r="H6" s="22">
        <f>SUMIFS(INDEX(Data_Detail[],0,MATCH(H$2,Data_Detail[#Headers],0)),Data_Detail[AEA],$A6,Data_Detail[FiscalYear],$K$2)</f>
        <v>103802</v>
      </c>
      <c r="I6" s="57">
        <f t="shared" si="1"/>
        <v>14446352</v>
      </c>
      <c r="K6" s="6">
        <f>H12+G12+F12-I12</f>
        <v>0</v>
      </c>
    </row>
    <row r="7" spans="1:11" x14ac:dyDescent="0.25">
      <c r="A7" s="21" t="str">
        <f>Data!A6</f>
        <v>10</v>
      </c>
      <c r="B7" s="11" t="str">
        <f>INDEX(Data_Detail[],MATCH(PaymentCodingTotal!$A7,Data_Detail[AEA],0),3)</f>
        <v>Grant Wood AEA 10</v>
      </c>
      <c r="C7" s="12">
        <f>SUMIFS(INDEX(Data_Detail[],0,MATCH(C$2,Data_Detail[#Headers],0)),Data_Detail[AEA],$A7,Data_Detail[FiscalYear],$K$2)</f>
        <v>25932153</v>
      </c>
      <c r="D7" s="12">
        <f>SUMIFS(INDEX(Data_Detail[],0,MATCH(D$2,Data_Detail[#Headers],0)),Data_Detail[AEA],$A7,Data_Detail[FiscalYear],$K$2)-3</f>
        <v>20560057</v>
      </c>
      <c r="E7" s="12">
        <f>SUMIFS(INDEX(Data_Detail[],0,MATCH(E$2,Data_Detail[#Headers],0)),Data_Detail[AEA],$A7,Data_Detail[FiscalYear],$K$2)</f>
        <v>3820494</v>
      </c>
      <c r="F7" s="58">
        <f t="shared" si="0"/>
        <v>16739563</v>
      </c>
      <c r="G7" s="22">
        <f>SUMIFS(INDEX(Data_Detail[],0,MATCH(G$2,Data_Detail[#Headers],0)),Data_Detail[AEA],$A7,Data_Detail[FiscalYear],$K$2)+3</f>
        <v>5372096</v>
      </c>
      <c r="H7" s="22">
        <f>SUMIFS(INDEX(Data_Detail[],0,MATCH(H$2,Data_Detail[#Headers],0)),Data_Detail[AEA],$A7,Data_Detail[FiscalYear],$K$2)</f>
        <v>80473</v>
      </c>
      <c r="I7" s="57">
        <f t="shared" si="1"/>
        <v>22192132</v>
      </c>
      <c r="K7" s="6">
        <f>C24+D24-E24</f>
        <v>0</v>
      </c>
    </row>
    <row r="8" spans="1:11" x14ac:dyDescent="0.25">
      <c r="A8" s="21" t="str">
        <f>Data!A7</f>
        <v>11</v>
      </c>
      <c r="B8" s="11" t="str">
        <f>INDEX(Data_Detail[],MATCH(PaymentCodingTotal!$A8,Data_Detail[AEA],0),3)</f>
        <v>Heartland AEA 11</v>
      </c>
      <c r="C8" s="12">
        <f>SUMIFS(INDEX(Data_Detail[],0,MATCH(C$2,Data_Detail[#Headers],0)),Data_Detail[AEA],$A8,Data_Detail[FiscalYear],$K$2)</f>
        <v>52548033</v>
      </c>
      <c r="D8" s="12">
        <f>SUMIFS(INDEX(Data_Detail[],0,MATCH(D$2,Data_Detail[#Headers],0)),Data_Detail[AEA],$A8,Data_Detail[FiscalYear],$K$2)</f>
        <v>42569907</v>
      </c>
      <c r="E8" s="12">
        <f>SUMIFS(INDEX(Data_Detail[],0,MATCH(E$2,Data_Detail[#Headers],0)),Data_Detail[AEA],$A8,Data_Detail[FiscalYear],$K$2)</f>
        <v>6768337</v>
      </c>
      <c r="F8" s="58">
        <f t="shared" si="0"/>
        <v>35801570</v>
      </c>
      <c r="G8" s="22">
        <f>SUMIFS(INDEX(Data_Detail[],0,MATCH(G$2,Data_Detail[#Headers],0)),Data_Detail[AEA],$A8,Data_Detail[FiscalYear],$K$2)</f>
        <v>9978126</v>
      </c>
      <c r="H8" s="22">
        <f>SUMIFS(INDEX(Data_Detail[],0,MATCH(H$2,Data_Detail[#Headers],0)),Data_Detail[AEA],$A8,Data_Detail[FiscalYear],$K$2)</f>
        <v>23368</v>
      </c>
      <c r="I8" s="57">
        <f t="shared" si="1"/>
        <v>45803064</v>
      </c>
    </row>
    <row r="9" spans="1:11" x14ac:dyDescent="0.25">
      <c r="A9" s="21" t="str">
        <f>Data!A8</f>
        <v>12</v>
      </c>
      <c r="B9" s="11" t="str">
        <f>INDEX(Data_Detail[],MATCH(PaymentCodingTotal!$A9,Data_Detail[AEA],0),3)</f>
        <v>Northwest AEA</v>
      </c>
      <c r="C9" s="12">
        <f>SUMIFS(INDEX(Data_Detail[],0,MATCH(C$2,Data_Detail[#Headers],0)),Data_Detail[AEA],$A9,Data_Detail[FiscalYear],$K$2)</f>
        <v>15581675</v>
      </c>
      <c r="D9" s="12">
        <f>SUMIFS(INDEX(Data_Detail[],0,MATCH(D$2,Data_Detail[#Headers],0)),Data_Detail[AEA],$A9,Data_Detail[FiscalYear],$K$2)-2</f>
        <v>12080237</v>
      </c>
      <c r="E9" s="12">
        <f>SUMIFS(INDEX(Data_Detail[],0,MATCH(E$2,Data_Detail[#Headers],0)),Data_Detail[AEA],$A9,Data_Detail[FiscalYear],$K$2)</f>
        <v>2531689</v>
      </c>
      <c r="F9" s="58">
        <f t="shared" si="0"/>
        <v>9548548</v>
      </c>
      <c r="G9" s="22">
        <f>SUMIFS(INDEX(Data_Detail[],0,MATCH(G$2,Data_Detail[#Headers],0)),Data_Detail[AEA],$A9,Data_Detail[FiscalYear],$K$2)+2</f>
        <v>3501438</v>
      </c>
      <c r="H9" s="22">
        <f>SUMIFS(INDEX(Data_Detail[],0,MATCH(H$2,Data_Detail[#Headers],0)),Data_Detail[AEA],$A9,Data_Detail[FiscalYear],$K$2)</f>
        <v>31999</v>
      </c>
      <c r="I9" s="57">
        <f t="shared" si="1"/>
        <v>13081985</v>
      </c>
    </row>
    <row r="10" spans="1:11" x14ac:dyDescent="0.25">
      <c r="A10" s="21" t="str">
        <f>Data!A9</f>
        <v>13</v>
      </c>
      <c r="B10" s="11" t="str">
        <f>INDEX(Data_Detail[],MATCH(PaymentCodingTotal!$A10,Data_Detail[AEA],0),3)</f>
        <v>Green Hills AEA 13</v>
      </c>
      <c r="C10" s="12">
        <f>SUMIFS(INDEX(Data_Detail[],0,MATCH(C$2,Data_Detail[#Headers],0)),Data_Detail[AEA],$A10,Data_Detail[FiscalYear],$K$2)</f>
        <v>14310536</v>
      </c>
      <c r="D10" s="12">
        <f>SUMIFS(INDEX(Data_Detail[],0,MATCH(D$2,Data_Detail[#Headers],0)),Data_Detail[AEA],$A10,Data_Detail[FiscalYear],$K$2)-1</f>
        <v>11313350</v>
      </c>
      <c r="E10" s="12">
        <f>SUMIFS(INDEX(Data_Detail[],0,MATCH(E$2,Data_Detail[#Headers],0)),Data_Detail[AEA],$A10,Data_Detail[FiscalYear],$K$2)</f>
        <v>2572196</v>
      </c>
      <c r="F10" s="58">
        <f t="shared" si="0"/>
        <v>8741154</v>
      </c>
      <c r="G10" s="22">
        <f>SUMIFS(INDEX(Data_Detail[],0,MATCH(G$2,Data_Detail[#Headers],0)),Data_Detail[AEA],$A10,Data_Detail[FiscalYear],$K$2)+1</f>
        <v>2997186</v>
      </c>
      <c r="H10" s="22">
        <f>SUMIFS(INDEX(Data_Detail[],0,MATCH(H$2,Data_Detail[#Headers],0)),Data_Detail[AEA],$A10,Data_Detail[FiscalYear],$K$2)</f>
        <v>49638</v>
      </c>
      <c r="I10" s="57">
        <f t="shared" si="1"/>
        <v>11787978</v>
      </c>
    </row>
    <row r="11" spans="1:11" x14ac:dyDescent="0.25">
      <c r="A11" s="21" t="str">
        <f>Data!A10</f>
        <v>15</v>
      </c>
      <c r="B11" s="11" t="str">
        <f>INDEX(Data_Detail[],MATCH(PaymentCodingTotal!$A11,Data_Detail[AEA],0),3)</f>
        <v>Great Prairie AEA 15</v>
      </c>
      <c r="C11" s="12">
        <f>SUMIFS(INDEX(Data_Detail[],0,MATCH(C$2,Data_Detail[#Headers],0)),Data_Detail[AEA],$A11,Data_Detail[FiscalYear],$K$2)</f>
        <v>12798057</v>
      </c>
      <c r="D11" s="12">
        <f>SUMIFS(INDEX(Data_Detail[],0,MATCH(D$2,Data_Detail[#Headers],0)),Data_Detail[AEA],$A11,Data_Detail[FiscalYear],$K$2)-4</f>
        <v>10198269</v>
      </c>
      <c r="E11" s="12">
        <f>SUMIFS(INDEX(Data_Detail[],0,MATCH(E$2,Data_Detail[#Headers],0)),Data_Detail[AEA],$A11,Data_Detail[FiscalYear],$K$2)</f>
        <v>2399597</v>
      </c>
      <c r="F11" s="58">
        <f t="shared" si="0"/>
        <v>7798672</v>
      </c>
      <c r="G11" s="22">
        <f>SUMIFS(INDEX(Data_Detail[],0,MATCH(G$2,Data_Detail[#Headers],0)),Data_Detail[AEA],$A11,Data_Detail[FiscalYear],$K$2)+4</f>
        <v>2599788</v>
      </c>
      <c r="H11" s="22">
        <f>SUMIFS(INDEX(Data_Detail[],0,MATCH(H$2,Data_Detail[#Headers],0)),Data_Detail[AEA],$A11,Data_Detail[FiscalYear],$K$2)</f>
        <v>84859</v>
      </c>
      <c r="I11" s="57">
        <f t="shared" si="1"/>
        <v>10483319</v>
      </c>
    </row>
    <row r="12" spans="1:11" ht="15.75" thickBot="1" x14ac:dyDescent="0.3">
      <c r="C12" s="13">
        <f>SUM(C3:C11)</f>
        <v>185285026</v>
      </c>
      <c r="D12" s="13">
        <f t="shared" ref="D12:I12" si="2">SUM(D3:D11)</f>
        <v>146553597</v>
      </c>
      <c r="E12" s="13">
        <f t="shared" si="2"/>
        <v>29557131</v>
      </c>
      <c r="F12" s="44">
        <f>SUM(F3:F11)</f>
        <v>116996466</v>
      </c>
      <c r="G12" s="15">
        <f t="shared" si="2"/>
        <v>38731429</v>
      </c>
      <c r="H12" s="16">
        <f>SUM(H3:H11)</f>
        <v>578940</v>
      </c>
      <c r="I12" s="17">
        <f t="shared" si="2"/>
        <v>156306835</v>
      </c>
    </row>
    <row r="13" spans="1:11" ht="7.5" customHeight="1" thickTop="1" x14ac:dyDescent="0.25"/>
    <row r="14" spans="1:11" ht="45" x14ac:dyDescent="0.25">
      <c r="A14" s="18" t="str">
        <f t="shared" ref="A14:B23" si="3">A2</f>
        <v>AEA</v>
      </c>
      <c r="B14" s="18" t="str">
        <f t="shared" si="3"/>
        <v>AEA Name</v>
      </c>
      <c r="C14" s="24"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4" t="str">
        <f>Data_Detail[[#Headers],[AEA Teacher Salary Supplement District Cost]]</f>
        <v>AEA Teacher Salary Supplement District Cost</v>
      </c>
      <c r="G14" s="24" t="str">
        <f>Data_Detail[[#Headers],[AEA Professional Development Supplement District Cost]]</f>
        <v>AEA Professional Development Supplement District Cost</v>
      </c>
    </row>
    <row r="15" spans="1:11" x14ac:dyDescent="0.25">
      <c r="A15" s="19" t="str">
        <f t="shared" si="3"/>
        <v>01</v>
      </c>
      <c r="B15" s="19" t="str">
        <f t="shared" si="3"/>
        <v>Keystone AEA 1</v>
      </c>
      <c r="C15" s="25">
        <f>SUMIFS(INDEX(Data_Detail[],0,MATCH(C$14,Data_Detail[#Headers],0)),Data_Detail[AEA],$A15,Data_Detail[FiscalYear],$K$2)</f>
        <v>22751</v>
      </c>
      <c r="D15" s="22">
        <f>SUMIFS(INDEX(Data_Detail[],0,MATCH(D$14,Data_Detail[#Headers],0)),Data_Detail[AEA],$A15,Data_Detail[FiscalYear],$K$2)</f>
        <v>7250</v>
      </c>
      <c r="E15" s="60">
        <f>SUM(C15:D15)</f>
        <v>30001</v>
      </c>
      <c r="F15" s="25">
        <f>SUMIFS(INDEX(Data_Detail[],0,MATCH(F$14,Data_Detail[#Headers],0)),Data_Detail[AEA],$A15,Data_Detail[FiscalYear],$K$2)</f>
        <v>1110571</v>
      </c>
      <c r="G15" s="25">
        <f>SUMIFS(INDEX(Data_Detail[],0,MATCH(G$14,Data_Detail[#Headers],0)),Data_Detail[AEA],$A15,Data_Detail[FiscalYear],$K$2)</f>
        <v>120492</v>
      </c>
    </row>
    <row r="16" spans="1:11" x14ac:dyDescent="0.25">
      <c r="A16" s="19" t="str">
        <f t="shared" si="3"/>
        <v>05</v>
      </c>
      <c r="B16" s="19" t="str">
        <f t="shared" si="3"/>
        <v>Prairie Lakes AEA 8</v>
      </c>
      <c r="C16" s="25">
        <f>SUMIFS(INDEX(Data_Detail[],0,MATCH(C$14,Data_Detail[#Headers],0)),Data_Detail[AEA],$A16,Data_Detail[FiscalYear],$K$2)</f>
        <v>0</v>
      </c>
      <c r="D16" s="22">
        <f>SUMIFS(INDEX(Data_Detail[],0,MATCH(D$14,Data_Detail[#Headers],0)),Data_Detail[AEA],$A16,Data_Detail[FiscalYear],$K$2)</f>
        <v>0</v>
      </c>
      <c r="E16" s="60">
        <f t="shared" ref="E16:E23" si="4">SUM(C16:D16)</f>
        <v>0</v>
      </c>
      <c r="F16" s="25">
        <f>SUMIFS(INDEX(Data_Detail[],0,MATCH(F$14,Data_Detail[#Headers],0)),Data_Detail[AEA],$A16,Data_Detail[FiscalYear],$K$2)</f>
        <v>1244494</v>
      </c>
      <c r="G16" s="25">
        <f>SUMIFS(INDEX(Data_Detail[],0,MATCH(G$14,Data_Detail[#Headers],0)),Data_Detail[AEA],$A16,Data_Detail[FiscalYear],$K$2)</f>
        <v>147912</v>
      </c>
      <c r="H16" s="74" t="s">
        <v>79</v>
      </c>
    </row>
    <row r="17" spans="1:12" x14ac:dyDescent="0.25">
      <c r="A17" s="19" t="str">
        <f t="shared" si="3"/>
        <v>07</v>
      </c>
      <c r="B17" s="19" t="str">
        <f t="shared" si="3"/>
        <v>Central Rivers</v>
      </c>
      <c r="C17" s="25">
        <f>SUMIFS(INDEX(Data_Detail[],0,MATCH(C$14,Data_Detail[#Headers],0)),Data_Detail[AEA],$A17,Data_Detail[FiscalYear],$K$2)</f>
        <v>23483</v>
      </c>
      <c r="D17" s="22">
        <f>SUMIFS(INDEX(Data_Detail[],0,MATCH(D$14,Data_Detail[#Headers],0)),Data_Detail[AEA],$A17,Data_Detail[FiscalYear],$K$2)</f>
        <v>6518</v>
      </c>
      <c r="E17" s="60">
        <f t="shared" si="4"/>
        <v>30001</v>
      </c>
      <c r="F17" s="25">
        <f>SUMIFS(INDEX(Data_Detail[],0,MATCH(F$14,Data_Detail[#Headers],0)),Data_Detail[AEA],$A17,Data_Detail[FiscalYear],$K$2)</f>
        <v>2947977</v>
      </c>
      <c r="G17" s="25">
        <f>SUMIFS(INDEX(Data_Detail[],0,MATCH(G$14,Data_Detail[#Headers],0)),Data_Detail[AEA],$A17,Data_Detail[FiscalYear],$K$2)</f>
        <v>339319</v>
      </c>
      <c r="H17" s="74"/>
    </row>
    <row r="18" spans="1:12" x14ac:dyDescent="0.25">
      <c r="A18" s="19" t="str">
        <f t="shared" si="3"/>
        <v>09</v>
      </c>
      <c r="B18" s="19" t="str">
        <f t="shared" si="3"/>
        <v>Mississippi Bend AEA 9</v>
      </c>
      <c r="C18" s="25">
        <f>SUMIFS(INDEX(Data_Detail[],0,MATCH(C$14,Data_Detail[#Headers],0)),Data_Detail[AEA],$A18,Data_Detail[FiscalYear],$K$2)</f>
        <v>0</v>
      </c>
      <c r="D18" s="22">
        <f>SUMIFS(INDEX(Data_Detail[],0,MATCH(D$14,Data_Detail[#Headers],0)),Data_Detail[AEA],$A18,Data_Detail[FiscalYear],$K$2)</f>
        <v>0</v>
      </c>
      <c r="E18" s="60">
        <f t="shared" si="4"/>
        <v>0</v>
      </c>
      <c r="F18" s="25">
        <f>SUMIFS(INDEX(Data_Detail[],0,MATCH(F$14,Data_Detail[#Headers],0)),Data_Detail[AEA],$A18,Data_Detail[FiscalYear],$K$2)</f>
        <v>1594669</v>
      </c>
      <c r="G18" s="25">
        <f>SUMIFS(INDEX(Data_Detail[],0,MATCH(G$14,Data_Detail[#Headers],0)),Data_Detail[AEA],$A18,Data_Detail[FiscalYear],$K$2)</f>
        <v>187087</v>
      </c>
      <c r="H18" s="75" t="s">
        <v>731</v>
      </c>
    </row>
    <row r="19" spans="1:12" x14ac:dyDescent="0.25">
      <c r="A19" s="19" t="str">
        <f t="shared" si="3"/>
        <v>10</v>
      </c>
      <c r="B19" s="19" t="str">
        <f t="shared" si="3"/>
        <v>Grant Wood AEA 10</v>
      </c>
      <c r="C19" s="25">
        <f>SUMIFS(INDEX(Data_Detail[],0,MATCH(C$14,Data_Detail[#Headers],0)),Data_Detail[AEA],$A19,Data_Detail[FiscalYear],$K$2)</f>
        <v>23788</v>
      </c>
      <c r="D19" s="22">
        <f>SUMIFS(INDEX(Data_Detail[],0,MATCH(D$14,Data_Detail[#Headers],0)),Data_Detail[AEA],$A19,Data_Detail[FiscalYear],$K$2)</f>
        <v>6213</v>
      </c>
      <c r="E19" s="60">
        <f t="shared" si="4"/>
        <v>30001</v>
      </c>
      <c r="F19" s="25">
        <f>SUMIFS(INDEX(Data_Detail[],0,MATCH(F$14,Data_Detail[#Headers],0)),Data_Detail[AEA],$A19,Data_Detail[FiscalYear],$K$2)</f>
        <v>2456867</v>
      </c>
      <c r="G19" s="25">
        <f>SUMIFS(INDEX(Data_Detail[],0,MATCH(G$14,Data_Detail[#Headers],0)),Data_Detail[AEA],$A19,Data_Detail[FiscalYear],$K$2)</f>
        <v>286050</v>
      </c>
      <c r="H19" s="75"/>
    </row>
    <row r="20" spans="1:12" x14ac:dyDescent="0.25">
      <c r="A20" s="19" t="str">
        <f t="shared" si="3"/>
        <v>11</v>
      </c>
      <c r="B20" s="19" t="str">
        <f t="shared" si="3"/>
        <v>Heartland AEA 11</v>
      </c>
      <c r="C20" s="25">
        <f>SUMIFS(INDEX(Data_Detail[],0,MATCH(C$14,Data_Detail[#Headers],0)),Data_Detail[AEA],$A20,Data_Detail[FiscalYear],$K$2)</f>
        <v>0</v>
      </c>
      <c r="D20" s="22">
        <f>SUMIFS(INDEX(Data_Detail[],0,MATCH(D$14,Data_Detail[#Headers],0)),Data_Detail[AEA],$A20,Data_Detail[FiscalYear],$K$2)</f>
        <v>0</v>
      </c>
      <c r="E20" s="60">
        <f t="shared" si="4"/>
        <v>0</v>
      </c>
      <c r="F20" s="25">
        <f>SUMIFS(INDEX(Data_Detail[],0,MATCH(F$14,Data_Detail[#Headers],0)),Data_Detail[AEA],$A20,Data_Detail[FiscalYear],$K$2)</f>
        <v>4475270</v>
      </c>
      <c r="G20" s="25">
        <f>SUMIFS(INDEX(Data_Detail[],0,MATCH(G$14,Data_Detail[#Headers],0)),Data_Detail[AEA],$A20,Data_Detail[FiscalYear],$K$2)</f>
        <v>561231</v>
      </c>
    </row>
    <row r="21" spans="1:12" x14ac:dyDescent="0.25">
      <c r="A21" s="19" t="str">
        <f t="shared" si="3"/>
        <v>12</v>
      </c>
      <c r="B21" s="19" t="str">
        <f t="shared" si="3"/>
        <v>Northwest AEA</v>
      </c>
      <c r="C21" s="25">
        <f>SUMIFS(INDEX(Data_Detail[],0,MATCH(C$14,Data_Detail[#Headers],0)),Data_Detail[AEA],$A21,Data_Detail[FiscalYear],$K$2)</f>
        <v>23261</v>
      </c>
      <c r="D21" s="22">
        <f>SUMIFS(INDEX(Data_Detail[],0,MATCH(D$14,Data_Detail[#Headers],0)),Data_Detail[AEA],$A21,Data_Detail[FiscalYear],$K$2)</f>
        <v>6740</v>
      </c>
      <c r="E21" s="60">
        <f t="shared" si="4"/>
        <v>30001</v>
      </c>
      <c r="F21" s="25">
        <f>SUMIFS(INDEX(Data_Detail[],0,MATCH(F$14,Data_Detail[#Headers],0)),Data_Detail[AEA],$A21,Data_Detail[FiscalYear],$K$2)</f>
        <v>1570341</v>
      </c>
      <c r="G21" s="25">
        <f>SUMIFS(INDEX(Data_Detail[],0,MATCH(G$14,Data_Detail[#Headers],0)),Data_Detail[AEA],$A21,Data_Detail[FiscalYear],$K$2)</f>
        <v>187192</v>
      </c>
    </row>
    <row r="22" spans="1:12" x14ac:dyDescent="0.25">
      <c r="A22" s="19" t="str">
        <f t="shared" si="3"/>
        <v>13</v>
      </c>
      <c r="B22" s="19" t="str">
        <f t="shared" si="3"/>
        <v>Green Hills AEA 13</v>
      </c>
      <c r="C22" s="25">
        <f>SUMIFS(INDEX(Data_Detail[],0,MATCH(C$14,Data_Detail[#Headers],0)),Data_Detail[AEA],$A22,Data_Detail[FiscalYear],$K$2)</f>
        <v>23720</v>
      </c>
      <c r="D22" s="22">
        <f>SUMIFS(INDEX(Data_Detail[],0,MATCH(D$14,Data_Detail[#Headers],0)),Data_Detail[AEA],$A22,Data_Detail[FiscalYear],$K$2)</f>
        <v>6282</v>
      </c>
      <c r="E22" s="60">
        <f t="shared" si="4"/>
        <v>30002</v>
      </c>
      <c r="F22" s="25">
        <f>SUMIFS(INDEX(Data_Detail[],0,MATCH(F$14,Data_Detail[#Headers],0)),Data_Detail[AEA],$A22,Data_Detail[FiscalYear],$K$2)</f>
        <v>1471486</v>
      </c>
      <c r="G22" s="25">
        <f>SUMIFS(INDEX(Data_Detail[],0,MATCH(G$14,Data_Detail[#Headers],0)),Data_Detail[AEA],$A22,Data_Detail[FiscalYear],$K$2)</f>
        <v>158737</v>
      </c>
    </row>
    <row r="23" spans="1:12" x14ac:dyDescent="0.25">
      <c r="A23" s="19" t="str">
        <f t="shared" si="3"/>
        <v>15</v>
      </c>
      <c r="B23" s="19" t="str">
        <f t="shared" si="3"/>
        <v>Great Prairie AEA 15</v>
      </c>
      <c r="C23" s="25">
        <f>SUMIFS(INDEX(Data_Detail[],0,MATCH(C$14,Data_Detail[#Headers],0)),Data_Detail[AEA],$A23,Data_Detail[FiscalYear],$K$2)</f>
        <v>23905</v>
      </c>
      <c r="D23" s="22">
        <f>SUMIFS(INDEX(Data_Detail[],0,MATCH(D$14,Data_Detail[#Headers],0)),Data_Detail[AEA],$A23,Data_Detail[FiscalYear],$K$2)</f>
        <v>6095</v>
      </c>
      <c r="E23" s="60">
        <f t="shared" si="4"/>
        <v>30000</v>
      </c>
      <c r="F23" s="25">
        <f>SUMIFS(INDEX(Data_Detail[],0,MATCH(F$14,Data_Detail[#Headers],0)),Data_Detail[AEA],$A23,Data_Detail[FiscalYear],$K$2)</f>
        <v>1289025</v>
      </c>
      <c r="G23" s="25">
        <f>SUMIFS(INDEX(Data_Detail[],0,MATCH(G$14,Data_Detail[#Headers],0)),Data_Detail[AEA],$A23,Data_Detail[FiscalYear],$K$2)</f>
        <v>141245</v>
      </c>
    </row>
    <row r="24" spans="1:12" ht="15.75" thickBot="1" x14ac:dyDescent="0.3">
      <c r="A24" s="20"/>
      <c r="B24" s="20"/>
      <c r="C24" s="14">
        <f>SUM(C15:C23)</f>
        <v>140908</v>
      </c>
      <c r="D24" s="15">
        <f>SUM(D15:D23)</f>
        <v>39098</v>
      </c>
      <c r="E24" s="23">
        <f>SUM(E15:E23)</f>
        <v>180006</v>
      </c>
      <c r="F24" s="26">
        <f>SUM(F15:F23)</f>
        <v>18160700</v>
      </c>
      <c r="G24" s="26">
        <f>SUM(G15:G23)</f>
        <v>2129265</v>
      </c>
      <c r="K24" s="76" t="s">
        <v>744</v>
      </c>
      <c r="L24" s="78" t="s">
        <v>742</v>
      </c>
    </row>
    <row r="25" spans="1:12" ht="7.5" customHeight="1" thickTop="1" x14ac:dyDescent="0.25">
      <c r="A25" s="20"/>
      <c r="B25" s="20"/>
      <c r="F25" s="6"/>
      <c r="G25" s="6"/>
      <c r="H25" s="6"/>
      <c r="K25" s="76"/>
      <c r="L25" s="78"/>
    </row>
    <row r="26" spans="1:12" ht="30" customHeight="1" x14ac:dyDescent="0.25">
      <c r="A26" s="18" t="str">
        <f t="shared" ref="A26:B35" si="5">A14</f>
        <v>AEA</v>
      </c>
      <c r="B26" s="18"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4" t="str">
        <f>Data_Detail[[#Headers],[State Aid Portion]]</f>
        <v>State Aid Portion</v>
      </c>
      <c r="G26" s="9" t="str">
        <f>Data_Detail[[#Headers],[Property Tax Portion]]</f>
        <v>Property Tax Portion</v>
      </c>
      <c r="K26" s="77"/>
      <c r="L26" s="79"/>
    </row>
    <row r="27" spans="1:12" x14ac:dyDescent="0.25">
      <c r="A27" s="11" t="str">
        <f t="shared" si="5"/>
        <v>01</v>
      </c>
      <c r="B27" s="11" t="str">
        <f t="shared" si="5"/>
        <v>Keystone AEA 1</v>
      </c>
      <c r="C27" s="22">
        <f>SUMIFS(INDEX(Data_Detail[],0,MATCH(C$26,Data_Detail[#Headers],0)),Data_Detail[AEA],$A27,Data_Detail[FiscalYear],$K$2)</f>
        <v>1969358</v>
      </c>
      <c r="D27" s="22">
        <f>SUMIFS(INDEX(Data_Detail[],0,MATCH(D$26,Data_Detail[#Headers],0)),Data_Detail[AEA],$A27,Data_Detail[FiscalYear],$K$2)</f>
        <v>2193922</v>
      </c>
      <c r="E27" s="57">
        <f>SUMIFS(INDEX(Data_Detail[],0,MATCH(E$26,Data_Detail[#Headers],0)),Data_Detail[AEA],$A27,Data_Detail[FiscalYear],$K$2)</f>
        <v>14556174</v>
      </c>
      <c r="F27" s="58">
        <f>SUMIFS(INDEX(Data_Detail[],0,MATCH(F$26,Data_Detail[#Headers],0)),Data_Detail[AEA],$A27,Data_Detail[FiscalYear],$K$2)</f>
        <v>7664312</v>
      </c>
      <c r="G27" s="60">
        <f>SUMIFS(INDEX(Data_Detail[],0,MATCH(G$26,Data_Detail[#Headers],0)),Data_Detail[AEA],$A27,Data_Detail[FiscalYear],$K$2)</f>
        <v>6891862</v>
      </c>
      <c r="J27" s="6"/>
      <c r="K27" s="6">
        <f t="shared" ref="K27:K35" si="6">F27-G15-F15-C15-F3</f>
        <v>0</v>
      </c>
      <c r="L27" s="6">
        <f t="shared" ref="L27:L35" si="7">G27-D27-C27-D15-H3-G3</f>
        <v>0</v>
      </c>
    </row>
    <row r="28" spans="1:12" x14ac:dyDescent="0.25">
      <c r="A28" s="11" t="str">
        <f t="shared" si="5"/>
        <v>05</v>
      </c>
      <c r="B28" s="11" t="str">
        <f t="shared" si="5"/>
        <v>Prairie Lakes AEA 8</v>
      </c>
      <c r="C28" s="22">
        <f>SUMIFS(INDEX(Data_Detail[],0,MATCH(C$26,Data_Detail[#Headers],0)),Data_Detail[AEA],$A28,Data_Detail[FiscalYear],$K$2)</f>
        <v>1999952</v>
      </c>
      <c r="D28" s="22">
        <f>SUMIFS(INDEX(Data_Detail[],0,MATCH(D$26,Data_Detail[#Headers],0)),Data_Detail[AEA],$A28,Data_Detail[FiscalYear],$K$2)</f>
        <v>2240189</v>
      </c>
      <c r="E28" s="57">
        <f>SUMIFS(INDEX(Data_Detail[],0,MATCH(E$26,Data_Detail[#Headers],0)),Data_Detail[AEA],$A28,Data_Detail[FiscalYear],$K$2)</f>
        <v>15212382</v>
      </c>
      <c r="F28" s="58">
        <f>SUMIFS(INDEX(Data_Detail[],0,MATCH(F$26,Data_Detail[#Headers],0)),Data_Detail[AEA],$A28,Data_Detail[FiscalYear],$K$2)</f>
        <v>8172796</v>
      </c>
      <c r="G28" s="60">
        <f>SUMIFS(INDEX(Data_Detail[],0,MATCH(G$26,Data_Detail[#Headers],0)),Data_Detail[AEA],$A28,Data_Detail[FiscalYear],$K$2)</f>
        <v>7039586</v>
      </c>
      <c r="J28" s="6"/>
      <c r="K28" s="6">
        <f t="shared" si="6"/>
        <v>0</v>
      </c>
      <c r="L28" s="6">
        <f t="shared" si="7"/>
        <v>0</v>
      </c>
    </row>
    <row r="29" spans="1:12" x14ac:dyDescent="0.25">
      <c r="A29" s="11" t="str">
        <f t="shared" si="5"/>
        <v>07</v>
      </c>
      <c r="B29" s="11" t="str">
        <f t="shared" si="5"/>
        <v>Central Rivers</v>
      </c>
      <c r="C29" s="22">
        <f>SUMIFS(INDEX(Data_Detail[],0,MATCH(C$26,Data_Detail[#Headers],0)),Data_Detail[AEA],$A29,Data_Detail[FiscalYear],$K$2)</f>
        <v>4021446</v>
      </c>
      <c r="D29" s="22">
        <f>SUMIFS(INDEX(Data_Detail[],0,MATCH(D$26,Data_Detail[#Headers],0)),Data_Detail[AEA],$A29,Data_Detail[FiscalYear],$K$2)</f>
        <v>4483647</v>
      </c>
      <c r="E29" s="57">
        <f>SUMIFS(INDEX(Data_Detail[],0,MATCH(E$26,Data_Detail[#Headers],0)),Data_Detail[AEA],$A29,Data_Detail[FiscalYear],$K$2)</f>
        <v>31622730</v>
      </c>
      <c r="F29" s="58">
        <f>SUMIFS(INDEX(Data_Detail[],0,MATCH(F$26,Data_Detail[#Headers],0)),Data_Detail[AEA],$A29,Data_Detail[FiscalYear],$K$2)</f>
        <v>17817550</v>
      </c>
      <c r="G29" s="60">
        <f>SUMIFS(INDEX(Data_Detail[],0,MATCH(G$26,Data_Detail[#Headers],0)),Data_Detail[AEA],$A29,Data_Detail[FiscalYear],$K$2)</f>
        <v>13805180</v>
      </c>
      <c r="J29" s="6"/>
      <c r="K29" s="6">
        <f t="shared" si="6"/>
        <v>0</v>
      </c>
      <c r="L29" s="6">
        <f t="shared" si="7"/>
        <v>0</v>
      </c>
    </row>
    <row r="30" spans="1:12" x14ac:dyDescent="0.25">
      <c r="A30" s="11" t="str">
        <f t="shared" si="5"/>
        <v>09</v>
      </c>
      <c r="B30" s="11" t="str">
        <f t="shared" si="5"/>
        <v>Mississippi Bend AEA 9</v>
      </c>
      <c r="C30" s="22">
        <f>SUMIFS(INDEX(Data_Detail[],0,MATCH(C$26,Data_Detail[#Headers],0)),Data_Detail[AEA],$A30,Data_Detail[FiscalYear],$K$2)</f>
        <v>2988923</v>
      </c>
      <c r="D30" s="22">
        <f>SUMIFS(INDEX(Data_Detail[],0,MATCH(D$26,Data_Detail[#Headers],0)),Data_Detail[AEA],$A30,Data_Detail[FiscalYear],$K$2)</f>
        <v>3266212</v>
      </c>
      <c r="E30" s="57">
        <f>SUMIFS(INDEX(Data_Detail[],0,MATCH(E$26,Data_Detail[#Headers],0)),Data_Detail[AEA],$A30,Data_Detail[FiscalYear],$K$2)</f>
        <v>22483243</v>
      </c>
      <c r="F30" s="58">
        <f>SUMIFS(INDEX(Data_Detail[],0,MATCH(F$26,Data_Detail[#Headers],0)),Data_Detail[AEA],$A30,Data_Detail[FiscalYear],$K$2)</f>
        <v>12451056</v>
      </c>
      <c r="G30" s="60">
        <f>SUMIFS(INDEX(Data_Detail[],0,MATCH(G$26,Data_Detail[#Headers],0)),Data_Detail[AEA],$A30,Data_Detail[FiscalYear],$K$2)</f>
        <v>10032187</v>
      </c>
      <c r="J30" s="6"/>
      <c r="K30" s="6">
        <f t="shared" si="6"/>
        <v>0</v>
      </c>
      <c r="L30" s="6">
        <f t="shared" si="7"/>
        <v>0</v>
      </c>
    </row>
    <row r="31" spans="1:12" x14ac:dyDescent="0.25">
      <c r="A31" s="11" t="str">
        <f t="shared" si="5"/>
        <v>10</v>
      </c>
      <c r="B31" s="11" t="str">
        <f t="shared" si="5"/>
        <v>Grant Wood AEA 10</v>
      </c>
      <c r="C31" s="22">
        <f>SUMIFS(INDEX(Data_Detail[],0,MATCH(C$26,Data_Detail[#Headers],0)),Data_Detail[AEA],$A31,Data_Detail[FiscalYear],$K$2)</f>
        <v>4580882</v>
      </c>
      <c r="D31" s="22">
        <f>SUMIFS(INDEX(Data_Detail[],0,MATCH(D$26,Data_Detail[#Headers],0)),Data_Detail[AEA],$A31,Data_Detail[FiscalYear],$K$2)</f>
        <v>5035582</v>
      </c>
      <c r="E31" s="57">
        <f>SUMIFS(INDEX(Data_Detail[],0,MATCH(E$26,Data_Detail[#Headers],0)),Data_Detail[AEA],$A31,Data_Detail[FiscalYear],$K$2)</f>
        <v>34581514</v>
      </c>
      <c r="F31" s="58">
        <f>SUMIFS(INDEX(Data_Detail[],0,MATCH(F$26,Data_Detail[#Headers],0)),Data_Detail[AEA],$A31,Data_Detail[FiscalYear],$K$2)</f>
        <v>19506268</v>
      </c>
      <c r="G31" s="60">
        <f>SUMIFS(INDEX(Data_Detail[],0,MATCH(G$26,Data_Detail[#Headers],0)),Data_Detail[AEA],$A31,Data_Detail[FiscalYear],$K$2)</f>
        <v>15075246</v>
      </c>
      <c r="J31" s="6"/>
      <c r="K31" s="6">
        <f t="shared" si="6"/>
        <v>0</v>
      </c>
      <c r="L31" s="6">
        <f t="shared" si="7"/>
        <v>0</v>
      </c>
    </row>
    <row r="32" spans="1:12" x14ac:dyDescent="0.25">
      <c r="A32" s="11" t="str">
        <f t="shared" si="5"/>
        <v>11</v>
      </c>
      <c r="B32" s="11" t="str">
        <f t="shared" si="5"/>
        <v>Heartland AEA 11</v>
      </c>
      <c r="C32" s="22">
        <f>SUMIFS(INDEX(Data_Detail[],0,MATCH(C$26,Data_Detail[#Headers],0)),Data_Detail[AEA],$A32,Data_Detail[FiscalYear],$K$2)</f>
        <v>9430082</v>
      </c>
      <c r="D32" s="22">
        <f>SUMIFS(INDEX(Data_Detail[],0,MATCH(D$26,Data_Detail[#Headers],0)),Data_Detail[AEA],$A32,Data_Detail[FiscalYear],$K$2)</f>
        <v>10358799</v>
      </c>
      <c r="E32" s="57">
        <f>SUMIFS(INDEX(Data_Detail[],0,MATCH(E$26,Data_Detail[#Headers],0)),Data_Detail[AEA],$A32,Data_Detail[FiscalYear],$K$2)</f>
        <v>70628446</v>
      </c>
      <c r="F32" s="58">
        <f>SUMIFS(INDEX(Data_Detail[],0,MATCH(F$26,Data_Detail[#Headers],0)),Data_Detail[AEA],$A32,Data_Detail[FiscalYear],$K$2)</f>
        <v>40838071</v>
      </c>
      <c r="G32" s="60">
        <f>SUMIFS(INDEX(Data_Detail[],0,MATCH(G$26,Data_Detail[#Headers],0)),Data_Detail[AEA],$A32,Data_Detail[FiscalYear],$K$2)</f>
        <v>29790375</v>
      </c>
      <c r="J32" s="6"/>
      <c r="K32" s="6">
        <f t="shared" si="6"/>
        <v>0</v>
      </c>
      <c r="L32" s="6">
        <f t="shared" si="7"/>
        <v>0</v>
      </c>
    </row>
    <row r="33" spans="1:12" x14ac:dyDescent="0.25">
      <c r="A33" s="11" t="str">
        <f t="shared" si="5"/>
        <v>12</v>
      </c>
      <c r="B33" s="11" t="str">
        <f t="shared" si="5"/>
        <v>Northwest AEA</v>
      </c>
      <c r="C33" s="22">
        <f>SUMIFS(INDEX(Data_Detail[],0,MATCH(C$26,Data_Detail[#Headers],0)),Data_Detail[AEA],$A33,Data_Detail[FiscalYear],$K$2)</f>
        <v>2825990</v>
      </c>
      <c r="D33" s="22">
        <f>SUMIFS(INDEX(Data_Detail[],0,MATCH(D$26,Data_Detail[#Headers],0)),Data_Detail[AEA],$A33,Data_Detail[FiscalYear],$K$2)</f>
        <v>3164474</v>
      </c>
      <c r="E33" s="57">
        <f>SUMIFS(INDEX(Data_Detail[],0,MATCH(E$26,Data_Detail[#Headers],0)),Data_Detail[AEA],$A33,Data_Detail[FiscalYear],$K$2)</f>
        <v>20859983</v>
      </c>
      <c r="F33" s="58">
        <f>SUMIFS(INDEX(Data_Detail[],0,MATCH(F$26,Data_Detail[#Headers],0)),Data_Detail[AEA],$A33,Data_Detail[FiscalYear],$K$2)</f>
        <v>11329342</v>
      </c>
      <c r="G33" s="60">
        <f>SUMIFS(INDEX(Data_Detail[],0,MATCH(G$26,Data_Detail[#Headers],0)),Data_Detail[AEA],$A33,Data_Detail[FiscalYear],$K$2)</f>
        <v>9530641</v>
      </c>
      <c r="J33" s="6"/>
      <c r="K33" s="6">
        <f t="shared" si="6"/>
        <v>0</v>
      </c>
      <c r="L33" s="6">
        <f t="shared" si="7"/>
        <v>0</v>
      </c>
    </row>
    <row r="34" spans="1:12" x14ac:dyDescent="0.25">
      <c r="A34" s="11" t="str">
        <f t="shared" si="5"/>
        <v>13</v>
      </c>
      <c r="B34" s="11" t="str">
        <f t="shared" si="5"/>
        <v>Green Hills AEA 13</v>
      </c>
      <c r="C34" s="22">
        <f>SUMIFS(INDEX(Data_Detail[],0,MATCH(C$26,Data_Detail[#Headers],0)),Data_Detail[AEA],$A34,Data_Detail[FiscalYear],$K$2)</f>
        <v>2353258</v>
      </c>
      <c r="D34" s="22">
        <f>SUMIFS(INDEX(Data_Detail[],0,MATCH(D$26,Data_Detail[#Headers],0)),Data_Detail[AEA],$A34,Data_Detail[FiscalYear],$K$2)</f>
        <v>2601568</v>
      </c>
      <c r="E34" s="57">
        <f>SUMIFS(INDEX(Data_Detail[],0,MATCH(E$26,Data_Detail[#Headers],0)),Data_Detail[AEA],$A34,Data_Detail[FiscalYear],$K$2)</f>
        <v>18403029</v>
      </c>
      <c r="F34" s="58">
        <f>SUMIFS(INDEX(Data_Detail[],0,MATCH(F$26,Data_Detail[#Headers],0)),Data_Detail[AEA],$A34,Data_Detail[FiscalYear],$K$2)</f>
        <v>10395097</v>
      </c>
      <c r="G34" s="60">
        <f>SUMIFS(INDEX(Data_Detail[],0,MATCH(G$26,Data_Detail[#Headers],0)),Data_Detail[AEA],$A34,Data_Detail[FiscalYear],$K$2)</f>
        <v>8007932</v>
      </c>
      <c r="J34" s="6"/>
      <c r="K34" s="6">
        <f t="shared" si="6"/>
        <v>0</v>
      </c>
      <c r="L34" s="6">
        <f t="shared" si="7"/>
        <v>0</v>
      </c>
    </row>
    <row r="35" spans="1:12" x14ac:dyDescent="0.25">
      <c r="A35" s="11" t="str">
        <f t="shared" si="5"/>
        <v>15</v>
      </c>
      <c r="B35" s="11" t="str">
        <f t="shared" si="5"/>
        <v>Great Prairie AEA 15</v>
      </c>
      <c r="C35" s="22">
        <f>SUMIFS(INDEX(Data_Detail[],0,MATCH(C$26,Data_Detail[#Headers],0)),Data_Detail[AEA],$A35,Data_Detail[FiscalYear],$K$2)</f>
        <v>2175147</v>
      </c>
      <c r="D35" s="22">
        <f>SUMIFS(INDEX(Data_Detail[],0,MATCH(D$26,Data_Detail[#Headers],0)),Data_Detail[AEA],$A35,Data_Detail[FiscalYear],$K$2)</f>
        <v>2390777</v>
      </c>
      <c r="E35" s="57">
        <f>SUMIFS(INDEX(Data_Detail[],0,MATCH(E$26,Data_Detail[#Headers],0)),Data_Detail[AEA],$A35,Data_Detail[FiscalYear],$K$2)</f>
        <v>16509513</v>
      </c>
      <c r="F35" s="58">
        <f>SUMIFS(INDEX(Data_Detail[],0,MATCH(F$26,Data_Detail[#Headers],0)),Data_Detail[AEA],$A35,Data_Detail[FiscalYear],$K$2)</f>
        <v>9252847</v>
      </c>
      <c r="G35" s="64">
        <f>SUMIFS(INDEX(Data_Detail[],0,MATCH(G$26,Data_Detail[#Headers],0)),Data_Detail[AEA],$A35,Data_Detail[FiscalYear],$K$2)</f>
        <v>7256666</v>
      </c>
      <c r="J35" s="6"/>
      <c r="K35" s="6">
        <f t="shared" si="6"/>
        <v>0</v>
      </c>
      <c r="L35" s="6">
        <f t="shared" si="7"/>
        <v>0</v>
      </c>
    </row>
    <row r="36" spans="1:12" ht="15.75" thickBot="1" x14ac:dyDescent="0.3">
      <c r="C36" s="15">
        <f t="shared" ref="C36:E36" si="8">SUM(C27:C35)</f>
        <v>32345038</v>
      </c>
      <c r="D36" s="15">
        <f t="shared" si="8"/>
        <v>35735170</v>
      </c>
      <c r="E36" s="62">
        <f t="shared" si="8"/>
        <v>244857014</v>
      </c>
      <c r="F36" s="63">
        <f>SUM(F27:F35)</f>
        <v>137427339</v>
      </c>
      <c r="G36" s="65">
        <f>SUM(G27:G35)</f>
        <v>107429675</v>
      </c>
      <c r="K36" s="6"/>
      <c r="L36" s="6"/>
    </row>
    <row r="37" spans="1:12" ht="15.75" thickTop="1" x14ac:dyDescent="0.25"/>
    <row r="39" spans="1:12" x14ac:dyDescent="0.25">
      <c r="H39" s="6"/>
    </row>
  </sheetData>
  <sheetProtection sheet="1" objects="1" scenarios="1"/>
  <mergeCells count="5">
    <mergeCell ref="A1:I1"/>
    <mergeCell ref="H16:H17"/>
    <mergeCell ref="H18:H19"/>
    <mergeCell ref="K24:K26"/>
    <mergeCell ref="L24:L26"/>
  </mergeCells>
  <pageMargins left="0.25" right="0.25" top="0.75" bottom="0.75" header="0.3" footer="0.3"/>
  <pageSetup scale="77" orientation="landscape" r:id="rId1"/>
  <headerFooter>
    <oddFooter>&amp;LDepartment of Management&amp;R&amp;D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44A1-1AF5-4A04-8693-EAE87F2A146B}">
  <sheetPr>
    <tabColor theme="6" tint="-0.249977111117893"/>
    <pageSetUpPr fitToPage="1"/>
  </sheetPr>
  <dimension ref="A1:M39"/>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hidden="1" customWidth="1"/>
    <col min="12" max="12" width="38" hidden="1" customWidth="1"/>
    <col min="13" max="13" width="36.85546875" hidden="1" customWidth="1"/>
  </cols>
  <sheetData>
    <row r="1" spans="1:11" ht="45" customHeight="1" x14ac:dyDescent="0.25">
      <c r="A1" s="73" t="str">
        <f>_xlfn.CONCAT("FY ",K2," AEA Enrollments and Cost - Final - State Aid and Property Tax Breakdown - September thru May Payment")</f>
        <v>FY 2024 AEA Enrollments and Cost - Final - State Aid and Property Tax Breakdown - September thru May Payment</v>
      </c>
      <c r="B1" s="73"/>
      <c r="C1" s="73"/>
      <c r="D1" s="73"/>
      <c r="E1" s="73"/>
      <c r="F1" s="73"/>
      <c r="G1" s="73"/>
      <c r="H1" s="73"/>
      <c r="I1" s="73"/>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4"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2024</v>
      </c>
    </row>
    <row r="3" spans="1:11" x14ac:dyDescent="0.25">
      <c r="A3" s="21" t="str">
        <f>Data!A2</f>
        <v>01</v>
      </c>
      <c r="B3" s="11" t="str">
        <f>INDEX(Data_Detail[],MATCH('PaymentCodingDetail_Sept-May'!$A3,Data_Detail[AEA],0),3)</f>
        <v>Keystone AEA 1</v>
      </c>
      <c r="C3" s="12">
        <f>ROUND(SUMIFS(INDEX(Data_Detail[],0,MATCH(C$2,Data_Detail[#Headers],0)),Data_Detail[AEA],$A3,Data_Detail[FiscalYear],$K$2)/SUMIFS(INDEX(Data_Detail[],0,MATCH($E$26,Data_Detail[#Headers],0)),Data_Detail[AEA],$A3,Data_Detail[FiscalYear],$K$2)*
INDEX(Data[],MATCH($A3,Data[AEA],0),MATCH("Pay1 - Sept - May",Data[#Headers],0)),0)</f>
        <v>1121620</v>
      </c>
      <c r="D3" s="12">
        <f>ROUND(SUMIFS(INDEX(Data_Detail[],0,MATCH(D$2,Data_Detail[#Headers],0)),Data_Detail[AEA],$A3,Data_Detail[FiscalYear],$K$2)/SUMIFS(INDEX(Data_Detail[],0,MATCH($E$26,Data_Detail[#Headers],0)),Data_Detail[AEA],$A3,Data_Detail[FiscalYear],$K$2)*
INDEX(Data[],MATCH($A3,Data[AEA],0),MATCH("Pay1 - Sept - May",Data[#Headers],0)),0)</f>
        <v>850542</v>
      </c>
      <c r="E3" s="12">
        <f>ROUND(SUMIFS(INDEX(Data_Detail[],0,MATCH(E$2,Data_Detail[#Headers],0)),Data_Detail[AEA],$A3,Data_Detail[FiscalYear],$K$2)/SUMIFS(INDEX(Data_Detail[],0,MATCH($E$26,Data_Detail[#Headers],0)),Data_Detail[AEA],$A3,Data_Detail[FiscalYear],$K$2)*
INDEX(Data[],MATCH($A3,Data[AEA],0),MATCH("PAY1 - Sept - May",Data[#Headers],0)),0)</f>
        <v>209492</v>
      </c>
      <c r="F3" s="58">
        <f>D3-E3</f>
        <v>641050</v>
      </c>
      <c r="G3" s="22">
        <f>ROUND(SUMIFS(INDEX(Data_Detail[],0,MATCH(G$2,Data_Detail[#Headers],0)),Data_Detail[AEA],$A3,Data_Detail[FiscalYear],$K$2)/SUMIFS(INDEX(Data_Detail[],0,MATCH($E$26,Data_Detail[#Headers],0)),Data_Detail[AEA],$A3,Data_Detail[FiscalYear],$K$2)*
INDEX(Data[],MATCH($A3,Data[AEA],0),MATCH("Pay1 - Sept - May",Data[#Headers],0)),0)</f>
        <v>271078</v>
      </c>
      <c r="H3" s="22">
        <f>ROUND(SUMIFS(INDEX(Data_Detail[],0,MATCH(H$2,Data_Detail[#Headers],0)),Data_Detail[AEA],$A3,Data_Detail[FiscalYear],$K$2)/SUMIFS(INDEX(Data_Detail[],0,MATCH($E$26,Data_Detail[#Headers],0)),Data_Detail[AEA],$A3,Data_Detail[FiscalYear],$K$2)*
INDEX(Data[],MATCH($A3,Data[AEA],0),MATCH("Pay1 - Sept - May",Data[#Headers],0)),0)</f>
        <v>1055</v>
      </c>
      <c r="I3" s="57">
        <f>SUM(F3:H3)</f>
        <v>913183</v>
      </c>
      <c r="K3" s="6">
        <f>G12+D24+H12+C36+D36-G36</f>
        <v>0</v>
      </c>
    </row>
    <row r="4" spans="1:11" x14ac:dyDescent="0.25">
      <c r="A4" s="21" t="str">
        <f>Data!A3</f>
        <v>05</v>
      </c>
      <c r="B4" s="11" t="str">
        <f>INDEX(Data_Detail[],MATCH('PaymentCodingDetail_Sept-May'!$A4,Data_Detail[AEA],0),3)</f>
        <v>Prairie Lakes AEA 8</v>
      </c>
      <c r="C4" s="12">
        <f>ROUND(SUMIFS(INDEX(Data_Detail[],0,MATCH(C$2,Data_Detail[#Headers],0)),Data_Detail[AEA],$A4,Data_Detail[FiscalYear],$K$2)/SUMIFS(INDEX(Data_Detail[],0,MATCH($E$26,Data_Detail[#Headers],0)),Data_Detail[AEA],$A4,Data_Detail[FiscalYear],$K$2)*
INDEX(Data[],MATCH($A4,Data[AEA],0),MATCH("Pay1 - Sept - May",Data[#Headers],0)),0)</f>
        <v>1173381</v>
      </c>
      <c r="D4" s="12">
        <f>ROUND(SUMIFS(INDEX(Data_Detail[],0,MATCH(D$2,Data_Detail[#Headers],0)),Data_Detail[AEA],$A4,Data_Detail[FiscalYear],$K$2)/SUMIFS(INDEX(Data_Detail[],0,MATCH($E$26,Data_Detail[#Headers],0)),Data_Detail[AEA],$A4,Data_Detail[FiscalYear],$K$2)*
INDEX(Data[],MATCH($A4,Data[AEA],0),MATCH("Pay1 - Sept - May",Data[#Headers],0)),0)</f>
        <v>900790</v>
      </c>
      <c r="E4" s="12">
        <f>ROUND(SUMIFS(INDEX(Data_Detail[],0,MATCH(E$2,Data_Detail[#Headers],0)),Data_Detail[AEA],$A4,Data_Detail[FiscalYear],$K$2)/SUMIFS(INDEX(Data_Detail[],0,MATCH($E$26,Data_Detail[#Headers],0)),Data_Detail[AEA],$A4,Data_Detail[FiscalYear],$K$2)*
INDEX(Data[],MATCH($A4,Data[AEA],0),MATCH("Pay1 - Sept - May",Data[#Headers],0)),0)</f>
        <v>222750</v>
      </c>
      <c r="F4" s="58">
        <f t="shared" ref="F4:F11" si="0">D4-E4</f>
        <v>678040</v>
      </c>
      <c r="G4" s="22">
        <f>ROUND(SUMIFS(INDEX(Data_Detail[],0,MATCH(G$2,Data_Detail[#Headers],0)),Data_Detail[AEA],$A4,Data_Detail[FiscalYear],$K$2)/SUMIFS(INDEX(Data_Detail[],0,MATCH($E$26,Data_Detail[#Headers],0)),Data_Detail[AEA],$A4,Data_Detail[FiscalYear],$K$2)*
INDEX(Data[],MATCH($A4,Data[AEA],0),MATCH("Pay1 - Sept - May",Data[#Headers],0)),0)</f>
        <v>272591</v>
      </c>
      <c r="H4" s="22">
        <f>ROUND(SUMIFS(INDEX(Data_Detail[],0,MATCH(H$2,Data_Detail[#Headers],0)),Data_Detail[AEA],$A4,Data_Detail[FiscalYear],$K$2)/SUMIFS(INDEX(Data_Detail[],0,MATCH($E$26,Data_Detail[#Headers],0)),Data_Detail[AEA],$A4,Data_Detail[FiscalYear],$K$2)*
INDEX(Data[],MATCH($A4,Data[AEA],0),MATCH("Pay1 - Sept - May",Data[#Headers],0)),0)</f>
        <v>7354</v>
      </c>
      <c r="I4" s="57">
        <f t="shared" ref="I4:I11" si="1">SUM(F4:H4)</f>
        <v>957985</v>
      </c>
      <c r="K4" s="6">
        <f>F12+C24+F24+G24-F36</f>
        <v>0</v>
      </c>
    </row>
    <row r="5" spans="1:11" x14ac:dyDescent="0.25">
      <c r="A5" s="21" t="str">
        <f>Data!A4</f>
        <v>07</v>
      </c>
      <c r="B5" s="11" t="str">
        <f>INDEX(Data_Detail[],MATCH('PaymentCodingDetail_Sept-May'!$A5,Data_Detail[AEA],0),3)</f>
        <v>Central Rivers</v>
      </c>
      <c r="C5" s="12">
        <f>ROUND(SUMIFS(INDEX(Data_Detail[],0,MATCH(C$2,Data_Detail[#Headers],0)),Data_Detail[AEA],$A5,Data_Detail[FiscalYear],$K$2)/SUMIFS(INDEX(Data_Detail[],0,MATCH($E$26,Data_Detail[#Headers],0)),Data_Detail[AEA],$A5,Data_Detail[FiscalYear],$K$2)*
INDEX(Data[],MATCH($A5,Data[AEA],0),MATCH("Pay1 - Sept - May",Data[#Headers],0)),0)</f>
        <v>2381381</v>
      </c>
      <c r="D5" s="12">
        <f>ROUND(SUMIFS(INDEX(Data_Detail[],0,MATCH(D$2,Data_Detail[#Headers],0)),Data_Detail[AEA],$A5,Data_Detail[FiscalYear],$K$2)/SUMIFS(INDEX(Data_Detail[],0,MATCH($E$26,Data_Detail[#Headers],0)),Data_Detail[AEA],$A5,Data_Detail[FiscalYear],$K$2)*
INDEX(Data[],MATCH($A5,Data[AEA],0),MATCH("Pay1 - Sept - May",Data[#Headers],0)),0)</f>
        <v>1864095</v>
      </c>
      <c r="E5" s="12">
        <f>ROUND(SUMIFS(INDEX(Data_Detail[],0,MATCH(E$2,Data_Detail[#Headers],0)),Data_Detail[AEA],$A5,Data_Detail[FiscalYear],$K$2)/SUMIFS(INDEX(Data_Detail[],0,MATCH($E$26,Data_Detail[#Headers],0)),Data_Detail[AEA],$A5,Data_Detail[FiscalYear],$K$2)*
INDEX(Data[],MATCH($A5,Data[AEA],0),MATCH("Pay1 - Sept - May",Data[#Headers],0)),0)</f>
        <v>413416</v>
      </c>
      <c r="F5" s="58">
        <f t="shared" si="0"/>
        <v>1450679</v>
      </c>
      <c r="G5" s="22">
        <f>ROUND(SUMIFS(INDEX(Data_Detail[],0,MATCH(G$2,Data_Detail[#Headers],0)),Data_Detail[AEA],$A5,Data_Detail[FiscalYear],$K$2)/SUMIFS(INDEX(Data_Detail[],0,MATCH($E$26,Data_Detail[#Headers],0)),Data_Detail[AEA],$A5,Data_Detail[FiscalYear],$K$2)*
INDEX(Data[],MATCH($A5,Data[AEA],0),MATCH("Pay1 - Sept - May",Data[#Headers],0)),0)</f>
        <v>517286</v>
      </c>
      <c r="H5" s="22">
        <f>ROUND(SUMIFS(INDEX(Data_Detail[],0,MATCH(H$2,Data_Detail[#Headers],0)),Data_Detail[AEA],$A5,Data_Detail[FiscalYear],$K$2)/SUMIFS(INDEX(Data_Detail[],0,MATCH($E$26,Data_Detail[#Headers],0)),Data_Detail[AEA],$A5,Data_Detail[FiscalYear],$K$2)*
INDEX(Data[],MATCH($A5,Data[AEA],0),MATCH("Pay1 - Sept - May",Data[#Headers],0)),0)</f>
        <v>12071</v>
      </c>
      <c r="I5" s="57">
        <f t="shared" si="1"/>
        <v>1980036</v>
      </c>
      <c r="K5" s="6">
        <f>F12+E12-D12</f>
        <v>0</v>
      </c>
    </row>
    <row r="6" spans="1:11" x14ac:dyDescent="0.25">
      <c r="A6" s="21" t="str">
        <f>Data!A5</f>
        <v>09</v>
      </c>
      <c r="B6" s="11" t="str">
        <f>INDEX(Data_Detail[],MATCH('PaymentCodingDetail_Sept-May'!$A6,Data_Detail[AEA],0),3)</f>
        <v>Mississippi Bend AEA 9</v>
      </c>
      <c r="C6" s="12">
        <f>ROUND(SUMIFS(INDEX(Data_Detail[],0,MATCH(C$2,Data_Detail[#Headers],0)),Data_Detail[AEA],$A6,Data_Detail[FiscalYear],$K$2)/SUMIFS(INDEX(Data_Detail[],0,MATCH($E$26,Data_Detail[#Headers],0)),Data_Detail[AEA],$A6,Data_Detail[FiscalYear],$K$2)*
INDEX(Data[],MATCH($A6,Data[AEA],0),MATCH("Pay1 - Sept - May",Data[#Headers],0)),0)</f>
        <v>1735079</v>
      </c>
      <c r="D6" s="12">
        <f>ROUND(SUMIFS(INDEX(Data_Detail[],0,MATCH(D$2,Data_Detail[#Headers],0)),Data_Detail[AEA],$A6,Data_Detail[FiscalYear],$K$2)/SUMIFS(INDEX(Data_Detail[],0,MATCH($E$26,Data_Detail[#Headers],0)),Data_Detail[AEA],$A6,Data_Detail[FiscalYear],$K$2)*
INDEX(Data[],MATCH($A6,Data[AEA],0),MATCH("Pay1 - Sept - May",Data[#Headers],0)),0)+1</f>
        <v>1367755</v>
      </c>
      <c r="E6" s="12">
        <f>ROUND(SUMIFS(INDEX(Data_Detail[],0,MATCH(E$2,Data_Detail[#Headers],0)),Data_Detail[AEA],$A6,Data_Detail[FiscalYear],$K$2)/SUMIFS(INDEX(Data_Detail[],0,MATCH($E$26,Data_Detail[#Headers],0)),Data_Detail[AEA],$A6,Data_Detail[FiscalYear],$K$2)*
INDEX(Data[],MATCH($A6,Data[AEA],0),MATCH("Pay1 - Sept - May",Data[#Headers],0)),0)</f>
        <v>300824</v>
      </c>
      <c r="F6" s="58">
        <f t="shared" si="0"/>
        <v>1066931</v>
      </c>
      <c r="G6" s="22">
        <f>ROUND(SUMIFS(INDEX(Data_Detail[],0,MATCH(G$2,Data_Detail[#Headers],0)),Data_Detail[AEA],$A6,Data_Detail[FiscalYear],$K$2)/SUMIFS(INDEX(Data_Detail[],0,MATCH($E$26,Data_Detail[#Headers],0)),Data_Detail[AEA],$A6,Data_Detail[FiscalYear],$K$2)*
INDEX(Data[],MATCH($A6,Data[AEA],0),MATCH("Pay1 - Sept - May",Data[#Headers],0)),0)</f>
        <v>367325</v>
      </c>
      <c r="H6" s="22">
        <f>ROUND(SUMIFS(INDEX(Data_Detail[],0,MATCH(H$2,Data_Detail[#Headers],0)),Data_Detail[AEA],$A6,Data_Detail[FiscalYear],$K$2)/SUMIFS(INDEX(Data_Detail[],0,MATCH($E$26,Data_Detail[#Headers],0)),Data_Detail[AEA],$A6,Data_Detail[FiscalYear],$K$2)*
INDEX(Data[],MATCH($A6,Data[AEA],0),MATCH("Pay1 - Sept - May",Data[#Headers],0)),0)</f>
        <v>10380</v>
      </c>
      <c r="I6" s="57">
        <f t="shared" si="1"/>
        <v>1444636</v>
      </c>
      <c r="K6" s="6">
        <f>H12+G12+F12-I12</f>
        <v>0</v>
      </c>
    </row>
    <row r="7" spans="1:11" x14ac:dyDescent="0.25">
      <c r="A7" s="21" t="str">
        <f>Data!A6</f>
        <v>10</v>
      </c>
      <c r="B7" s="11" t="str">
        <f>INDEX(Data_Detail[],MATCH('PaymentCodingDetail_Sept-May'!$A7,Data_Detail[AEA],0),3)</f>
        <v>Grant Wood AEA 10</v>
      </c>
      <c r="C7" s="12">
        <f>ROUND(SUMIFS(INDEX(Data_Detail[],0,MATCH(C$2,Data_Detail[#Headers],0)),Data_Detail[AEA],$A7,Data_Detail[FiscalYear],$K$2)/SUMIFS(INDEX(Data_Detail[],0,MATCH($E$26,Data_Detail[#Headers],0)),Data_Detail[AEA],$A7,Data_Detail[FiscalYear],$K$2)*
INDEX(Data[],MATCH($A7,Data[AEA],0),MATCH("Pay1 - Sept - May",Data[#Headers],0)),0)</f>
        <v>2593217</v>
      </c>
      <c r="D7" s="12">
        <f>ROUND(SUMIFS(INDEX(Data_Detail[],0,MATCH(D$2,Data_Detail[#Headers],0)),Data_Detail[AEA],$A7,Data_Detail[FiscalYear],$K$2)/SUMIFS(INDEX(Data_Detail[],0,MATCH($E$26,Data_Detail[#Headers],0)),Data_Detail[AEA],$A7,Data_Detail[FiscalYear],$K$2)*
INDEX(Data[],MATCH($A7,Data[AEA],0),MATCH("Pay1 - Sept - May",Data[#Headers],0)),0)-1</f>
        <v>2056007</v>
      </c>
      <c r="E7" s="12">
        <f>ROUND(SUMIFS(INDEX(Data_Detail[],0,MATCH(E$2,Data_Detail[#Headers],0)),Data_Detail[AEA],$A7,Data_Detail[FiscalYear],$K$2)/SUMIFS(INDEX(Data_Detail[],0,MATCH($E$26,Data_Detail[#Headers],0)),Data_Detail[AEA],$A7,Data_Detail[FiscalYear],$K$2)*
INDEX(Data[],MATCH($A7,Data[AEA],0),MATCH("Pay1 - Sept - May",Data[#Headers],0)),0)</f>
        <v>382050</v>
      </c>
      <c r="F7" s="58">
        <f t="shared" si="0"/>
        <v>1673957</v>
      </c>
      <c r="G7" s="22">
        <f>ROUND(SUMIFS(INDEX(Data_Detail[],0,MATCH(G$2,Data_Detail[#Headers],0)),Data_Detail[AEA],$A7,Data_Detail[FiscalYear],$K$2)/SUMIFS(INDEX(Data_Detail[],0,MATCH($E$26,Data_Detail[#Headers],0)),Data_Detail[AEA],$A7,Data_Detail[FiscalYear],$K$2)*
INDEX(Data[],MATCH($A7,Data[AEA],0),MATCH("Pay1 - Sept - May",Data[#Headers],0)),0)</f>
        <v>537210</v>
      </c>
      <c r="H7" s="22">
        <f>ROUND(SUMIFS(INDEX(Data_Detail[],0,MATCH(H$2,Data_Detail[#Headers],0)),Data_Detail[AEA],$A7,Data_Detail[FiscalYear],$K$2)/SUMIFS(INDEX(Data_Detail[],0,MATCH($E$26,Data_Detail[#Headers],0)),Data_Detail[AEA],$A7,Data_Detail[FiscalYear],$K$2)*
INDEX(Data[],MATCH($A7,Data[AEA],0),MATCH("Pay1 - Sept - May",Data[#Headers],0)),0)</f>
        <v>8047</v>
      </c>
      <c r="I7" s="57">
        <f t="shared" si="1"/>
        <v>2219214</v>
      </c>
      <c r="K7" s="6">
        <f>C24+D24-E24</f>
        <v>0</v>
      </c>
    </row>
    <row r="8" spans="1:11" x14ac:dyDescent="0.25">
      <c r="A8" s="21" t="str">
        <f>Data!A7</f>
        <v>11</v>
      </c>
      <c r="B8" s="11" t="str">
        <f>INDEX(Data_Detail[],MATCH('PaymentCodingDetail_Sept-May'!$A8,Data_Detail[AEA],0),3)</f>
        <v>Heartland AEA 11</v>
      </c>
      <c r="C8" s="12">
        <f>ROUND(SUMIFS(INDEX(Data_Detail[],0,MATCH(C$2,Data_Detail[#Headers],0)),Data_Detail[AEA],$A8,Data_Detail[FiscalYear],$K$2)/SUMIFS(INDEX(Data_Detail[],0,MATCH($E$26,Data_Detail[#Headers],0)),Data_Detail[AEA],$A8,Data_Detail[FiscalYear],$K$2)*
INDEX(Data[],MATCH($A8,Data[AEA],0),MATCH("Pay1 - Sept - May",Data[#Headers],0)),0)</f>
        <v>5254806</v>
      </c>
      <c r="D8" s="12">
        <f>ROUND(SUMIFS(INDEX(Data_Detail[],0,MATCH(D$2,Data_Detail[#Headers],0)),Data_Detail[AEA],$A8,Data_Detail[FiscalYear],$K$2)/SUMIFS(INDEX(Data_Detail[],0,MATCH($E$26,Data_Detail[#Headers],0)),Data_Detail[AEA],$A8,Data_Detail[FiscalYear],$K$2)*
INDEX(Data[],MATCH($A8,Data[AEA],0),MATCH("Pay1 - Sept - May",Data[#Headers],0)),0)</f>
        <v>4256993</v>
      </c>
      <c r="E8" s="12">
        <f>ROUND(SUMIFS(INDEX(Data_Detail[],0,MATCH(E$2,Data_Detail[#Headers],0)),Data_Detail[AEA],$A8,Data_Detail[FiscalYear],$K$2)/SUMIFS(INDEX(Data_Detail[],0,MATCH($E$26,Data_Detail[#Headers],0)),Data_Detail[AEA],$A8,Data_Detail[FiscalYear],$K$2)*
INDEX(Data[],MATCH($A8,Data[AEA],0),MATCH("Pay1 - Sept - May",Data[#Headers],0)),0)</f>
        <v>676834</v>
      </c>
      <c r="F8" s="58">
        <f t="shared" si="0"/>
        <v>3580159</v>
      </c>
      <c r="G8" s="22">
        <f>ROUND(SUMIFS(INDEX(Data_Detail[],0,MATCH(G$2,Data_Detail[#Headers],0)),Data_Detail[AEA],$A8,Data_Detail[FiscalYear],$K$2)/SUMIFS(INDEX(Data_Detail[],0,MATCH($E$26,Data_Detail[#Headers],0)),Data_Detail[AEA],$A8,Data_Detail[FiscalYear],$K$2)*
INDEX(Data[],MATCH($A8,Data[AEA],0),MATCH("Pay1 - Sept - May",Data[#Headers],0)),0)</f>
        <v>997813</v>
      </c>
      <c r="H8" s="22">
        <f>ROUND(SUMIFS(INDEX(Data_Detail[],0,MATCH(H$2,Data_Detail[#Headers],0)),Data_Detail[AEA],$A8,Data_Detail[FiscalYear],$K$2)/SUMIFS(INDEX(Data_Detail[],0,MATCH($E$26,Data_Detail[#Headers],0)),Data_Detail[AEA],$A8,Data_Detail[FiscalYear],$K$2)*
INDEX(Data[],MATCH($A8,Data[AEA],0),MATCH("Pay1 - Sept - May",Data[#Headers],0)),0)</f>
        <v>2337</v>
      </c>
      <c r="I8" s="57">
        <f t="shared" si="1"/>
        <v>4580309</v>
      </c>
    </row>
    <row r="9" spans="1:11" x14ac:dyDescent="0.25">
      <c r="A9" s="21" t="str">
        <f>Data!A8</f>
        <v>12</v>
      </c>
      <c r="B9" s="11" t="str">
        <f>INDEX(Data_Detail[],MATCH('PaymentCodingDetail_Sept-May'!$A9,Data_Detail[AEA],0),3)</f>
        <v>Northwest AEA</v>
      </c>
      <c r="C9" s="12">
        <f>ROUND(SUMIFS(INDEX(Data_Detail[],0,MATCH(C$2,Data_Detail[#Headers],0)),Data_Detail[AEA],$A9,Data_Detail[FiscalYear],$K$2)/SUMIFS(INDEX(Data_Detail[],0,MATCH($E$26,Data_Detail[#Headers],0)),Data_Detail[AEA],$A9,Data_Detail[FiscalYear],$K$2)*
INDEX(Data[],MATCH($A9,Data[AEA],0),MATCH("Pay1 - Sept - May",Data[#Headers],0)),0)</f>
        <v>1558170</v>
      </c>
      <c r="D9" s="12">
        <f>ROUND(SUMIFS(INDEX(Data_Detail[],0,MATCH(D$2,Data_Detail[#Headers],0)),Data_Detail[AEA],$A9,Data_Detail[FiscalYear],$K$2)/SUMIFS(INDEX(Data_Detail[],0,MATCH($E$26,Data_Detail[#Headers],0)),Data_Detail[AEA],$A9,Data_Detail[FiscalYear],$K$2)*
INDEX(Data[],MATCH($A9,Data[AEA],0),MATCH("Pay1 - Sept - May",Data[#Headers],0)),0)+1</f>
        <v>1208026</v>
      </c>
      <c r="E9" s="12">
        <f>ROUND(SUMIFS(INDEX(Data_Detail[],0,MATCH(E$2,Data_Detail[#Headers],0)),Data_Detail[AEA],$A9,Data_Detail[FiscalYear],$K$2)/SUMIFS(INDEX(Data_Detail[],0,MATCH($E$26,Data_Detail[#Headers],0)),Data_Detail[AEA],$A9,Data_Detail[FiscalYear],$K$2)*
INDEX(Data[],MATCH($A9,Data[AEA],0),MATCH("Pay1 - Sept - May",Data[#Headers],0)),0)</f>
        <v>253169</v>
      </c>
      <c r="F9" s="58">
        <f t="shared" si="0"/>
        <v>954857</v>
      </c>
      <c r="G9" s="22">
        <f>ROUND(SUMIFS(INDEX(Data_Detail[],0,MATCH(G$2,Data_Detail[#Headers],0)),Data_Detail[AEA],$A9,Data_Detail[FiscalYear],$K$2)/SUMIFS(INDEX(Data_Detail[],0,MATCH($E$26,Data_Detail[#Headers],0)),Data_Detail[AEA],$A9,Data_Detail[FiscalYear],$K$2)*
INDEX(Data[],MATCH($A9,Data[AEA],0),MATCH("Pay1 - Sept - May",Data[#Headers],0)),0)</f>
        <v>350144</v>
      </c>
      <c r="H9" s="22">
        <f>ROUND(SUMIFS(INDEX(Data_Detail[],0,MATCH(H$2,Data_Detail[#Headers],0)),Data_Detail[AEA],$A9,Data_Detail[FiscalYear],$K$2)/SUMIFS(INDEX(Data_Detail[],0,MATCH($E$26,Data_Detail[#Headers],0)),Data_Detail[AEA],$A9,Data_Detail[FiscalYear],$K$2)*
INDEX(Data[],MATCH($A9,Data[AEA],0),MATCH("Pay1 - Sept - May",Data[#Headers],0)),0)</f>
        <v>3200</v>
      </c>
      <c r="I9" s="57">
        <f t="shared" si="1"/>
        <v>1308201</v>
      </c>
    </row>
    <row r="10" spans="1:11" x14ac:dyDescent="0.25">
      <c r="A10" s="21" t="str">
        <f>Data!A9</f>
        <v>13</v>
      </c>
      <c r="B10" s="11" t="str">
        <f>INDEX(Data_Detail[],MATCH('PaymentCodingDetail_Sept-May'!$A10,Data_Detail[AEA],0),3)</f>
        <v>Green Hills AEA 13</v>
      </c>
      <c r="C10" s="12">
        <f>ROUND(SUMIFS(INDEX(Data_Detail[],0,MATCH(C$2,Data_Detail[#Headers],0)),Data_Detail[AEA],$A10,Data_Detail[FiscalYear],$K$2)/SUMIFS(INDEX(Data_Detail[],0,MATCH($E$26,Data_Detail[#Headers],0)),Data_Detail[AEA],$A10,Data_Detail[FiscalYear],$K$2)*
INDEX(Data[],MATCH($A10,Data[AEA],0),MATCH("Pay1 - Sept - May",Data[#Headers],0)),0)</f>
        <v>1431055</v>
      </c>
      <c r="D10" s="12">
        <f>ROUND(SUMIFS(INDEX(Data_Detail[],0,MATCH(D$2,Data_Detail[#Headers],0)),Data_Detail[AEA],$A10,Data_Detail[FiscalYear],$K$2)/SUMIFS(INDEX(Data_Detail[],0,MATCH($E$26,Data_Detail[#Headers],0)),Data_Detail[AEA],$A10,Data_Detail[FiscalYear],$K$2)*
INDEX(Data[],MATCH($A10,Data[AEA],0),MATCH("Pay1 - Sept - May",Data[#Headers],0)),0)</f>
        <v>1131336</v>
      </c>
      <c r="E10" s="12">
        <f>ROUND(SUMIFS(INDEX(Data_Detail[],0,MATCH(E$2,Data_Detail[#Headers],0)),Data_Detail[AEA],$A10,Data_Detail[FiscalYear],$K$2)/SUMIFS(INDEX(Data_Detail[],0,MATCH($E$26,Data_Detail[#Headers],0)),Data_Detail[AEA],$A10,Data_Detail[FiscalYear],$K$2)*
INDEX(Data[],MATCH($A10,Data[AEA],0),MATCH("Pay1 - Sept - May",Data[#Headers],0)),0)</f>
        <v>257220</v>
      </c>
      <c r="F10" s="58">
        <f t="shared" si="0"/>
        <v>874116</v>
      </c>
      <c r="G10" s="22">
        <f>ROUND(SUMIFS(INDEX(Data_Detail[],0,MATCH(G$2,Data_Detail[#Headers],0)),Data_Detail[AEA],$A10,Data_Detail[FiscalYear],$K$2)/SUMIFS(INDEX(Data_Detail[],0,MATCH($E$26,Data_Detail[#Headers],0)),Data_Detail[AEA],$A10,Data_Detail[FiscalYear],$K$2)*
INDEX(Data[],MATCH($A10,Data[AEA],0),MATCH("Pay1 - Sept - May",Data[#Headers],0)),0)</f>
        <v>299719</v>
      </c>
      <c r="H10" s="22">
        <f>ROUND(SUMIFS(INDEX(Data_Detail[],0,MATCH(H$2,Data_Detail[#Headers],0)),Data_Detail[AEA],$A10,Data_Detail[FiscalYear],$K$2)/SUMIFS(INDEX(Data_Detail[],0,MATCH($E$26,Data_Detail[#Headers],0)),Data_Detail[AEA],$A10,Data_Detail[FiscalYear],$K$2)*
INDEX(Data[],MATCH($A10,Data[AEA],0),MATCH("Pay1 - Sept - May",Data[#Headers],0)),0)</f>
        <v>4964</v>
      </c>
      <c r="I10" s="57">
        <f t="shared" si="1"/>
        <v>1178799</v>
      </c>
    </row>
    <row r="11" spans="1:11" x14ac:dyDescent="0.25">
      <c r="A11" s="21" t="str">
        <f>Data!A10</f>
        <v>15</v>
      </c>
      <c r="B11" s="11" t="str">
        <f>INDEX(Data_Detail[],MATCH('PaymentCodingDetail_Sept-May'!$A11,Data_Detail[AEA],0),3)</f>
        <v>Great Prairie AEA 15</v>
      </c>
      <c r="C11" s="12">
        <f>ROUND(SUMIFS(INDEX(Data_Detail[],0,MATCH(C$2,Data_Detail[#Headers],0)),Data_Detail[AEA],$A11,Data_Detail[FiscalYear],$K$2)/SUMIFS(INDEX(Data_Detail[],0,MATCH($E$26,Data_Detail[#Headers],0)),Data_Detail[AEA],$A11,Data_Detail[FiscalYear],$K$2)*
INDEX(Data[],MATCH($A11,Data[AEA],0),MATCH("Pay1 - Sept - May",Data[#Headers],0)),0)</f>
        <v>1279808</v>
      </c>
      <c r="D11" s="12">
        <f>ROUND(SUMIFS(INDEX(Data_Detail[],0,MATCH(D$2,Data_Detail[#Headers],0)),Data_Detail[AEA],$A11,Data_Detail[FiscalYear],$K$2)/SUMIFS(INDEX(Data_Detail[],0,MATCH($E$26,Data_Detail[#Headers],0)),Data_Detail[AEA],$A11,Data_Detail[FiscalYear],$K$2)*
INDEX(Data[],MATCH($A11,Data[AEA],0),MATCH("Pay1 - Sept - May",Data[#Headers],0)),0)-2</f>
        <v>1019827</v>
      </c>
      <c r="E11" s="12">
        <f>ROUND(SUMIFS(INDEX(Data_Detail[],0,MATCH(E$2,Data_Detail[#Headers],0)),Data_Detail[AEA],$A11,Data_Detail[FiscalYear],$K$2)/SUMIFS(INDEX(Data_Detail[],0,MATCH($E$26,Data_Detail[#Headers],0)),Data_Detail[AEA],$A11,Data_Detail[FiscalYear],$K$2)*
INDEX(Data[],MATCH($A11,Data[AEA],0),MATCH("Pay1 - Sept - May",Data[#Headers],0)),0)</f>
        <v>239960</v>
      </c>
      <c r="F11" s="58">
        <f t="shared" si="0"/>
        <v>779867</v>
      </c>
      <c r="G11" s="22">
        <f>ROUND(SUMIFS(INDEX(Data_Detail[],0,MATCH(G$2,Data_Detail[#Headers],0)),Data_Detail[AEA],$A11,Data_Detail[FiscalYear],$K$2)/SUMIFS(INDEX(Data_Detail[],0,MATCH($E$26,Data_Detail[#Headers],0)),Data_Detail[AEA],$A11,Data_Detail[FiscalYear],$K$2)*
INDEX(Data[],MATCH($A11,Data[AEA],0),MATCH("Pay1 - Sept - May",Data[#Headers],0)),0)</f>
        <v>259979</v>
      </c>
      <c r="H11" s="22">
        <f>ROUND(SUMIFS(INDEX(Data_Detail[],0,MATCH(H$2,Data_Detail[#Headers],0)),Data_Detail[AEA],$A11,Data_Detail[FiscalYear],$K$2)/SUMIFS(INDEX(Data_Detail[],0,MATCH($E$26,Data_Detail[#Headers],0)),Data_Detail[AEA],$A11,Data_Detail[FiscalYear],$K$2)*
INDEX(Data[],MATCH($A11,Data[AEA],0),MATCH("Pay1 - Sept - May",Data[#Headers],0)),0)</f>
        <v>8486</v>
      </c>
      <c r="I11" s="57">
        <f t="shared" si="1"/>
        <v>1048332</v>
      </c>
    </row>
    <row r="12" spans="1:11" ht="15.75" thickBot="1" x14ac:dyDescent="0.3">
      <c r="C12" s="17">
        <f>SUM(C3:C11)</f>
        <v>18528517</v>
      </c>
      <c r="D12" s="17">
        <f t="shared" ref="D12:I12" si="2">SUM(D3:D11)</f>
        <v>14655371</v>
      </c>
      <c r="E12" s="17">
        <f t="shared" si="2"/>
        <v>2955715</v>
      </c>
      <c r="F12" s="44">
        <f t="shared" si="2"/>
        <v>11699656</v>
      </c>
      <c r="G12" s="23">
        <f t="shared" si="2"/>
        <v>3873145</v>
      </c>
      <c r="H12" s="23">
        <f>SUM(H3:H11)</f>
        <v>57894</v>
      </c>
      <c r="I12" s="17">
        <f t="shared" si="2"/>
        <v>15630695</v>
      </c>
    </row>
    <row r="13" spans="1:11" ht="7.5" customHeight="1" thickTop="1" x14ac:dyDescent="0.25"/>
    <row r="14" spans="1:11" ht="45" x14ac:dyDescent="0.25">
      <c r="A14" s="18" t="str">
        <f t="shared" ref="A14:B23" si="3">A2</f>
        <v>AEA</v>
      </c>
      <c r="B14" s="18" t="str">
        <f t="shared" si="3"/>
        <v>AEA Name</v>
      </c>
      <c r="C14" s="24"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4" t="str">
        <f>Data_Detail[[#Headers],[AEA Teacher Salary Supplement District Cost]]</f>
        <v>AEA Teacher Salary Supplement District Cost</v>
      </c>
      <c r="G14" s="24" t="str">
        <f>Data_Detail[[#Headers],[AEA Professional Development Supplement District Cost]]</f>
        <v>AEA Professional Development Supplement District Cost</v>
      </c>
    </row>
    <row r="15" spans="1:11" x14ac:dyDescent="0.25">
      <c r="A15" s="19" t="str">
        <f t="shared" si="3"/>
        <v>01</v>
      </c>
      <c r="B15" s="19" t="str">
        <f t="shared" si="3"/>
        <v>Keystone AEA 1</v>
      </c>
      <c r="C15" s="25">
        <f>ROUND(SUMIFS(INDEX(Data_Detail[],0,MATCH(C$14,Data_Detail[#Headers],0)),Data_Detail[AEA],$A15,Data_Detail[FiscalYear],$K$2)/SUMIFS(INDEX(Data_Detail[],0,MATCH($E$26,Data_Detail[#Headers],0)),Data_Detail[AEA],$A15,Data_Detail[FiscalYear],$K$2)*
INDEX(Data[],MATCH($A15,Data[AEA],0),MATCH("Pay1 - Sept - May",Data[#Headers],0)),0)</f>
        <v>2275</v>
      </c>
      <c r="D15" s="22">
        <f>ROUND(SUMIFS(INDEX(Data_Detail[],0,MATCH(D$14,Data_Detail[#Headers],0)),Data_Detail[AEA],$A15,Data_Detail[FiscalYear],$K$2)/SUMIFS(INDEX(Data_Detail[],0,MATCH($E$26,Data_Detail[#Headers],0)),Data_Detail[AEA],$A15,Data_Detail[FiscalYear],$K$2)*
INDEX(Data[],MATCH($A15,Data[AEA],0),MATCH("Pay1 - Sept - May",Data[#Headers],0)),0)</f>
        <v>725</v>
      </c>
      <c r="E15" s="60">
        <f>SUM(C15:D15)</f>
        <v>3000</v>
      </c>
      <c r="F15" s="25">
        <f>ROUND(SUMIFS(INDEX(Data_Detail[],0,MATCH(F$14,Data_Detail[#Headers],0)),Data_Detail[AEA],$A15,Data_Detail[FiscalYear],$K$2)/SUMIFS(INDEX(Data_Detail[],0,MATCH($E$26,Data_Detail[#Headers],0)),Data_Detail[AEA],$A15,Data_Detail[FiscalYear],$K$2)*
INDEX(Data[],MATCH($A15,Data[AEA],0),MATCH("Pay1 - Sept - May",Data[#Headers],0)),0)</f>
        <v>111057</v>
      </c>
      <c r="G15" s="25">
        <f>ROUND(SUMIFS(INDEX(Data_Detail[],0,MATCH(G$14,Data_Detail[#Headers],0)),Data_Detail[AEA],$A15,Data_Detail[FiscalYear],$K$2)/SUMIFS(INDEX(Data_Detail[],0,MATCH($E$26,Data_Detail[#Headers],0)),Data_Detail[AEA],$A15,Data_Detail[FiscalYear],$K$2)*
INDEX(Data[],MATCH($A15,Data[AEA],0),MATCH("Pay1 - Sept - May",Data[#Headers],0)),0)</f>
        <v>12049</v>
      </c>
    </row>
    <row r="16" spans="1:11" x14ac:dyDescent="0.25">
      <c r="A16" s="19" t="str">
        <f t="shared" si="3"/>
        <v>05</v>
      </c>
      <c r="B16" s="19" t="str">
        <f t="shared" si="3"/>
        <v>Prairie Lakes AEA 8</v>
      </c>
      <c r="C16" s="25">
        <f>ROUND(SUMIFS(INDEX(Data_Detail[],0,MATCH(C$14,Data_Detail[#Headers],0)),Data_Detail[AEA],$A16,Data_Detail[FiscalYear],$K$2)/SUMIFS(INDEX(Data_Detail[],0,MATCH($E$26,Data_Detail[#Headers],0)),Data_Detail[AEA],$A16,Data_Detail[FiscalYear],$K$2)*
INDEX(Data[],MATCH($A16,Data[AEA],0),MATCH("Pay1 - Sept - May",Data[#Headers],0)),0)</f>
        <v>0</v>
      </c>
      <c r="D16" s="22">
        <f>ROUND(SUMIFS(INDEX(Data_Detail[],0,MATCH(D$14,Data_Detail[#Headers],0)),Data_Detail[AEA],$A16,Data_Detail[FiscalYear],$K$2)/SUMIFS(INDEX(Data_Detail[],0,MATCH($E$26,Data_Detail[#Headers],0)),Data_Detail[AEA],$A16,Data_Detail[FiscalYear],$K$2)*
INDEX(Data[],MATCH($A16,Data[AEA],0),MATCH("Pay1 - Sept - May",Data[#Headers],0)),0)</f>
        <v>0</v>
      </c>
      <c r="E16" s="60">
        <f t="shared" ref="E16:E23" si="4">SUM(C16:D16)</f>
        <v>0</v>
      </c>
      <c r="F16" s="25">
        <f>ROUND(SUMIFS(INDEX(Data_Detail[],0,MATCH(F$14,Data_Detail[#Headers],0)),Data_Detail[AEA],$A16,Data_Detail[FiscalYear],$K$2)/SUMIFS(INDEX(Data_Detail[],0,MATCH($E$26,Data_Detail[#Headers],0)),Data_Detail[AEA],$A16,Data_Detail[FiscalYear],$K$2)*
INDEX(Data[],MATCH($A16,Data[AEA],0),MATCH("Pay1 - Sept - May",Data[#Headers],0)),0)</f>
        <v>124450</v>
      </c>
      <c r="G16" s="25">
        <f>ROUND(SUMIFS(INDEX(Data_Detail[],0,MATCH(G$14,Data_Detail[#Headers],0)),Data_Detail[AEA],$A16,Data_Detail[FiscalYear],$K$2)/SUMIFS(INDEX(Data_Detail[],0,MATCH($E$26,Data_Detail[#Headers],0)),Data_Detail[AEA],$A16,Data_Detail[FiscalYear],$K$2)*
INDEX(Data[],MATCH($A16,Data[AEA],0),MATCH("Pay1 - Sept - May",Data[#Headers],0)),0)</f>
        <v>14791</v>
      </c>
      <c r="H16" s="74" t="s">
        <v>79</v>
      </c>
    </row>
    <row r="17" spans="1:13" x14ac:dyDescent="0.25">
      <c r="A17" s="19" t="str">
        <f t="shared" si="3"/>
        <v>07</v>
      </c>
      <c r="B17" s="19" t="str">
        <f t="shared" si="3"/>
        <v>Central Rivers</v>
      </c>
      <c r="C17" s="25">
        <f>ROUND(SUMIFS(INDEX(Data_Detail[],0,MATCH(C$14,Data_Detail[#Headers],0)),Data_Detail[AEA],$A17,Data_Detail[FiscalYear],$K$2)/SUMIFS(INDEX(Data_Detail[],0,MATCH($E$26,Data_Detail[#Headers],0)),Data_Detail[AEA],$A17,Data_Detail[FiscalYear],$K$2)*
INDEX(Data[],MATCH($A17,Data[AEA],0),MATCH("Pay1 - Sept - May",Data[#Headers],0)),0)</f>
        <v>2348</v>
      </c>
      <c r="D17" s="22">
        <f>ROUND(SUMIFS(INDEX(Data_Detail[],0,MATCH(D$14,Data_Detail[#Headers],0)),Data_Detail[AEA],$A17,Data_Detail[FiscalYear],$K$2)/SUMIFS(INDEX(Data_Detail[],0,MATCH($E$26,Data_Detail[#Headers],0)),Data_Detail[AEA],$A17,Data_Detail[FiscalYear],$K$2)*
INDEX(Data[],MATCH($A17,Data[AEA],0),MATCH("Pay1 - Sept - May",Data[#Headers],0)),0)</f>
        <v>652</v>
      </c>
      <c r="E17" s="60">
        <f t="shared" si="4"/>
        <v>3000</v>
      </c>
      <c r="F17" s="25">
        <f>ROUND(SUMIFS(INDEX(Data_Detail[],0,MATCH(F$14,Data_Detail[#Headers],0)),Data_Detail[AEA],$A17,Data_Detail[FiscalYear],$K$2)/SUMIFS(INDEX(Data_Detail[],0,MATCH($E$26,Data_Detail[#Headers],0)),Data_Detail[AEA],$A17,Data_Detail[FiscalYear],$K$2)*
INDEX(Data[],MATCH($A17,Data[AEA],0),MATCH("Pay1 - Sept - May",Data[#Headers],0)),0)</f>
        <v>294798</v>
      </c>
      <c r="G17" s="25">
        <f>ROUND(SUMIFS(INDEX(Data_Detail[],0,MATCH(G$14,Data_Detail[#Headers],0)),Data_Detail[AEA],$A17,Data_Detail[FiscalYear],$K$2)/SUMIFS(INDEX(Data_Detail[],0,MATCH($E$26,Data_Detail[#Headers],0)),Data_Detail[AEA],$A17,Data_Detail[FiscalYear],$K$2)*
INDEX(Data[],MATCH($A17,Data[AEA],0),MATCH("Pay1 - Sept - May",Data[#Headers],0)),0)</f>
        <v>33932</v>
      </c>
      <c r="H17" s="74"/>
    </row>
    <row r="18" spans="1:13" x14ac:dyDescent="0.25">
      <c r="A18" s="19" t="str">
        <f t="shared" si="3"/>
        <v>09</v>
      </c>
      <c r="B18" s="19" t="str">
        <f t="shared" si="3"/>
        <v>Mississippi Bend AEA 9</v>
      </c>
      <c r="C18" s="25">
        <f>ROUND(SUMIFS(INDEX(Data_Detail[],0,MATCH(C$14,Data_Detail[#Headers],0)),Data_Detail[AEA],$A18,Data_Detail[FiscalYear],$K$2)/SUMIFS(INDEX(Data_Detail[],0,MATCH($E$26,Data_Detail[#Headers],0)),Data_Detail[AEA],$A18,Data_Detail[FiscalYear],$K$2)*
INDEX(Data[],MATCH($A18,Data[AEA],0),MATCH("Pay1 - Sept - May",Data[#Headers],0)),0)</f>
        <v>0</v>
      </c>
      <c r="D18" s="22">
        <f>ROUND(SUMIFS(INDEX(Data_Detail[],0,MATCH(D$14,Data_Detail[#Headers],0)),Data_Detail[AEA],$A18,Data_Detail[FiscalYear],$K$2)/SUMIFS(INDEX(Data_Detail[],0,MATCH($E$26,Data_Detail[#Headers],0)),Data_Detail[AEA],$A18,Data_Detail[FiscalYear],$K$2)*
INDEX(Data[],MATCH($A18,Data[AEA],0),MATCH("Pay1 - Sept - May",Data[#Headers],0)),0)</f>
        <v>0</v>
      </c>
      <c r="E18" s="60">
        <f t="shared" si="4"/>
        <v>0</v>
      </c>
      <c r="F18" s="25">
        <f>ROUND(SUMIFS(INDEX(Data_Detail[],0,MATCH(F$14,Data_Detail[#Headers],0)),Data_Detail[AEA],$A18,Data_Detail[FiscalYear],$K$2)/SUMIFS(INDEX(Data_Detail[],0,MATCH($E$26,Data_Detail[#Headers],0)),Data_Detail[AEA],$A18,Data_Detail[FiscalYear],$K$2)*
INDEX(Data[],MATCH($A18,Data[AEA],0),MATCH("Pay1 - Sept - May",Data[#Headers],0)),0)</f>
        <v>159467</v>
      </c>
      <c r="G18" s="25">
        <f>ROUND(SUMIFS(INDEX(Data_Detail[],0,MATCH(G$14,Data_Detail[#Headers],0)),Data_Detail[AEA],$A18,Data_Detail[FiscalYear],$K$2)/SUMIFS(INDEX(Data_Detail[],0,MATCH($E$26,Data_Detail[#Headers],0)),Data_Detail[AEA],$A18,Data_Detail[FiscalYear],$K$2)*
INDEX(Data[],MATCH($A18,Data[AEA],0),MATCH("Pay1 - Sept - May",Data[#Headers],0)),0)</f>
        <v>18709</v>
      </c>
      <c r="H18" s="75" t="s">
        <v>731</v>
      </c>
    </row>
    <row r="19" spans="1:13" x14ac:dyDescent="0.25">
      <c r="A19" s="19" t="str">
        <f t="shared" si="3"/>
        <v>10</v>
      </c>
      <c r="B19" s="19" t="str">
        <f t="shared" si="3"/>
        <v>Grant Wood AEA 10</v>
      </c>
      <c r="C19" s="25">
        <f>ROUND(SUMIFS(INDEX(Data_Detail[],0,MATCH(C$14,Data_Detail[#Headers],0)),Data_Detail[AEA],$A19,Data_Detail[FiscalYear],$K$2)/SUMIFS(INDEX(Data_Detail[],0,MATCH($E$26,Data_Detail[#Headers],0)),Data_Detail[AEA],$A19,Data_Detail[FiscalYear],$K$2)*
INDEX(Data[],MATCH($A19,Data[AEA],0),MATCH("Pay1 - Sept - May",Data[#Headers],0)),0)</f>
        <v>2379</v>
      </c>
      <c r="D19" s="22">
        <f>ROUND(SUMIFS(INDEX(Data_Detail[],0,MATCH(D$14,Data_Detail[#Headers],0)),Data_Detail[AEA],$A19,Data_Detail[FiscalYear],$K$2)/SUMIFS(INDEX(Data_Detail[],0,MATCH($E$26,Data_Detail[#Headers],0)),Data_Detail[AEA],$A19,Data_Detail[FiscalYear],$K$2)*
INDEX(Data[],MATCH($A19,Data[AEA],0),MATCH("Pay1 - Sept - May",Data[#Headers],0)),0)</f>
        <v>621</v>
      </c>
      <c r="E19" s="60">
        <f t="shared" si="4"/>
        <v>3000</v>
      </c>
      <c r="F19" s="25">
        <f>ROUND(SUMIFS(INDEX(Data_Detail[],0,MATCH(F$14,Data_Detail[#Headers],0)),Data_Detail[AEA],$A19,Data_Detail[FiscalYear],$K$2)/SUMIFS(INDEX(Data_Detail[],0,MATCH($E$26,Data_Detail[#Headers],0)),Data_Detail[AEA],$A19,Data_Detail[FiscalYear],$K$2)*
INDEX(Data[],MATCH($A19,Data[AEA],0),MATCH("Pay1 - Sept - May",Data[#Headers],0)),0)</f>
        <v>245687</v>
      </c>
      <c r="G19" s="25">
        <f>ROUND(SUMIFS(INDEX(Data_Detail[],0,MATCH(G$14,Data_Detail[#Headers],0)),Data_Detail[AEA],$A19,Data_Detail[FiscalYear],$K$2)/SUMIFS(INDEX(Data_Detail[],0,MATCH($E$26,Data_Detail[#Headers],0)),Data_Detail[AEA],$A19,Data_Detail[FiscalYear],$K$2)*
INDEX(Data[],MATCH($A19,Data[AEA],0),MATCH("Pay1 - Sept - May",Data[#Headers],0)),0)</f>
        <v>28605</v>
      </c>
      <c r="H19" s="75"/>
    </row>
    <row r="20" spans="1:13" x14ac:dyDescent="0.25">
      <c r="A20" s="19" t="str">
        <f t="shared" si="3"/>
        <v>11</v>
      </c>
      <c r="B20" s="19" t="str">
        <f t="shared" si="3"/>
        <v>Heartland AEA 11</v>
      </c>
      <c r="C20" s="25">
        <f>ROUND(SUMIFS(INDEX(Data_Detail[],0,MATCH(C$14,Data_Detail[#Headers],0)),Data_Detail[AEA],$A20,Data_Detail[FiscalYear],$K$2)/SUMIFS(INDEX(Data_Detail[],0,MATCH($E$26,Data_Detail[#Headers],0)),Data_Detail[AEA],$A20,Data_Detail[FiscalYear],$K$2)*
INDEX(Data[],MATCH($A20,Data[AEA],0),MATCH("Pay1 - Sept - May",Data[#Headers],0)),0)</f>
        <v>0</v>
      </c>
      <c r="D20" s="22">
        <f>ROUND(SUMIFS(INDEX(Data_Detail[],0,MATCH(D$14,Data_Detail[#Headers],0)),Data_Detail[AEA],$A20,Data_Detail[FiscalYear],$K$2)/SUMIFS(INDEX(Data_Detail[],0,MATCH($E$26,Data_Detail[#Headers],0)),Data_Detail[AEA],$A20,Data_Detail[FiscalYear],$K$2)*
INDEX(Data[],MATCH($A20,Data[AEA],0),MATCH("Pay1 - Sept - May",Data[#Headers],0)),0)</f>
        <v>0</v>
      </c>
      <c r="E20" s="60">
        <f t="shared" si="4"/>
        <v>0</v>
      </c>
      <c r="F20" s="25">
        <f>ROUND(SUMIFS(INDEX(Data_Detail[],0,MATCH(F$14,Data_Detail[#Headers],0)),Data_Detail[AEA],$A20,Data_Detail[FiscalYear],$K$2)/SUMIFS(INDEX(Data_Detail[],0,MATCH($E$26,Data_Detail[#Headers],0)),Data_Detail[AEA],$A20,Data_Detail[FiscalYear],$K$2)*
INDEX(Data[],MATCH($A20,Data[AEA],0),MATCH("Pay1 - Sept - May",Data[#Headers],0)),0)</f>
        <v>447527</v>
      </c>
      <c r="G20" s="25">
        <f>ROUND(SUMIFS(INDEX(Data_Detail[],0,MATCH(G$14,Data_Detail[#Headers],0)),Data_Detail[AEA],$A20,Data_Detail[FiscalYear],$K$2)/SUMIFS(INDEX(Data_Detail[],0,MATCH($E$26,Data_Detail[#Headers],0)),Data_Detail[AEA],$A20,Data_Detail[FiscalYear],$K$2)*
INDEX(Data[],MATCH($A20,Data[AEA],0),MATCH("Pay1 - Sept - May",Data[#Headers],0)),0)</f>
        <v>56123</v>
      </c>
    </row>
    <row r="21" spans="1:13" x14ac:dyDescent="0.25">
      <c r="A21" s="19" t="str">
        <f t="shared" si="3"/>
        <v>12</v>
      </c>
      <c r="B21" s="19" t="str">
        <f t="shared" si="3"/>
        <v>Northwest AEA</v>
      </c>
      <c r="C21" s="25">
        <f>ROUND(SUMIFS(INDEX(Data_Detail[],0,MATCH(C$14,Data_Detail[#Headers],0)),Data_Detail[AEA],$A21,Data_Detail[FiscalYear],$K$2)/SUMIFS(INDEX(Data_Detail[],0,MATCH($E$26,Data_Detail[#Headers],0)),Data_Detail[AEA],$A21,Data_Detail[FiscalYear],$K$2)*
INDEX(Data[],MATCH($A21,Data[AEA],0),MATCH("Pay1 - Sept - May",Data[#Headers],0)),0)</f>
        <v>2326</v>
      </c>
      <c r="D21" s="22">
        <f>ROUND(SUMIFS(INDEX(Data_Detail[],0,MATCH(D$14,Data_Detail[#Headers],0)),Data_Detail[AEA],$A21,Data_Detail[FiscalYear],$K$2)/SUMIFS(INDEX(Data_Detail[],0,MATCH($E$26,Data_Detail[#Headers],0)),Data_Detail[AEA],$A21,Data_Detail[FiscalYear],$K$2)*
INDEX(Data[],MATCH($A21,Data[AEA],0),MATCH("Pay1 - Sept - May",Data[#Headers],0)),0)</f>
        <v>674</v>
      </c>
      <c r="E21" s="60">
        <f t="shared" si="4"/>
        <v>3000</v>
      </c>
      <c r="F21" s="25">
        <f>ROUND(SUMIFS(INDEX(Data_Detail[],0,MATCH(F$14,Data_Detail[#Headers],0)),Data_Detail[AEA],$A21,Data_Detail[FiscalYear],$K$2)/SUMIFS(INDEX(Data_Detail[],0,MATCH($E$26,Data_Detail[#Headers],0)),Data_Detail[AEA],$A21,Data_Detail[FiscalYear],$K$2)*
INDEX(Data[],MATCH($A21,Data[AEA],0),MATCH("Pay1 - Sept - May",Data[#Headers],0)),0)</f>
        <v>157034</v>
      </c>
      <c r="G21" s="25">
        <f>ROUND(SUMIFS(INDEX(Data_Detail[],0,MATCH(G$14,Data_Detail[#Headers],0)),Data_Detail[AEA],$A21,Data_Detail[FiscalYear],$K$2)/SUMIFS(INDEX(Data_Detail[],0,MATCH($E$26,Data_Detail[#Headers],0)),Data_Detail[AEA],$A21,Data_Detail[FiscalYear],$K$2)*
INDEX(Data[],MATCH($A21,Data[AEA],0),MATCH("Pay1 - Sept - May",Data[#Headers],0)),0)</f>
        <v>18719</v>
      </c>
    </row>
    <row r="22" spans="1:13" x14ac:dyDescent="0.25">
      <c r="A22" s="19" t="str">
        <f t="shared" si="3"/>
        <v>13</v>
      </c>
      <c r="B22" s="19" t="str">
        <f t="shared" si="3"/>
        <v>Green Hills AEA 13</v>
      </c>
      <c r="C22" s="25">
        <f>ROUND(SUMIFS(INDEX(Data_Detail[],0,MATCH(C$14,Data_Detail[#Headers],0)),Data_Detail[AEA],$A22,Data_Detail[FiscalYear],$K$2)/SUMIFS(INDEX(Data_Detail[],0,MATCH($E$26,Data_Detail[#Headers],0)),Data_Detail[AEA],$A22,Data_Detail[FiscalYear],$K$2)*
INDEX(Data[],MATCH($A22,Data[AEA],0),MATCH("Pay1 - Sept - May",Data[#Headers],0)),0)</f>
        <v>2372</v>
      </c>
      <c r="D22" s="22">
        <f>ROUND(SUMIFS(INDEX(Data_Detail[],0,MATCH(D$14,Data_Detail[#Headers],0)),Data_Detail[AEA],$A22,Data_Detail[FiscalYear],$K$2)/SUMIFS(INDEX(Data_Detail[],0,MATCH($E$26,Data_Detail[#Headers],0)),Data_Detail[AEA],$A22,Data_Detail[FiscalYear],$K$2)*
INDEX(Data[],MATCH($A22,Data[AEA],0),MATCH("Pay1 - Sept - May",Data[#Headers],0)),0)</f>
        <v>628</v>
      </c>
      <c r="E22" s="60">
        <f t="shared" si="4"/>
        <v>3000</v>
      </c>
      <c r="F22" s="25">
        <f>ROUND(SUMIFS(INDEX(Data_Detail[],0,MATCH(F$14,Data_Detail[#Headers],0)),Data_Detail[AEA],$A22,Data_Detail[FiscalYear],$K$2)/SUMIFS(INDEX(Data_Detail[],0,MATCH($E$26,Data_Detail[#Headers],0)),Data_Detail[AEA],$A22,Data_Detail[FiscalYear],$K$2)*
INDEX(Data[],MATCH($A22,Data[AEA],0),MATCH("Pay1 - Sept - May",Data[#Headers],0)),0)</f>
        <v>147149</v>
      </c>
      <c r="G22" s="25">
        <f>ROUND(SUMIFS(INDEX(Data_Detail[],0,MATCH(G$14,Data_Detail[#Headers],0)),Data_Detail[AEA],$A22,Data_Detail[FiscalYear],$K$2)/SUMIFS(INDEX(Data_Detail[],0,MATCH($E$26,Data_Detail[#Headers],0)),Data_Detail[AEA],$A22,Data_Detail[FiscalYear],$K$2)*
INDEX(Data[],MATCH($A22,Data[AEA],0),MATCH("Pay1 - Sept - May",Data[#Headers],0)),0)</f>
        <v>15874</v>
      </c>
    </row>
    <row r="23" spans="1:13" x14ac:dyDescent="0.25">
      <c r="A23" s="19" t="str">
        <f t="shared" si="3"/>
        <v>15</v>
      </c>
      <c r="B23" s="19" t="str">
        <f t="shared" si="3"/>
        <v>Great Prairie AEA 15</v>
      </c>
      <c r="C23" s="25">
        <f>ROUND(SUMIFS(INDEX(Data_Detail[],0,MATCH(C$14,Data_Detail[#Headers],0)),Data_Detail[AEA],$A23,Data_Detail[FiscalYear],$K$2)/SUMIFS(INDEX(Data_Detail[],0,MATCH($E$26,Data_Detail[#Headers],0)),Data_Detail[AEA],$A23,Data_Detail[FiscalYear],$K$2)*
INDEX(Data[],MATCH($A23,Data[AEA],0),MATCH("Pay1 - Sept - May",Data[#Headers],0)),0)</f>
        <v>2391</v>
      </c>
      <c r="D23" s="22">
        <f>ROUND(SUMIFS(INDEX(Data_Detail[],0,MATCH(D$14,Data_Detail[#Headers],0)),Data_Detail[AEA],$A23,Data_Detail[FiscalYear],$K$2)/SUMIFS(INDEX(Data_Detail[],0,MATCH($E$26,Data_Detail[#Headers],0)),Data_Detail[AEA],$A23,Data_Detail[FiscalYear],$K$2)*
INDEX(Data[],MATCH($A23,Data[AEA],0),MATCH("Pay1 - Sept - May",Data[#Headers],0)),0)</f>
        <v>610</v>
      </c>
      <c r="E23" s="60">
        <f t="shared" si="4"/>
        <v>3001</v>
      </c>
      <c r="F23" s="25">
        <f>ROUND(SUMIFS(INDEX(Data_Detail[],0,MATCH(F$14,Data_Detail[#Headers],0)),Data_Detail[AEA],$A23,Data_Detail[FiscalYear],$K$2)/SUMIFS(INDEX(Data_Detail[],0,MATCH($E$26,Data_Detail[#Headers],0)),Data_Detail[AEA],$A23,Data_Detail[FiscalYear],$K$2)*
INDEX(Data[],MATCH($A23,Data[AEA],0),MATCH("Pay1 - Sept - May",Data[#Headers],0)),0)</f>
        <v>128903</v>
      </c>
      <c r="G23" s="25">
        <f>ROUND(SUMIFS(INDEX(Data_Detail[],0,MATCH(G$14,Data_Detail[#Headers],0)),Data_Detail[AEA],$A23,Data_Detail[FiscalYear],$K$2)/SUMIFS(INDEX(Data_Detail[],0,MATCH($E$26,Data_Detail[#Headers],0)),Data_Detail[AEA],$A23,Data_Detail[FiscalYear],$K$2)*
INDEX(Data[],MATCH($A23,Data[AEA],0),MATCH("Pay1 - Sept - May",Data[#Headers],0)),0)</f>
        <v>14125</v>
      </c>
    </row>
    <row r="24" spans="1:13" ht="15.75" thickBot="1" x14ac:dyDescent="0.3">
      <c r="A24" s="20"/>
      <c r="B24" s="20"/>
      <c r="C24" s="56">
        <f>SUM(C15:C23)</f>
        <v>14091</v>
      </c>
      <c r="D24" s="23">
        <f>SUM(D15:D23)</f>
        <v>3910</v>
      </c>
      <c r="E24" s="23">
        <f>SUM(E15:E23)</f>
        <v>18001</v>
      </c>
      <c r="F24" s="56">
        <f>SUM(F15:F23)</f>
        <v>1816072</v>
      </c>
      <c r="G24" s="56">
        <f>SUM(G15:G23)</f>
        <v>212927</v>
      </c>
    </row>
    <row r="25" spans="1:13" ht="7.5" customHeight="1" thickTop="1" x14ac:dyDescent="0.25">
      <c r="A25" s="20"/>
      <c r="B25" s="20"/>
      <c r="F25" s="6"/>
      <c r="G25" s="6"/>
      <c r="H25" s="6"/>
    </row>
    <row r="26" spans="1:13" ht="30" customHeight="1" x14ac:dyDescent="0.25">
      <c r="A26" s="18" t="str">
        <f t="shared" ref="A26:B35" si="5">A14</f>
        <v>AEA</v>
      </c>
      <c r="B26" s="18"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4" t="str">
        <f>Data_Detail[[#Headers],[State Aid Portion]]</f>
        <v>State Aid Portion</v>
      </c>
      <c r="G26" s="9" t="str">
        <f>Data_Detail[[#Headers],[Property Tax Portion]]</f>
        <v>Property Tax Portion</v>
      </c>
      <c r="K26" t="s">
        <v>78</v>
      </c>
      <c r="L26" s="24" t="s">
        <v>741</v>
      </c>
      <c r="M26" s="9" t="s">
        <v>742</v>
      </c>
    </row>
    <row r="27" spans="1:13" x14ac:dyDescent="0.25">
      <c r="A27" s="11" t="str">
        <f t="shared" si="5"/>
        <v>01</v>
      </c>
      <c r="B27" s="11" t="str">
        <f t="shared" si="5"/>
        <v>Keystone AEA 1</v>
      </c>
      <c r="C27" s="22">
        <f>ROUND(SUMIFS(INDEX(Data_Detail[],0,MATCH(C$26,Data_Detail[#Headers],0)),Data_Detail[AEA],$A27,Data_Detail[FiscalYear],$K$2)/SUMIFS(INDEX(Data_Detail[],0,MATCH($E$26,Data_Detail[#Headers],0)),Data_Detail[AEA],$A27,Data_Detail[FiscalYear],$K$2)*
INDEX(Data[],MATCH($A27,Data[AEA],0),MATCH("Pay1 - Sept - May",Data[#Headers],0)),0)</f>
        <v>196936</v>
      </c>
      <c r="D27" s="22">
        <f>ROUND(SUMIFS(INDEX(Data_Detail[],0,MATCH(D$26,Data_Detail[#Headers],0)),Data_Detail[AEA],$A27,Data_Detail[FiscalYear],$K$2)/SUMIFS(INDEX(Data_Detail[],0,MATCH($E$26,Data_Detail[#Headers],0)),Data_Detail[AEA],$A27,Data_Detail[FiscalYear],$K$2)*
INDEX(Data[],MATCH($A27,Data[AEA],0),MATCH("Pay1 - Sept - May",Data[#Headers],0)),0)</f>
        <v>219392</v>
      </c>
      <c r="E27" s="68">
        <f>INDEX(Data[],MATCH($A27,Data[AEA],0),MATCH("Pay1 - Sept - May",Data[#Headers],0))</f>
        <v>1455617</v>
      </c>
      <c r="F27" s="58">
        <f>F3+C15+F15+G15</f>
        <v>766431</v>
      </c>
      <c r="G27" s="60">
        <f>G3+H3+D15+C27+D27</f>
        <v>689186</v>
      </c>
      <c r="K27" s="6">
        <f t="shared" ref="K27:K36" si="6">E27-D27-C27-G15-F15-E15-H3-G3-F3</f>
        <v>0</v>
      </c>
      <c r="L27" s="6">
        <f t="shared" ref="L27:L36" si="7">F27-G15-F15-C15-F3</f>
        <v>0</v>
      </c>
      <c r="M27" s="6">
        <f t="shared" ref="M27:M36" si="8">G27-D27-C27-D15-H3-G3</f>
        <v>0</v>
      </c>
    </row>
    <row r="28" spans="1:13" x14ac:dyDescent="0.25">
      <c r="A28" s="11" t="str">
        <f t="shared" si="5"/>
        <v>05</v>
      </c>
      <c r="B28" s="11" t="str">
        <f t="shared" si="5"/>
        <v>Prairie Lakes AEA 8</v>
      </c>
      <c r="C28" s="22">
        <f>ROUND(SUMIFS(INDEX(Data_Detail[],0,MATCH(C$26,Data_Detail[#Headers],0)),Data_Detail[AEA],$A28,Data_Detail[FiscalYear],$K$2)/SUMIFS(INDEX(Data_Detail[],0,MATCH($E$26,Data_Detail[#Headers],0)),Data_Detail[AEA],$A28,Data_Detail[FiscalYear],$K$2)*
INDEX(Data[],MATCH($A28,Data[AEA],0),MATCH("Pay1 - Sept - May",Data[#Headers],0)),0)</f>
        <v>199995</v>
      </c>
      <c r="D28" s="22">
        <f>ROUND(SUMIFS(INDEX(Data_Detail[],0,MATCH(D$26,Data_Detail[#Headers],0)),Data_Detail[AEA],$A28,Data_Detail[FiscalYear],$K$2)/SUMIFS(INDEX(Data_Detail[],0,MATCH($E$26,Data_Detail[#Headers],0)),Data_Detail[AEA],$A28,Data_Detail[FiscalYear],$K$2)*
INDEX(Data[],MATCH($A28,Data[AEA],0),MATCH("Pay1 - Sept - May",Data[#Headers],0)),0)</f>
        <v>224019</v>
      </c>
      <c r="E28" s="68">
        <f>INDEX(Data[],MATCH($A28,Data[AEA],0),MATCH("Pay1 - Sept - May",Data[#Headers],0))</f>
        <v>1521240</v>
      </c>
      <c r="F28" s="58">
        <f t="shared" ref="F28:F35" si="9">F4+C16+F16+G16</f>
        <v>817281</v>
      </c>
      <c r="G28" s="60">
        <f t="shared" ref="G28:G35" si="10">G4+H4+D16+C28+D28</f>
        <v>703959</v>
      </c>
      <c r="K28" s="6">
        <f t="shared" si="6"/>
        <v>0</v>
      </c>
      <c r="L28" s="6">
        <f t="shared" si="7"/>
        <v>0</v>
      </c>
      <c r="M28" s="6">
        <f t="shared" si="8"/>
        <v>0</v>
      </c>
    </row>
    <row r="29" spans="1:13" x14ac:dyDescent="0.25">
      <c r="A29" s="11" t="str">
        <f t="shared" si="5"/>
        <v>07</v>
      </c>
      <c r="B29" s="11" t="str">
        <f t="shared" si="5"/>
        <v>Central Rivers</v>
      </c>
      <c r="C29" s="22">
        <f>ROUND(SUMIFS(INDEX(Data_Detail[],0,MATCH(C$26,Data_Detail[#Headers],0)),Data_Detail[AEA],$A29,Data_Detail[FiscalYear],$K$2)/SUMIFS(INDEX(Data_Detail[],0,MATCH($E$26,Data_Detail[#Headers],0)),Data_Detail[AEA],$A29,Data_Detail[FiscalYear],$K$2)*
INDEX(Data[],MATCH($A29,Data[AEA],0),MATCH("Pay1 - Sept - May",Data[#Headers],0)),0)</f>
        <v>402145</v>
      </c>
      <c r="D29" s="22">
        <f>ROUND(SUMIFS(INDEX(Data_Detail[],0,MATCH(D$26,Data_Detail[#Headers],0)),Data_Detail[AEA],$A29,Data_Detail[FiscalYear],$K$2)/SUMIFS(INDEX(Data_Detail[],0,MATCH($E$26,Data_Detail[#Headers],0)),Data_Detail[AEA],$A29,Data_Detail[FiscalYear],$K$2)*
INDEX(Data[],MATCH($A29,Data[AEA],0),MATCH("Pay1 - Sept - May",Data[#Headers],0)),0)</f>
        <v>448365</v>
      </c>
      <c r="E29" s="68">
        <f>INDEX(Data[],MATCH($A29,Data[AEA],0),MATCH("Pay1 - Sept - May",Data[#Headers],0))</f>
        <v>3162276</v>
      </c>
      <c r="F29" s="58">
        <f t="shared" si="9"/>
        <v>1781757</v>
      </c>
      <c r="G29" s="60">
        <f t="shared" si="10"/>
        <v>1380519</v>
      </c>
      <c r="K29" s="6">
        <f t="shared" si="6"/>
        <v>0</v>
      </c>
      <c r="L29" s="6">
        <f t="shared" si="7"/>
        <v>0</v>
      </c>
      <c r="M29" s="6">
        <f t="shared" si="8"/>
        <v>0</v>
      </c>
    </row>
    <row r="30" spans="1:13" x14ac:dyDescent="0.25">
      <c r="A30" s="11" t="str">
        <f t="shared" si="5"/>
        <v>09</v>
      </c>
      <c r="B30" s="11" t="str">
        <f t="shared" si="5"/>
        <v>Mississippi Bend AEA 9</v>
      </c>
      <c r="C30" s="22">
        <f>ROUND(SUMIFS(INDEX(Data_Detail[],0,MATCH(C$26,Data_Detail[#Headers],0)),Data_Detail[AEA],$A30,Data_Detail[FiscalYear],$K$2)/SUMIFS(INDEX(Data_Detail[],0,MATCH($E$26,Data_Detail[#Headers],0)),Data_Detail[AEA],$A30,Data_Detail[FiscalYear],$K$2)*
INDEX(Data[],MATCH($A30,Data[AEA],0),MATCH("Pay1 - Sept - May",Data[#Headers],0)),0)</f>
        <v>298892</v>
      </c>
      <c r="D30" s="22">
        <f>ROUND(SUMIFS(INDEX(Data_Detail[],0,MATCH(D$26,Data_Detail[#Headers],0)),Data_Detail[AEA],$A30,Data_Detail[FiscalYear],$K$2)/SUMIFS(INDEX(Data_Detail[],0,MATCH($E$26,Data_Detail[#Headers],0)),Data_Detail[AEA],$A30,Data_Detail[FiscalYear],$K$2)*
INDEX(Data[],MATCH($A30,Data[AEA],0),MATCH("Pay1 - Sept - May",Data[#Headers],0)),0)</f>
        <v>326621</v>
      </c>
      <c r="E30" s="68">
        <f>INDEX(Data[],MATCH($A30,Data[AEA],0),MATCH("Pay1 - Sept - May",Data[#Headers],0))</f>
        <v>2248325</v>
      </c>
      <c r="F30" s="58">
        <f t="shared" si="9"/>
        <v>1245107</v>
      </c>
      <c r="G30" s="60">
        <f t="shared" si="10"/>
        <v>1003218</v>
      </c>
      <c r="K30" s="6">
        <f t="shared" si="6"/>
        <v>0</v>
      </c>
      <c r="L30" s="6">
        <f t="shared" si="7"/>
        <v>0</v>
      </c>
      <c r="M30" s="6">
        <f t="shared" si="8"/>
        <v>0</v>
      </c>
    </row>
    <row r="31" spans="1:13" x14ac:dyDescent="0.25">
      <c r="A31" s="11" t="str">
        <f t="shared" si="5"/>
        <v>10</v>
      </c>
      <c r="B31" s="11" t="str">
        <f t="shared" si="5"/>
        <v>Grant Wood AEA 10</v>
      </c>
      <c r="C31" s="22">
        <f>ROUND(SUMIFS(INDEX(Data_Detail[],0,MATCH(C$26,Data_Detail[#Headers],0)),Data_Detail[AEA],$A31,Data_Detail[FiscalYear],$K$2)/SUMIFS(INDEX(Data_Detail[],0,MATCH($E$26,Data_Detail[#Headers],0)),Data_Detail[AEA],$A31,Data_Detail[FiscalYear],$K$2)*
INDEX(Data[],MATCH($A31,Data[AEA],0),MATCH("Pay1 - Sept - May",Data[#Headers],0)),0)</f>
        <v>458089</v>
      </c>
      <c r="D31" s="22">
        <f>ROUND(SUMIFS(INDEX(Data_Detail[],0,MATCH(D$26,Data_Detail[#Headers],0)),Data_Detail[AEA],$A31,Data_Detail[FiscalYear],$K$2)/SUMIFS(INDEX(Data_Detail[],0,MATCH($E$26,Data_Detail[#Headers],0)),Data_Detail[AEA],$A31,Data_Detail[FiscalYear],$K$2)*
INDEX(Data[],MATCH($A31,Data[AEA],0),MATCH("Pay1 - Sept - May",Data[#Headers],0)),0)</f>
        <v>503559</v>
      </c>
      <c r="E31" s="68">
        <f>INDEX(Data[],MATCH($A31,Data[AEA],0),MATCH("Pay1 - Sept - May",Data[#Headers],0))</f>
        <v>3458154</v>
      </c>
      <c r="F31" s="58">
        <f t="shared" si="9"/>
        <v>1950628</v>
      </c>
      <c r="G31" s="60">
        <f t="shared" si="10"/>
        <v>1507526</v>
      </c>
      <c r="K31" s="6">
        <f t="shared" si="6"/>
        <v>0</v>
      </c>
      <c r="L31" s="6">
        <f t="shared" si="7"/>
        <v>0</v>
      </c>
      <c r="M31" s="6">
        <f t="shared" si="8"/>
        <v>0</v>
      </c>
    </row>
    <row r="32" spans="1:13" x14ac:dyDescent="0.25">
      <c r="A32" s="11" t="str">
        <f t="shared" si="5"/>
        <v>11</v>
      </c>
      <c r="B32" s="11" t="str">
        <f t="shared" si="5"/>
        <v>Heartland AEA 11</v>
      </c>
      <c r="C32" s="22">
        <f>ROUND(SUMIFS(INDEX(Data_Detail[],0,MATCH(C$26,Data_Detail[#Headers],0)),Data_Detail[AEA],$A32,Data_Detail[FiscalYear],$K$2)/SUMIFS(INDEX(Data_Detail[],0,MATCH($E$26,Data_Detail[#Headers],0)),Data_Detail[AEA],$A32,Data_Detail[FiscalYear],$K$2)*
INDEX(Data[],MATCH($A32,Data[AEA],0),MATCH("Pay1 - Sept - May",Data[#Headers],0)),0)</f>
        <v>943009</v>
      </c>
      <c r="D32" s="22">
        <f>ROUND(SUMIFS(INDEX(Data_Detail[],0,MATCH(D$26,Data_Detail[#Headers],0)),Data_Detail[AEA],$A32,Data_Detail[FiscalYear],$K$2)/SUMIFS(INDEX(Data_Detail[],0,MATCH($E$26,Data_Detail[#Headers],0)),Data_Detail[AEA],$A32,Data_Detail[FiscalYear],$K$2)*
INDEX(Data[],MATCH($A32,Data[AEA],0),MATCH("Pay1 - Sept - May",Data[#Headers],0)),0)</f>
        <v>1035880</v>
      </c>
      <c r="E32" s="68">
        <f>INDEX(Data[],MATCH($A32,Data[AEA],0),MATCH("Pay1 - Sept - May",Data[#Headers],0))</f>
        <v>7062848</v>
      </c>
      <c r="F32" s="58">
        <f t="shared" si="9"/>
        <v>4083809</v>
      </c>
      <c r="G32" s="60">
        <f t="shared" si="10"/>
        <v>2979039</v>
      </c>
      <c r="K32" s="6">
        <f t="shared" si="6"/>
        <v>0</v>
      </c>
      <c r="L32" s="6">
        <f t="shared" si="7"/>
        <v>0</v>
      </c>
      <c r="M32" s="6">
        <f t="shared" si="8"/>
        <v>0</v>
      </c>
    </row>
    <row r="33" spans="1:13" x14ac:dyDescent="0.25">
      <c r="A33" s="11" t="str">
        <f t="shared" si="5"/>
        <v>12</v>
      </c>
      <c r="B33" s="11" t="str">
        <f t="shared" si="5"/>
        <v>Northwest AEA</v>
      </c>
      <c r="C33" s="22">
        <f>ROUND(SUMIFS(INDEX(Data_Detail[],0,MATCH(C$26,Data_Detail[#Headers],0)),Data_Detail[AEA],$A33,Data_Detail[FiscalYear],$K$2)/SUMIFS(INDEX(Data_Detail[],0,MATCH($E$26,Data_Detail[#Headers],0)),Data_Detail[AEA],$A33,Data_Detail[FiscalYear],$K$2)*
INDEX(Data[],MATCH($A33,Data[AEA],0),MATCH("Pay1 - Sept - May",Data[#Headers],0)),0)</f>
        <v>282599</v>
      </c>
      <c r="D33" s="22">
        <f>ROUND(SUMIFS(INDEX(Data_Detail[],0,MATCH(D$26,Data_Detail[#Headers],0)),Data_Detail[AEA],$A33,Data_Detail[FiscalYear],$K$2)/SUMIFS(INDEX(Data_Detail[],0,MATCH($E$26,Data_Detail[#Headers],0)),Data_Detail[AEA],$A33,Data_Detail[FiscalYear],$K$2)*
INDEX(Data[],MATCH($A33,Data[AEA],0),MATCH("Pay1 - Sept - May",Data[#Headers],0)),0)</f>
        <v>316448</v>
      </c>
      <c r="E33" s="68">
        <f>INDEX(Data[],MATCH($A33,Data[AEA],0),MATCH("Pay1 - Sept - May",Data[#Headers],0))</f>
        <v>2086001</v>
      </c>
      <c r="F33" s="58">
        <f t="shared" si="9"/>
        <v>1132936</v>
      </c>
      <c r="G33" s="60">
        <f t="shared" si="10"/>
        <v>953065</v>
      </c>
      <c r="K33" s="6">
        <f t="shared" si="6"/>
        <v>0</v>
      </c>
      <c r="L33" s="6">
        <f t="shared" si="7"/>
        <v>0</v>
      </c>
      <c r="M33" s="6">
        <f t="shared" si="8"/>
        <v>0</v>
      </c>
    </row>
    <row r="34" spans="1:13" x14ac:dyDescent="0.25">
      <c r="A34" s="11" t="str">
        <f t="shared" si="5"/>
        <v>13</v>
      </c>
      <c r="B34" s="11" t="str">
        <f t="shared" si="5"/>
        <v>Green Hills AEA 13</v>
      </c>
      <c r="C34" s="22">
        <f>ROUND(SUMIFS(INDEX(Data_Detail[],0,MATCH(C$26,Data_Detail[#Headers],0)),Data_Detail[AEA],$A34,Data_Detail[FiscalYear],$K$2)/SUMIFS(INDEX(Data_Detail[],0,MATCH($E$26,Data_Detail[#Headers],0)),Data_Detail[AEA],$A34,Data_Detail[FiscalYear],$K$2)*
INDEX(Data[],MATCH($A34,Data[AEA],0),MATCH("Pay1 - Sept - May",Data[#Headers],0)),0)</f>
        <v>235326</v>
      </c>
      <c r="D34" s="22">
        <f>ROUND(SUMIFS(INDEX(Data_Detail[],0,MATCH(D$26,Data_Detail[#Headers],0)),Data_Detail[AEA],$A34,Data_Detail[FiscalYear],$K$2)/SUMIFS(INDEX(Data_Detail[],0,MATCH($E$26,Data_Detail[#Headers],0)),Data_Detail[AEA],$A34,Data_Detail[FiscalYear],$K$2)*
INDEX(Data[],MATCH($A34,Data[AEA],0),MATCH("Pay1 - Sept - May",Data[#Headers],0)),0)</f>
        <v>260157</v>
      </c>
      <c r="E34" s="68">
        <f>INDEX(Data[],MATCH($A34,Data[AEA],0),MATCH("Pay1 - Sept - May",Data[#Headers],0))</f>
        <v>1840305</v>
      </c>
      <c r="F34" s="58">
        <f t="shared" si="9"/>
        <v>1039511</v>
      </c>
      <c r="G34" s="60">
        <f t="shared" si="10"/>
        <v>800794</v>
      </c>
      <c r="K34" s="6">
        <f t="shared" si="6"/>
        <v>0</v>
      </c>
      <c r="L34" s="6">
        <f t="shared" si="7"/>
        <v>0</v>
      </c>
      <c r="M34" s="6">
        <f t="shared" si="8"/>
        <v>0</v>
      </c>
    </row>
    <row r="35" spans="1:13" x14ac:dyDescent="0.25">
      <c r="A35" s="11" t="str">
        <f t="shared" si="5"/>
        <v>15</v>
      </c>
      <c r="B35" s="11" t="str">
        <f t="shared" si="5"/>
        <v>Great Prairie AEA 15</v>
      </c>
      <c r="C35" s="22">
        <f>ROUND(SUMIFS(INDEX(Data_Detail[],0,MATCH(C$26,Data_Detail[#Headers],0)),Data_Detail[AEA],$A35,Data_Detail[FiscalYear],$K$2)/SUMIFS(INDEX(Data_Detail[],0,MATCH($E$26,Data_Detail[#Headers],0)),Data_Detail[AEA],$A35,Data_Detail[FiscalYear],$K$2)*
INDEX(Data[],MATCH($A35,Data[AEA],0),MATCH("Pay1 - Sept - May",Data[#Headers],0)),0)</f>
        <v>217515</v>
      </c>
      <c r="D35" s="22">
        <f>ROUND(SUMIFS(INDEX(Data_Detail[],0,MATCH(D$26,Data_Detail[#Headers],0)),Data_Detail[AEA],$A35,Data_Detail[FiscalYear],$K$2)/SUMIFS(INDEX(Data_Detail[],0,MATCH($E$26,Data_Detail[#Headers],0)),Data_Detail[AEA],$A35,Data_Detail[FiscalYear],$K$2)*
INDEX(Data[],MATCH($A35,Data[AEA],0),MATCH("Pay1 - Sept - May",Data[#Headers],0)),0)</f>
        <v>239078</v>
      </c>
      <c r="E35" s="68">
        <f>INDEX(Data[],MATCH($A35,Data[AEA],0),MATCH("Pay1 - Sept - May",Data[#Headers],0))</f>
        <v>1650954</v>
      </c>
      <c r="F35" s="66">
        <f t="shared" si="9"/>
        <v>925286</v>
      </c>
      <c r="G35" s="64">
        <f t="shared" si="10"/>
        <v>725668</v>
      </c>
      <c r="K35" s="6">
        <f t="shared" si="6"/>
        <v>0</v>
      </c>
      <c r="L35" s="6">
        <f t="shared" si="7"/>
        <v>0</v>
      </c>
      <c r="M35" s="6">
        <f t="shared" si="8"/>
        <v>0</v>
      </c>
    </row>
    <row r="36" spans="1:13" ht="15.75" thickBot="1" x14ac:dyDescent="0.3">
      <c r="C36" s="23">
        <f t="shared" ref="C36:E36" si="11">SUM(C27:C35)</f>
        <v>3234506</v>
      </c>
      <c r="D36" s="23">
        <f t="shared" si="11"/>
        <v>3573519</v>
      </c>
      <c r="E36" s="69">
        <f t="shared" si="11"/>
        <v>24485720</v>
      </c>
      <c r="F36" s="67">
        <f>SUM(F27:F35)</f>
        <v>13742746</v>
      </c>
      <c r="G36" s="65">
        <f>SUM(G27:G35)</f>
        <v>10742974</v>
      </c>
      <c r="K36" s="6">
        <f t="shared" si="6"/>
        <v>0</v>
      </c>
      <c r="L36" s="6">
        <f t="shared" si="7"/>
        <v>0</v>
      </c>
      <c r="M36" s="6">
        <f t="shared" si="8"/>
        <v>0</v>
      </c>
    </row>
    <row r="37" spans="1:13" ht="15.75" thickTop="1" x14ac:dyDescent="0.25"/>
    <row r="39" spans="1:13" x14ac:dyDescent="0.25">
      <c r="H39" s="6"/>
    </row>
  </sheetData>
  <sheetProtection sheet="1" objects="1" scenarios="1"/>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F8FC-A663-44A5-9333-722F29252FB1}">
  <sheetPr>
    <tabColor rgb="FFFF0000"/>
    <pageSetUpPr fitToPage="1"/>
  </sheetPr>
  <dimension ref="A1:R29"/>
  <sheetViews>
    <sheetView topLeftCell="A2" workbookViewId="0">
      <selection activeCell="L7" sqref="L7"/>
    </sheetView>
  </sheetViews>
  <sheetFormatPr defaultRowHeight="15" x14ac:dyDescent="0.25"/>
  <cols>
    <col min="1" max="1" width="7" customWidth="1"/>
    <col min="2" max="2" width="22.42578125" bestFit="1" customWidth="1"/>
    <col min="3" max="3" width="11.85546875" bestFit="1" customWidth="1"/>
    <col min="4" max="4" width="14.140625" customWidth="1"/>
    <col min="5" max="5" width="13.85546875" customWidth="1"/>
    <col min="6" max="6" width="11.42578125" bestFit="1" customWidth="1"/>
    <col min="7" max="8" width="12.28515625" bestFit="1" customWidth="1"/>
    <col min="9" max="9" width="11.42578125" customWidth="1"/>
    <col min="10" max="10" width="10.7109375" customWidth="1"/>
    <col min="11" max="11" width="8.28515625" bestFit="1" customWidth="1"/>
    <col min="12" max="12" width="13.85546875" customWidth="1"/>
    <col min="13" max="13" width="17.7109375" customWidth="1"/>
    <col min="14" max="15" width="12.28515625" bestFit="1" customWidth="1"/>
    <col min="16" max="16" width="11.42578125" customWidth="1"/>
    <col min="17" max="17" width="10.7109375" customWidth="1"/>
  </cols>
  <sheetData>
    <row r="1" spans="1:18" s="10" customFormat="1" ht="87" hidden="1" customHeight="1" x14ac:dyDescent="0.25">
      <c r="A1" s="28"/>
      <c r="B1" s="28"/>
      <c r="C1" s="28" t="s">
        <v>760</v>
      </c>
      <c r="D1" s="28" t="s">
        <v>745</v>
      </c>
      <c r="E1" s="28" t="s">
        <v>761</v>
      </c>
      <c r="F1" s="28" t="s">
        <v>762</v>
      </c>
      <c r="G1" s="28" t="s">
        <v>763</v>
      </c>
      <c r="H1" s="28" t="s">
        <v>764</v>
      </c>
      <c r="I1" s="28" t="s">
        <v>765</v>
      </c>
      <c r="J1" s="28" t="s">
        <v>766</v>
      </c>
      <c r="K1" s="28" t="s">
        <v>767</v>
      </c>
    </row>
    <row r="2" spans="1:18" ht="25.5" customHeight="1" x14ac:dyDescent="0.25">
      <c r="B2" s="80" t="s">
        <v>769</v>
      </c>
      <c r="C2" s="80"/>
      <c r="D2" s="80"/>
      <c r="E2" s="80"/>
      <c r="F2" s="80"/>
      <c r="G2" s="80"/>
      <c r="H2" s="80"/>
      <c r="I2" s="80"/>
      <c r="J2" s="80"/>
    </row>
    <row r="3" spans="1:18" ht="31.5" customHeight="1" x14ac:dyDescent="0.25">
      <c r="A3" s="33" t="s">
        <v>47</v>
      </c>
      <c r="B3" s="33" t="s">
        <v>48</v>
      </c>
      <c r="C3" s="29" t="s">
        <v>746</v>
      </c>
      <c r="D3" s="29" t="s">
        <v>747</v>
      </c>
      <c r="E3" s="29" t="s">
        <v>748</v>
      </c>
      <c r="F3" s="29" t="s">
        <v>749</v>
      </c>
      <c r="G3" s="29" t="s">
        <v>750</v>
      </c>
      <c r="H3" s="29" t="s">
        <v>751</v>
      </c>
      <c r="I3" s="29" t="s">
        <v>752</v>
      </c>
      <c r="J3" s="29" t="s">
        <v>753</v>
      </c>
      <c r="K3" s="34"/>
      <c r="L3" s="29" t="s">
        <v>748</v>
      </c>
      <c r="M3" s="29" t="s">
        <v>749</v>
      </c>
      <c r="N3" s="29" t="s">
        <v>750</v>
      </c>
      <c r="O3" s="29" t="s">
        <v>751</v>
      </c>
      <c r="P3" s="29" t="s">
        <v>752</v>
      </c>
      <c r="Q3" s="29" t="s">
        <v>753</v>
      </c>
    </row>
    <row r="4" spans="1:18" x14ac:dyDescent="0.25">
      <c r="A4" t="s">
        <v>13</v>
      </c>
      <c r="B4" t="s">
        <v>49</v>
      </c>
      <c r="C4" s="30">
        <v>34.47</v>
      </c>
      <c r="D4" s="30">
        <v>3.74</v>
      </c>
      <c r="E4" s="6">
        <v>11216201</v>
      </c>
      <c r="F4" s="6">
        <v>10552</v>
      </c>
      <c r="G4" s="6">
        <v>11226753</v>
      </c>
      <c r="H4" s="6">
        <v>1969358</v>
      </c>
      <c r="I4" s="6">
        <v>2193922</v>
      </c>
      <c r="J4" s="6">
        <v>30001</v>
      </c>
      <c r="L4" s="6">
        <f>E4-PaymentCodingTotal!C3</f>
        <v>0</v>
      </c>
      <c r="M4" s="6">
        <f>F4-PaymentCodingTotal!H3</f>
        <v>0</v>
      </c>
      <c r="O4" s="6">
        <f>H4-PaymentCodingTotal!C27</f>
        <v>0</v>
      </c>
      <c r="P4" s="6">
        <f>I4-PaymentCodingTotal!D27</f>
        <v>0</v>
      </c>
      <c r="Q4" s="6">
        <f>J4-PaymentCodingTotal!E15</f>
        <v>0</v>
      </c>
    </row>
    <row r="5" spans="1:18" x14ac:dyDescent="0.25">
      <c r="A5" t="s">
        <v>14</v>
      </c>
      <c r="B5" t="s">
        <v>50</v>
      </c>
      <c r="C5" s="30">
        <v>36.43</v>
      </c>
      <c r="D5" s="30">
        <v>4.33</v>
      </c>
      <c r="E5" s="6">
        <v>11733799</v>
      </c>
      <c r="F5" s="6">
        <v>73537</v>
      </c>
      <c r="G5" s="6">
        <v>11807336</v>
      </c>
      <c r="H5" s="6">
        <v>1999952</v>
      </c>
      <c r="I5" s="6">
        <v>2240189</v>
      </c>
      <c r="J5" s="6">
        <v>0</v>
      </c>
      <c r="L5" s="6">
        <f>E5-PaymentCodingTotal!C4</f>
        <v>0</v>
      </c>
      <c r="M5" s="6">
        <f>F5-PaymentCodingTotal!H4</f>
        <v>0</v>
      </c>
      <c r="O5" s="6">
        <f>H5-PaymentCodingTotal!C28</f>
        <v>0</v>
      </c>
      <c r="P5" s="6">
        <f>I5-PaymentCodingTotal!D28</f>
        <v>0</v>
      </c>
      <c r="Q5" s="6">
        <f>J5-PaymentCodingTotal!E16</f>
        <v>0</v>
      </c>
    </row>
    <row r="6" spans="1:18" x14ac:dyDescent="0.25">
      <c r="A6" t="s">
        <v>15</v>
      </c>
      <c r="B6" t="s">
        <v>51</v>
      </c>
      <c r="C6" s="30">
        <v>41.7</v>
      </c>
      <c r="D6" s="30">
        <v>4.8</v>
      </c>
      <c r="E6" s="6">
        <v>23813783</v>
      </c>
      <c r="F6" s="6">
        <v>120712</v>
      </c>
      <c r="G6" s="6">
        <v>23934495</v>
      </c>
      <c r="H6" s="6">
        <v>4021446</v>
      </c>
      <c r="I6" s="6">
        <v>4483647</v>
      </c>
      <c r="J6" s="6">
        <v>30001</v>
      </c>
      <c r="L6" s="6">
        <f>E6-PaymentCodingTotal!C5</f>
        <v>0</v>
      </c>
      <c r="M6" s="6">
        <f>F6-PaymentCodingTotal!H5</f>
        <v>0</v>
      </c>
      <c r="O6" s="6">
        <f>H6-PaymentCodingTotal!C29</f>
        <v>0</v>
      </c>
      <c r="P6" s="6">
        <f>I6-PaymentCodingTotal!D29</f>
        <v>0</v>
      </c>
      <c r="Q6" s="6">
        <f>J6-PaymentCodingTotal!E17</f>
        <v>0</v>
      </c>
    </row>
    <row r="7" spans="1:18" x14ac:dyDescent="0.25">
      <c r="A7" t="s">
        <v>16</v>
      </c>
      <c r="B7" t="s">
        <v>52</v>
      </c>
      <c r="C7" s="30">
        <v>30.77</v>
      </c>
      <c r="D7" s="30">
        <v>3.61</v>
      </c>
      <c r="E7" s="6">
        <v>17350789</v>
      </c>
      <c r="F7" s="6">
        <v>103802</v>
      </c>
      <c r="G7" s="6">
        <v>17454591</v>
      </c>
      <c r="H7" s="6">
        <v>2988923</v>
      </c>
      <c r="I7" s="6">
        <v>3266212</v>
      </c>
      <c r="J7" s="6">
        <v>0</v>
      </c>
      <c r="L7" s="6">
        <f>E7-PaymentCodingTotal!C6</f>
        <v>0</v>
      </c>
      <c r="M7" s="6">
        <f>F7-PaymentCodingTotal!H6</f>
        <v>0</v>
      </c>
      <c r="O7" s="6">
        <f>H7-PaymentCodingTotal!C30</f>
        <v>0</v>
      </c>
      <c r="P7" s="6">
        <f>I7-PaymentCodingTotal!D30</f>
        <v>0</v>
      </c>
      <c r="Q7" s="6">
        <f>J7-PaymentCodingTotal!E18</f>
        <v>0</v>
      </c>
    </row>
    <row r="8" spans="1:18" x14ac:dyDescent="0.25">
      <c r="A8" t="s">
        <v>17</v>
      </c>
      <c r="B8" t="s">
        <v>53</v>
      </c>
      <c r="C8" s="30">
        <v>31.52</v>
      </c>
      <c r="D8" s="30">
        <v>3.67</v>
      </c>
      <c r="E8" s="6">
        <v>25932153</v>
      </c>
      <c r="F8" s="6">
        <v>80473</v>
      </c>
      <c r="G8" s="6">
        <v>26012626</v>
      </c>
      <c r="H8" s="6">
        <v>4580882</v>
      </c>
      <c r="I8" s="6">
        <v>5035582</v>
      </c>
      <c r="J8" s="6">
        <v>30001</v>
      </c>
      <c r="L8" s="6">
        <f>E8-PaymentCodingTotal!C7</f>
        <v>0</v>
      </c>
      <c r="M8" s="6">
        <f>F8-PaymentCodingTotal!H7</f>
        <v>0</v>
      </c>
      <c r="O8" s="6">
        <f>H8-PaymentCodingTotal!C31</f>
        <v>0</v>
      </c>
      <c r="P8" s="6">
        <f>I8-PaymentCodingTotal!D31</f>
        <v>0</v>
      </c>
      <c r="Q8" s="6">
        <f>J8-PaymentCodingTotal!E19</f>
        <v>0</v>
      </c>
    </row>
    <row r="9" spans="1:18" x14ac:dyDescent="0.25">
      <c r="A9" t="s">
        <v>18</v>
      </c>
      <c r="B9" t="s">
        <v>54</v>
      </c>
      <c r="C9" s="30">
        <v>27.75</v>
      </c>
      <c r="D9" s="30">
        <v>3.48</v>
      </c>
      <c r="E9" s="6">
        <v>52548033</v>
      </c>
      <c r="F9" s="6">
        <v>23368</v>
      </c>
      <c r="G9" s="6">
        <v>52571401</v>
      </c>
      <c r="H9" s="6">
        <v>9430082</v>
      </c>
      <c r="I9" s="6">
        <v>10358799</v>
      </c>
      <c r="J9" s="6">
        <v>0</v>
      </c>
      <c r="L9" s="6">
        <f>E9-PaymentCodingTotal!C8</f>
        <v>0</v>
      </c>
      <c r="M9" s="6">
        <f>F9-PaymentCodingTotal!H8</f>
        <v>0</v>
      </c>
      <c r="O9" s="6">
        <f>H9-PaymentCodingTotal!C32</f>
        <v>0</v>
      </c>
      <c r="P9" s="6">
        <f>I9-PaymentCodingTotal!D32</f>
        <v>0</v>
      </c>
      <c r="Q9" s="6">
        <f>J9-PaymentCodingTotal!E20</f>
        <v>0</v>
      </c>
    </row>
    <row r="10" spans="1:18" x14ac:dyDescent="0.25">
      <c r="A10" t="s">
        <v>19</v>
      </c>
      <c r="B10" t="s">
        <v>55</v>
      </c>
      <c r="C10" s="30">
        <v>34.31</v>
      </c>
      <c r="D10" s="30">
        <v>4.09</v>
      </c>
      <c r="E10" s="6">
        <v>15581675</v>
      </c>
      <c r="F10" s="6">
        <v>31999</v>
      </c>
      <c r="G10" s="6">
        <v>15613674</v>
      </c>
      <c r="H10" s="6">
        <v>2825990</v>
      </c>
      <c r="I10" s="6">
        <v>3164474</v>
      </c>
      <c r="J10" s="6">
        <v>30001</v>
      </c>
      <c r="L10" s="6">
        <f>E10-PaymentCodingTotal!C9</f>
        <v>0</v>
      </c>
      <c r="M10" s="6">
        <f>F10-PaymentCodingTotal!H9</f>
        <v>0</v>
      </c>
      <c r="O10" s="6">
        <f>H10-PaymentCodingTotal!C33</f>
        <v>0</v>
      </c>
      <c r="P10" s="6">
        <f>I10-PaymentCodingTotal!D33</f>
        <v>0</v>
      </c>
      <c r="Q10" s="6">
        <f>J10-PaymentCodingTotal!E21</f>
        <v>0</v>
      </c>
    </row>
    <row r="11" spans="1:18" x14ac:dyDescent="0.25">
      <c r="A11" t="s">
        <v>20</v>
      </c>
      <c r="B11" t="s">
        <v>56</v>
      </c>
      <c r="C11" s="30">
        <v>34.29</v>
      </c>
      <c r="D11" s="30">
        <v>3.7</v>
      </c>
      <c r="E11" s="6">
        <v>14310536</v>
      </c>
      <c r="F11" s="6">
        <v>49638</v>
      </c>
      <c r="G11" s="6">
        <v>14360174</v>
      </c>
      <c r="H11" s="6">
        <v>2353258</v>
      </c>
      <c r="I11" s="6">
        <v>2601568</v>
      </c>
      <c r="J11" s="6">
        <v>30002</v>
      </c>
      <c r="L11" s="6">
        <f>E11-PaymentCodingTotal!C10</f>
        <v>0</v>
      </c>
      <c r="M11" s="6">
        <f>F11-PaymentCodingTotal!H10</f>
        <v>0</v>
      </c>
      <c r="O11" s="6">
        <f>H11-PaymentCodingTotal!C34</f>
        <v>0</v>
      </c>
      <c r="P11" s="6">
        <f>I11-PaymentCodingTotal!D34</f>
        <v>0</v>
      </c>
      <c r="Q11" s="6">
        <f>J11-PaymentCodingTotal!E22</f>
        <v>0</v>
      </c>
    </row>
    <row r="12" spans="1:18" x14ac:dyDescent="0.25">
      <c r="A12" t="s">
        <v>21</v>
      </c>
      <c r="B12" t="s">
        <v>57</v>
      </c>
      <c r="C12" s="30">
        <v>33.299999999999997</v>
      </c>
      <c r="D12" s="30">
        <v>3.65</v>
      </c>
      <c r="E12" s="6">
        <v>12798057</v>
      </c>
      <c r="F12" s="6">
        <v>84859</v>
      </c>
      <c r="G12" s="6">
        <v>12882916</v>
      </c>
      <c r="H12" s="6">
        <v>2175147</v>
      </c>
      <c r="I12" s="6">
        <v>2390777</v>
      </c>
      <c r="J12" s="6">
        <v>30000</v>
      </c>
      <c r="L12" s="6">
        <f>E12-PaymentCodingTotal!C11</f>
        <v>0</v>
      </c>
      <c r="M12" s="6">
        <f>F12-PaymentCodingTotal!H11</f>
        <v>0</v>
      </c>
      <c r="O12" s="6">
        <f>H12-PaymentCodingTotal!C35</f>
        <v>0</v>
      </c>
      <c r="P12" s="6">
        <f>I12-PaymentCodingTotal!D35</f>
        <v>0</v>
      </c>
      <c r="Q12" s="6">
        <f>J12-PaymentCodingTotal!E23</f>
        <v>0</v>
      </c>
    </row>
    <row r="13" spans="1:18" ht="15.75" thickBot="1" x14ac:dyDescent="0.3">
      <c r="E13" s="31">
        <v>185285026</v>
      </c>
      <c r="F13" s="31">
        <v>578940</v>
      </c>
      <c r="G13" s="31">
        <v>185863966</v>
      </c>
      <c r="H13" s="31">
        <v>32345038</v>
      </c>
      <c r="I13" s="31">
        <v>35735170</v>
      </c>
      <c r="J13" s="31">
        <v>180006</v>
      </c>
      <c r="L13" s="6">
        <f>E13-PaymentCodingTotal!C12</f>
        <v>0</v>
      </c>
      <c r="M13" s="6">
        <f>F13-PaymentCodingTotal!H12</f>
        <v>0</v>
      </c>
      <c r="O13" s="6">
        <f>H13-PaymentCodingTotal!C36</f>
        <v>0</v>
      </c>
      <c r="P13" s="6">
        <f>I13-PaymentCodingTotal!D36</f>
        <v>0</v>
      </c>
      <c r="Q13" s="6">
        <f>J13-PaymentCodingTotal!E24</f>
        <v>0</v>
      </c>
    </row>
    <row r="14" spans="1:18" ht="7.5" customHeight="1" thickTop="1" x14ac:dyDescent="0.25">
      <c r="F14" s="6"/>
      <c r="G14" s="6"/>
      <c r="H14" s="6"/>
      <c r="I14" s="6"/>
      <c r="J14" s="6"/>
    </row>
    <row r="15" spans="1:18" ht="81.75" hidden="1" customHeight="1" x14ac:dyDescent="0.25">
      <c r="A15" s="32"/>
      <c r="B15" s="32"/>
      <c r="C15" s="28" t="s">
        <v>74</v>
      </c>
      <c r="D15" s="28" t="s">
        <v>75</v>
      </c>
      <c r="E15" s="28" t="s">
        <v>756</v>
      </c>
      <c r="F15" s="28" t="s">
        <v>66</v>
      </c>
      <c r="G15" s="28" t="s">
        <v>78</v>
      </c>
      <c r="H15" s="28" t="s">
        <v>79</v>
      </c>
      <c r="I15" s="28" t="s">
        <v>80</v>
      </c>
      <c r="J15" s="35"/>
    </row>
    <row r="16" spans="1:18" ht="45" x14ac:dyDescent="0.25">
      <c r="A16" s="33" t="s">
        <v>47</v>
      </c>
      <c r="B16" s="33" t="s">
        <v>48</v>
      </c>
      <c r="C16" s="29" t="s">
        <v>754</v>
      </c>
      <c r="D16" s="29" t="s">
        <v>755</v>
      </c>
      <c r="E16" s="29" t="s">
        <v>756</v>
      </c>
      <c r="F16" s="29" t="s">
        <v>757</v>
      </c>
      <c r="G16" s="29" t="s">
        <v>78</v>
      </c>
      <c r="H16" s="29" t="s">
        <v>758</v>
      </c>
      <c r="I16" s="36" t="s">
        <v>759</v>
      </c>
      <c r="J16" s="37"/>
      <c r="L16" s="29" t="s">
        <v>754</v>
      </c>
      <c r="M16" s="29" t="s">
        <v>755</v>
      </c>
      <c r="N16" s="29" t="s">
        <v>756</v>
      </c>
      <c r="O16" s="29" t="s">
        <v>757</v>
      </c>
      <c r="P16" s="29" t="s">
        <v>78</v>
      </c>
      <c r="Q16" s="29" t="s">
        <v>758</v>
      </c>
      <c r="R16" s="36" t="s">
        <v>759</v>
      </c>
    </row>
    <row r="17" spans="1:18" x14ac:dyDescent="0.25">
      <c r="A17" t="s">
        <v>13</v>
      </c>
      <c r="B17" t="s">
        <v>49</v>
      </c>
      <c r="C17" s="6">
        <v>1110571</v>
      </c>
      <c r="D17" s="6">
        <v>120492</v>
      </c>
      <c r="E17" s="6">
        <v>16651097</v>
      </c>
      <c r="F17" s="6">
        <v>2094923</v>
      </c>
      <c r="G17" s="6">
        <v>14556174</v>
      </c>
      <c r="H17" s="6">
        <v>7664312</v>
      </c>
      <c r="I17" s="6">
        <v>6891862</v>
      </c>
      <c r="J17" s="38"/>
      <c r="L17" s="6">
        <f>C17-PaymentCodingTotal!F15</f>
        <v>0</v>
      </c>
      <c r="M17" s="6">
        <f>D17-PaymentCodingTotal!G15</f>
        <v>0</v>
      </c>
      <c r="O17" s="6">
        <f>F17-PaymentCodingTotal!E3</f>
        <v>0</v>
      </c>
      <c r="P17" s="6">
        <f>G17-PaymentCodingTotal!E27</f>
        <v>0</v>
      </c>
      <c r="Q17" s="6">
        <f>H17-PaymentCodingTotal!F27</f>
        <v>0</v>
      </c>
      <c r="R17" s="6">
        <f>I17-PaymentCodingTotal!G27</f>
        <v>0</v>
      </c>
    </row>
    <row r="18" spans="1:18" x14ac:dyDescent="0.25">
      <c r="A18" t="s">
        <v>14</v>
      </c>
      <c r="B18" t="s">
        <v>50</v>
      </c>
      <c r="C18" s="6">
        <v>1244494</v>
      </c>
      <c r="D18" s="6">
        <v>147912</v>
      </c>
      <c r="E18" s="6">
        <v>17439883</v>
      </c>
      <c r="F18" s="6">
        <v>2227501</v>
      </c>
      <c r="G18" s="6">
        <v>15212382</v>
      </c>
      <c r="H18" s="6">
        <v>8172796</v>
      </c>
      <c r="I18" s="6">
        <v>7039586</v>
      </c>
      <c r="J18" s="38"/>
      <c r="L18" s="6">
        <f>C18-PaymentCodingTotal!F16</f>
        <v>0</v>
      </c>
      <c r="M18" s="6">
        <f>D18-PaymentCodingTotal!G16</f>
        <v>0</v>
      </c>
      <c r="O18" s="6">
        <f>F18-PaymentCodingTotal!E4</f>
        <v>0</v>
      </c>
      <c r="P18" s="6">
        <f>G18-PaymentCodingTotal!E28</f>
        <v>0</v>
      </c>
      <c r="Q18" s="6">
        <f>H18-PaymentCodingTotal!F28</f>
        <v>0</v>
      </c>
      <c r="R18" s="6">
        <f>I18-PaymentCodingTotal!G28</f>
        <v>0</v>
      </c>
    </row>
    <row r="19" spans="1:18" x14ac:dyDescent="0.25">
      <c r="A19" t="s">
        <v>15</v>
      </c>
      <c r="B19" t="s">
        <v>51</v>
      </c>
      <c r="C19" s="6">
        <v>2947977</v>
      </c>
      <c r="D19" s="6">
        <v>339319</v>
      </c>
      <c r="E19" s="6">
        <v>35756885</v>
      </c>
      <c r="F19" s="6">
        <v>4134155</v>
      </c>
      <c r="G19" s="6">
        <v>31622730</v>
      </c>
      <c r="H19" s="6">
        <v>17817550</v>
      </c>
      <c r="I19" s="6">
        <v>13805180</v>
      </c>
      <c r="J19" s="38"/>
      <c r="L19" s="6">
        <f>C19-PaymentCodingTotal!F17</f>
        <v>0</v>
      </c>
      <c r="M19" s="6">
        <f>D19-PaymentCodingTotal!G17</f>
        <v>0</v>
      </c>
      <c r="O19" s="6">
        <f>F19-PaymentCodingTotal!E5</f>
        <v>0</v>
      </c>
      <c r="P19" s="6">
        <f>G19-PaymentCodingTotal!E29</f>
        <v>0</v>
      </c>
      <c r="Q19" s="6">
        <f>H19-PaymentCodingTotal!F29</f>
        <v>0</v>
      </c>
      <c r="R19" s="6">
        <f>I19-PaymentCodingTotal!G29</f>
        <v>0</v>
      </c>
    </row>
    <row r="20" spans="1:18" x14ac:dyDescent="0.25">
      <c r="A20" t="s">
        <v>16</v>
      </c>
      <c r="B20" t="s">
        <v>52</v>
      </c>
      <c r="C20" s="6">
        <v>1594669</v>
      </c>
      <c r="D20" s="6">
        <v>187087</v>
      </c>
      <c r="E20" s="6">
        <v>25491482</v>
      </c>
      <c r="F20" s="6">
        <v>3008239</v>
      </c>
      <c r="G20" s="6">
        <v>22483243</v>
      </c>
      <c r="H20" s="6">
        <v>12451056</v>
      </c>
      <c r="I20" s="6">
        <v>10032187</v>
      </c>
      <c r="J20" s="38"/>
      <c r="L20" s="6">
        <f>C20-PaymentCodingTotal!F18</f>
        <v>0</v>
      </c>
      <c r="M20" s="6">
        <f>D20-PaymentCodingTotal!G18</f>
        <v>0</v>
      </c>
      <c r="O20" s="6">
        <f>F20-PaymentCodingTotal!E6</f>
        <v>0</v>
      </c>
      <c r="P20" s="6">
        <f>G20-PaymentCodingTotal!E30</f>
        <v>0</v>
      </c>
      <c r="Q20" s="6">
        <f>H20-PaymentCodingTotal!F30</f>
        <v>0</v>
      </c>
      <c r="R20" s="6">
        <f>I20-PaymentCodingTotal!G30</f>
        <v>0</v>
      </c>
    </row>
    <row r="21" spans="1:18" x14ac:dyDescent="0.25">
      <c r="A21" t="s">
        <v>17</v>
      </c>
      <c r="B21" t="s">
        <v>53</v>
      </c>
      <c r="C21" s="6">
        <v>2456867</v>
      </c>
      <c r="D21" s="6">
        <v>286050</v>
      </c>
      <c r="E21" s="6">
        <v>38402008</v>
      </c>
      <c r="F21" s="6">
        <v>3820494</v>
      </c>
      <c r="G21" s="6">
        <v>34581514</v>
      </c>
      <c r="H21" s="6">
        <v>19506268</v>
      </c>
      <c r="I21" s="6">
        <v>15075246</v>
      </c>
      <c r="J21" s="38"/>
      <c r="L21" s="6">
        <f>C21-PaymentCodingTotal!F19</f>
        <v>0</v>
      </c>
      <c r="M21" s="6">
        <f>D21-PaymentCodingTotal!G19</f>
        <v>0</v>
      </c>
      <c r="O21" s="6">
        <f>F21-PaymentCodingTotal!E7</f>
        <v>0</v>
      </c>
      <c r="P21" s="6">
        <f>G21-PaymentCodingTotal!E31</f>
        <v>0</v>
      </c>
      <c r="Q21" s="6">
        <f>H21-PaymentCodingTotal!F31</f>
        <v>0</v>
      </c>
      <c r="R21" s="6">
        <f>I21-PaymentCodingTotal!G31</f>
        <v>0</v>
      </c>
    </row>
    <row r="22" spans="1:18" x14ac:dyDescent="0.25">
      <c r="A22" t="s">
        <v>18</v>
      </c>
      <c r="B22" t="s">
        <v>54</v>
      </c>
      <c r="C22" s="6">
        <v>4475270</v>
      </c>
      <c r="D22" s="6">
        <v>561231</v>
      </c>
      <c r="E22" s="6">
        <v>77396783</v>
      </c>
      <c r="F22" s="6">
        <v>6768337</v>
      </c>
      <c r="G22" s="6">
        <v>70628446</v>
      </c>
      <c r="H22" s="6">
        <v>40838071</v>
      </c>
      <c r="I22" s="6">
        <v>29790375</v>
      </c>
      <c r="J22" s="38"/>
      <c r="L22" s="6">
        <f>C22-PaymentCodingTotal!F20</f>
        <v>0</v>
      </c>
      <c r="M22" s="6">
        <f>D22-PaymentCodingTotal!G20</f>
        <v>0</v>
      </c>
      <c r="O22" s="6">
        <f>F22-PaymentCodingTotal!E8</f>
        <v>0</v>
      </c>
      <c r="P22" s="6">
        <f>G22-PaymentCodingTotal!E32</f>
        <v>0</v>
      </c>
      <c r="Q22" s="6">
        <f>H22-PaymentCodingTotal!F32</f>
        <v>0</v>
      </c>
      <c r="R22" s="6">
        <f>I22-PaymentCodingTotal!G32</f>
        <v>0</v>
      </c>
    </row>
    <row r="23" spans="1:18" x14ac:dyDescent="0.25">
      <c r="A23" t="s">
        <v>19</v>
      </c>
      <c r="B23" t="s">
        <v>55</v>
      </c>
      <c r="C23" s="6">
        <v>1570341</v>
      </c>
      <c r="D23" s="6">
        <v>187192</v>
      </c>
      <c r="E23" s="6">
        <v>23391672</v>
      </c>
      <c r="F23" s="6">
        <v>2531689</v>
      </c>
      <c r="G23" s="6">
        <v>20859983</v>
      </c>
      <c r="H23" s="6">
        <v>11329342</v>
      </c>
      <c r="I23" s="6">
        <v>9530641</v>
      </c>
      <c r="J23" s="38"/>
      <c r="L23" s="6">
        <f>C23-PaymentCodingTotal!F21</f>
        <v>0</v>
      </c>
      <c r="M23" s="6">
        <f>D23-PaymentCodingTotal!G21</f>
        <v>0</v>
      </c>
      <c r="O23" s="6">
        <f>F23-PaymentCodingTotal!E9</f>
        <v>0</v>
      </c>
      <c r="P23" s="6">
        <f>G23-PaymentCodingTotal!E33</f>
        <v>0</v>
      </c>
      <c r="Q23" s="6">
        <f>H23-PaymentCodingTotal!F33</f>
        <v>0</v>
      </c>
      <c r="R23" s="6">
        <f>I23-PaymentCodingTotal!G33</f>
        <v>0</v>
      </c>
    </row>
    <row r="24" spans="1:18" x14ac:dyDescent="0.25">
      <c r="A24" t="s">
        <v>20</v>
      </c>
      <c r="B24" t="s">
        <v>56</v>
      </c>
      <c r="C24" s="6">
        <v>1471486</v>
      </c>
      <c r="D24" s="6">
        <v>158737</v>
      </c>
      <c r="E24" s="6">
        <v>20975225</v>
      </c>
      <c r="F24" s="6">
        <v>2572196</v>
      </c>
      <c r="G24" s="6">
        <v>18403029</v>
      </c>
      <c r="H24" s="6">
        <v>10395097</v>
      </c>
      <c r="I24" s="6">
        <v>8007932</v>
      </c>
      <c r="J24" s="38"/>
      <c r="L24" s="6">
        <f>C24-PaymentCodingTotal!F22</f>
        <v>0</v>
      </c>
      <c r="M24" s="6">
        <f>D24-PaymentCodingTotal!G22</f>
        <v>0</v>
      </c>
      <c r="O24" s="6">
        <f>F24-PaymentCodingTotal!E10</f>
        <v>0</v>
      </c>
      <c r="P24" s="6">
        <f>G24-PaymentCodingTotal!E34</f>
        <v>0</v>
      </c>
      <c r="Q24" s="6">
        <f>H24-PaymentCodingTotal!F34</f>
        <v>0</v>
      </c>
      <c r="R24" s="6">
        <f>I24-PaymentCodingTotal!G34</f>
        <v>0</v>
      </c>
    </row>
    <row r="25" spans="1:18" x14ac:dyDescent="0.25">
      <c r="A25" t="s">
        <v>21</v>
      </c>
      <c r="B25" t="s">
        <v>57</v>
      </c>
      <c r="C25" s="6">
        <v>1289025</v>
      </c>
      <c r="D25" s="6">
        <v>141245</v>
      </c>
      <c r="E25" s="6">
        <v>18909110</v>
      </c>
      <c r="F25" s="6">
        <v>2399597</v>
      </c>
      <c r="G25" s="6">
        <v>16509513</v>
      </c>
      <c r="H25" s="6">
        <v>9252847</v>
      </c>
      <c r="I25" s="6">
        <v>7256666</v>
      </c>
      <c r="J25" s="38"/>
      <c r="L25" s="6">
        <f>C25-PaymentCodingTotal!F23</f>
        <v>0</v>
      </c>
      <c r="M25" s="6">
        <f>D25-PaymentCodingTotal!G23</f>
        <v>0</v>
      </c>
      <c r="O25" s="6">
        <f>F25-PaymentCodingTotal!E11</f>
        <v>0</v>
      </c>
      <c r="P25" s="6">
        <f>G25-PaymentCodingTotal!E35</f>
        <v>0</v>
      </c>
      <c r="Q25" s="6">
        <f>H25-PaymentCodingTotal!F35</f>
        <v>0</v>
      </c>
      <c r="R25" s="6">
        <f>I25-PaymentCodingTotal!G35</f>
        <v>0</v>
      </c>
    </row>
    <row r="26" spans="1:18" ht="15.75" thickBot="1" x14ac:dyDescent="0.3">
      <c r="C26" s="31">
        <v>18160700</v>
      </c>
      <c r="D26" s="31">
        <v>2129265</v>
      </c>
      <c r="E26" s="31">
        <v>274414145</v>
      </c>
      <c r="F26" s="31">
        <v>29557131</v>
      </c>
      <c r="G26" s="31">
        <v>244857014</v>
      </c>
      <c r="H26" s="31">
        <v>137427339</v>
      </c>
      <c r="I26" s="31">
        <v>107429675</v>
      </c>
      <c r="J26" s="38"/>
      <c r="L26" s="6">
        <f>C26-PaymentCodingTotal!F24</f>
        <v>0</v>
      </c>
      <c r="M26" s="6">
        <f>D26-PaymentCodingTotal!G24</f>
        <v>0</v>
      </c>
      <c r="O26" s="6">
        <f>F26-PaymentCodingTotal!E12</f>
        <v>0</v>
      </c>
      <c r="P26" s="6">
        <f>G26-PaymentCodingTotal!E36</f>
        <v>0</v>
      </c>
      <c r="Q26" s="6">
        <f>H26-PaymentCodingTotal!F36</f>
        <v>0</v>
      </c>
      <c r="R26" s="6">
        <f>I26-PaymentCodingTotal!G36</f>
        <v>0</v>
      </c>
    </row>
    <row r="27" spans="1:18" ht="15.75" thickTop="1" x14ac:dyDescent="0.25"/>
    <row r="29" spans="1:18" x14ac:dyDescent="0.25">
      <c r="H29" s="6"/>
    </row>
  </sheetData>
  <mergeCells count="1">
    <mergeCell ref="B2:J2"/>
  </mergeCells>
  <pageMargins left="0.25" right="0.25" top="0.75" bottom="0.75" header="0.3" footer="0.3"/>
  <pageSetup scale="90" fitToWidth="0" orientation="landscape" r:id="rId1"/>
  <headerFooter>
    <oddHeader xml:space="preserve">&amp;C&amp;"-,Bold"&amp;14FY 2024 AEA Enrollments and Cost - Final - 3.0% of Growth - $29.6 million Reduction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576A-B0FC-40B5-A77C-B8205B7C52BF}">
  <dimension ref="A1:V326"/>
  <sheetViews>
    <sheetView workbookViewId="0">
      <selection activeCell="F1" sqref="F1:F1048576"/>
    </sheetView>
  </sheetViews>
  <sheetFormatPr defaultRowHeight="15" x14ac:dyDescent="0.25"/>
  <cols>
    <col min="1" max="1" width="12" customWidth="1"/>
    <col min="2" max="2" width="9.140625" style="1"/>
    <col min="3" max="3" width="12.42578125" customWidth="1"/>
    <col min="4" max="4" width="9.140625" style="1"/>
    <col min="5" max="5" width="9.42578125" customWidth="1"/>
    <col min="6" max="6" width="52.140625" customWidth="1"/>
    <col min="7" max="7" width="27.42578125" customWidth="1"/>
    <col min="8" max="8" width="34" customWidth="1"/>
    <col min="9" max="9" width="35.85546875" customWidth="1"/>
    <col min="10" max="10" width="37.140625" customWidth="1"/>
    <col min="11" max="11" width="34.28515625" customWidth="1"/>
    <col min="12" max="12" width="62.5703125" customWidth="1"/>
    <col min="13" max="13" width="35.42578125" customWidth="1"/>
    <col min="14" max="14" width="31.5703125" customWidth="1"/>
    <col min="15" max="15" width="28.85546875" customWidth="1"/>
    <col min="16" max="16" width="42.140625" customWidth="1"/>
    <col min="17" max="17" width="53" customWidth="1"/>
    <col min="18" max="18" width="31.5703125" customWidth="1"/>
    <col min="19" max="19" width="28" customWidth="1"/>
    <col min="20" max="20" width="14.28515625" customWidth="1"/>
    <col min="21" max="21" width="18.140625" customWidth="1"/>
    <col min="22" max="22" width="21.28515625" customWidth="1"/>
  </cols>
  <sheetData>
    <row r="1" spans="1:22" x14ac:dyDescent="0.25">
      <c r="A1" t="s">
        <v>61</v>
      </c>
      <c r="B1" s="1" t="s">
        <v>47</v>
      </c>
      <c r="C1" t="s">
        <v>48</v>
      </c>
      <c r="D1" s="1" t="s">
        <v>62</v>
      </c>
      <c r="E1" t="s">
        <v>63</v>
      </c>
      <c r="F1" t="s">
        <v>64</v>
      </c>
      <c r="G1" t="s">
        <v>65</v>
      </c>
      <c r="H1" t="s">
        <v>66</v>
      </c>
      <c r="I1" t="s">
        <v>67</v>
      </c>
      <c r="J1" t="s">
        <v>68</v>
      </c>
      <c r="K1" t="s">
        <v>69</v>
      </c>
      <c r="L1" t="s">
        <v>70</v>
      </c>
      <c r="M1" t="s">
        <v>71</v>
      </c>
      <c r="N1" t="s">
        <v>72</v>
      </c>
      <c r="O1" t="s">
        <v>73</v>
      </c>
      <c r="P1" t="s">
        <v>74</v>
      </c>
      <c r="Q1" t="s">
        <v>75</v>
      </c>
      <c r="R1" t="s">
        <v>76</v>
      </c>
      <c r="S1" t="s">
        <v>77</v>
      </c>
      <c r="T1" t="s">
        <v>78</v>
      </c>
      <c r="U1" t="s">
        <v>79</v>
      </c>
      <c r="V1" t="s">
        <v>80</v>
      </c>
    </row>
    <row r="2" spans="1:22" x14ac:dyDescent="0.25">
      <c r="A2">
        <v>2024</v>
      </c>
      <c r="B2" s="1" t="s">
        <v>18</v>
      </c>
      <c r="C2" t="s">
        <v>54</v>
      </c>
      <c r="D2" s="1" t="s">
        <v>406</v>
      </c>
      <c r="E2" t="s">
        <v>81</v>
      </c>
      <c r="F2" s="6">
        <v>115668</v>
      </c>
      <c r="G2" s="6">
        <v>93704</v>
      </c>
      <c r="H2" s="6">
        <v>22203</v>
      </c>
      <c r="I2" s="6">
        <v>71501</v>
      </c>
      <c r="J2" s="6">
        <v>21964</v>
      </c>
      <c r="K2">
        <v>0</v>
      </c>
      <c r="L2" s="6">
        <v>93465</v>
      </c>
      <c r="M2">
        <v>0</v>
      </c>
      <c r="N2">
        <v>0</v>
      </c>
      <c r="O2">
        <v>0</v>
      </c>
      <c r="P2" s="6">
        <v>9850</v>
      </c>
      <c r="Q2" s="6">
        <v>1235</v>
      </c>
      <c r="R2" s="6">
        <v>18984</v>
      </c>
      <c r="S2" s="6">
        <v>20854</v>
      </c>
      <c r="T2" s="6">
        <v>144388</v>
      </c>
      <c r="U2" s="6">
        <v>82586</v>
      </c>
      <c r="V2" s="6">
        <v>61802</v>
      </c>
    </row>
    <row r="3" spans="1:22" x14ac:dyDescent="0.25">
      <c r="A3">
        <v>2024</v>
      </c>
      <c r="B3" s="1" t="s">
        <v>18</v>
      </c>
      <c r="C3" t="s">
        <v>54</v>
      </c>
      <c r="D3" s="1" t="s">
        <v>407</v>
      </c>
      <c r="E3" t="s">
        <v>82</v>
      </c>
      <c r="F3" s="6">
        <v>772068</v>
      </c>
      <c r="G3" s="6">
        <v>625464</v>
      </c>
      <c r="H3" s="6">
        <v>82599</v>
      </c>
      <c r="I3" s="6">
        <v>542865</v>
      </c>
      <c r="J3" s="6">
        <v>146604</v>
      </c>
      <c r="K3">
        <v>0</v>
      </c>
      <c r="L3" s="6">
        <v>689469</v>
      </c>
      <c r="M3">
        <v>0</v>
      </c>
      <c r="N3">
        <v>0</v>
      </c>
      <c r="O3">
        <v>0</v>
      </c>
      <c r="P3" s="6">
        <v>65745</v>
      </c>
      <c r="Q3" s="6">
        <v>8245</v>
      </c>
      <c r="R3" s="6">
        <v>133944</v>
      </c>
      <c r="S3" s="6">
        <v>147136</v>
      </c>
      <c r="T3" s="6">
        <v>1044539</v>
      </c>
      <c r="U3" s="6">
        <v>616855</v>
      </c>
      <c r="V3" s="6">
        <v>427684</v>
      </c>
    </row>
    <row r="4" spans="1:22" x14ac:dyDescent="0.25">
      <c r="A4">
        <v>2024</v>
      </c>
      <c r="B4" s="1" t="s">
        <v>15</v>
      </c>
      <c r="C4" t="s">
        <v>51</v>
      </c>
      <c r="D4" s="1" t="s">
        <v>408</v>
      </c>
      <c r="E4" t="s">
        <v>83</v>
      </c>
      <c r="F4" s="6">
        <v>267538</v>
      </c>
      <c r="G4" s="6">
        <v>209423</v>
      </c>
      <c r="H4" s="6">
        <v>54162</v>
      </c>
      <c r="I4" s="6">
        <v>155261</v>
      </c>
      <c r="J4" s="6">
        <v>58115</v>
      </c>
      <c r="K4">
        <v>0</v>
      </c>
      <c r="L4" s="6">
        <v>213376</v>
      </c>
      <c r="M4">
        <v>264</v>
      </c>
      <c r="N4">
        <v>73</v>
      </c>
      <c r="O4">
        <v>337</v>
      </c>
      <c r="P4" s="6">
        <v>33079</v>
      </c>
      <c r="Q4" s="6">
        <v>3808</v>
      </c>
      <c r="R4" s="6">
        <v>43854</v>
      </c>
      <c r="S4" s="6">
        <v>48894</v>
      </c>
      <c r="T4" s="6">
        <v>343348</v>
      </c>
      <c r="U4" s="6">
        <v>192412</v>
      </c>
      <c r="V4" s="6">
        <v>150936</v>
      </c>
    </row>
    <row r="5" spans="1:22" x14ac:dyDescent="0.25">
      <c r="A5">
        <v>2024</v>
      </c>
      <c r="B5" s="1" t="s">
        <v>20</v>
      </c>
      <c r="C5" t="s">
        <v>56</v>
      </c>
      <c r="D5" s="1" t="s">
        <v>409</v>
      </c>
      <c r="E5" t="s">
        <v>84</v>
      </c>
      <c r="F5" s="6">
        <v>298238</v>
      </c>
      <c r="G5" s="6">
        <v>235776</v>
      </c>
      <c r="H5" s="6">
        <v>55456</v>
      </c>
      <c r="I5" s="6">
        <v>180320</v>
      </c>
      <c r="J5" s="6">
        <v>62462</v>
      </c>
      <c r="K5">
        <v>0</v>
      </c>
      <c r="L5" s="6">
        <v>242782</v>
      </c>
      <c r="M5">
        <v>494</v>
      </c>
      <c r="N5">
        <v>130</v>
      </c>
      <c r="O5">
        <v>624</v>
      </c>
      <c r="P5" s="6">
        <v>30624</v>
      </c>
      <c r="Q5" s="6">
        <v>3304</v>
      </c>
      <c r="R5" s="6">
        <v>49425</v>
      </c>
      <c r="S5" s="6">
        <v>54640</v>
      </c>
      <c r="T5" s="6">
        <v>381399</v>
      </c>
      <c r="U5" s="6">
        <v>214741</v>
      </c>
      <c r="V5" s="6">
        <v>166658</v>
      </c>
    </row>
    <row r="6" spans="1:22" x14ac:dyDescent="0.25">
      <c r="A6">
        <v>2024</v>
      </c>
      <c r="B6" s="1" t="s">
        <v>19</v>
      </c>
      <c r="C6" t="s">
        <v>55</v>
      </c>
      <c r="D6" s="1" t="s">
        <v>410</v>
      </c>
      <c r="E6" t="s">
        <v>85</v>
      </c>
      <c r="F6" s="6">
        <v>215307</v>
      </c>
      <c r="G6" s="6">
        <v>166925</v>
      </c>
      <c r="H6" s="6">
        <v>35284</v>
      </c>
      <c r="I6" s="6">
        <v>131641</v>
      </c>
      <c r="J6" s="6">
        <v>48382</v>
      </c>
      <c r="K6">
        <v>0</v>
      </c>
      <c r="L6" s="6">
        <v>180023</v>
      </c>
      <c r="M6">
        <v>322</v>
      </c>
      <c r="N6">
        <v>93</v>
      </c>
      <c r="O6">
        <v>415</v>
      </c>
      <c r="P6" s="6">
        <v>21694</v>
      </c>
      <c r="Q6" s="6">
        <v>2586</v>
      </c>
      <c r="R6" s="6">
        <v>35534</v>
      </c>
      <c r="S6" s="6">
        <v>39790</v>
      </c>
      <c r="T6" s="6">
        <v>280042</v>
      </c>
      <c r="U6" s="6">
        <v>156243</v>
      </c>
      <c r="V6" s="6">
        <v>123799</v>
      </c>
    </row>
    <row r="7" spans="1:22" x14ac:dyDescent="0.25">
      <c r="A7">
        <v>2024</v>
      </c>
      <c r="B7" s="1" t="s">
        <v>14</v>
      </c>
      <c r="C7" t="s">
        <v>50</v>
      </c>
      <c r="D7" s="1" t="s">
        <v>411</v>
      </c>
      <c r="E7" t="s">
        <v>86</v>
      </c>
      <c r="F7" s="6">
        <v>81086</v>
      </c>
      <c r="G7" s="6">
        <v>62249</v>
      </c>
      <c r="H7" s="6">
        <v>18549</v>
      </c>
      <c r="I7" s="6">
        <v>43700</v>
      </c>
      <c r="J7" s="6">
        <v>18837</v>
      </c>
      <c r="K7">
        <v>0</v>
      </c>
      <c r="L7" s="6">
        <v>62537</v>
      </c>
      <c r="M7">
        <v>0</v>
      </c>
      <c r="N7">
        <v>0</v>
      </c>
      <c r="O7">
        <v>0</v>
      </c>
      <c r="P7" s="6">
        <v>8590</v>
      </c>
      <c r="Q7" s="6">
        <v>1021</v>
      </c>
      <c r="R7" s="6">
        <v>13129</v>
      </c>
      <c r="S7" s="6">
        <v>14706</v>
      </c>
      <c r="T7" s="6">
        <v>99983</v>
      </c>
      <c r="U7" s="6">
        <v>53311</v>
      </c>
      <c r="V7" s="6">
        <v>46672</v>
      </c>
    </row>
    <row r="8" spans="1:22" x14ac:dyDescent="0.25">
      <c r="A8">
        <v>2024</v>
      </c>
      <c r="B8" s="1" t="s">
        <v>21</v>
      </c>
      <c r="C8" t="s">
        <v>57</v>
      </c>
      <c r="D8" s="1" t="s">
        <v>412</v>
      </c>
      <c r="E8" t="s">
        <v>87</v>
      </c>
      <c r="F8" s="6">
        <v>408990</v>
      </c>
      <c r="G8" s="6">
        <v>325908</v>
      </c>
      <c r="H8" s="6">
        <v>76124</v>
      </c>
      <c r="I8" s="6">
        <v>249784</v>
      </c>
      <c r="J8" s="6">
        <v>83082</v>
      </c>
      <c r="K8">
        <v>986</v>
      </c>
      <c r="L8" s="6">
        <v>333852</v>
      </c>
      <c r="M8">
        <v>763</v>
      </c>
      <c r="N8">
        <v>194</v>
      </c>
      <c r="O8">
        <v>957</v>
      </c>
      <c r="P8" s="6">
        <v>41179</v>
      </c>
      <c r="Q8" s="6">
        <v>4506</v>
      </c>
      <c r="R8" s="6">
        <v>68478</v>
      </c>
      <c r="S8" s="6">
        <v>75267</v>
      </c>
      <c r="T8" s="6">
        <v>524239</v>
      </c>
      <c r="U8" s="6">
        <v>296232</v>
      </c>
      <c r="V8" s="6">
        <v>228007</v>
      </c>
    </row>
    <row r="9" spans="1:22" x14ac:dyDescent="0.25">
      <c r="A9">
        <v>2024</v>
      </c>
      <c r="B9" s="1" t="s">
        <v>17</v>
      </c>
      <c r="C9" t="s">
        <v>53</v>
      </c>
      <c r="D9" s="1" t="s">
        <v>413</v>
      </c>
      <c r="E9" t="s">
        <v>88</v>
      </c>
      <c r="F9" s="6">
        <v>187175</v>
      </c>
      <c r="G9" s="6">
        <v>148400</v>
      </c>
      <c r="H9" s="6">
        <v>37096</v>
      </c>
      <c r="I9" s="6">
        <v>111304</v>
      </c>
      <c r="J9" s="6">
        <v>38775</v>
      </c>
      <c r="K9">
        <v>0</v>
      </c>
      <c r="L9" s="6">
        <v>150079</v>
      </c>
      <c r="M9">
        <v>172</v>
      </c>
      <c r="N9">
        <v>44</v>
      </c>
      <c r="O9">
        <v>216</v>
      </c>
      <c r="P9" s="6">
        <v>17718</v>
      </c>
      <c r="Q9" s="6">
        <v>2063</v>
      </c>
      <c r="R9" s="6">
        <v>34126</v>
      </c>
      <c r="S9" s="6">
        <v>37513</v>
      </c>
      <c r="T9" s="6">
        <v>241715</v>
      </c>
      <c r="U9" s="6">
        <v>131256</v>
      </c>
      <c r="V9" s="6">
        <v>110459</v>
      </c>
    </row>
    <row r="10" spans="1:22" x14ac:dyDescent="0.25">
      <c r="A10">
        <v>2024</v>
      </c>
      <c r="B10" s="1" t="s">
        <v>15</v>
      </c>
      <c r="C10" t="s">
        <v>51</v>
      </c>
      <c r="D10" s="1" t="s">
        <v>414</v>
      </c>
      <c r="E10" t="s">
        <v>89</v>
      </c>
      <c r="F10" s="6">
        <v>98827</v>
      </c>
      <c r="G10" s="6">
        <v>77360</v>
      </c>
      <c r="H10" s="6">
        <v>19566</v>
      </c>
      <c r="I10" s="6">
        <v>57794</v>
      </c>
      <c r="J10" s="6">
        <v>21467</v>
      </c>
      <c r="K10" s="6">
        <v>1128</v>
      </c>
      <c r="L10" s="6">
        <v>80389</v>
      </c>
      <c r="M10">
        <v>98</v>
      </c>
      <c r="N10">
        <v>27</v>
      </c>
      <c r="O10">
        <v>125</v>
      </c>
      <c r="P10" s="6">
        <v>12420</v>
      </c>
      <c r="Q10" s="6">
        <v>1428</v>
      </c>
      <c r="R10" s="6">
        <v>17117</v>
      </c>
      <c r="S10" s="6">
        <v>19084</v>
      </c>
      <c r="T10" s="6">
        <v>130563</v>
      </c>
      <c r="U10" s="6">
        <v>71740</v>
      </c>
      <c r="V10" s="6">
        <v>58823</v>
      </c>
    </row>
    <row r="11" spans="1:22" x14ac:dyDescent="0.25">
      <c r="A11">
        <v>2024</v>
      </c>
      <c r="B11" s="1" t="s">
        <v>14</v>
      </c>
      <c r="C11" t="s">
        <v>50</v>
      </c>
      <c r="D11" s="1" t="s">
        <v>415</v>
      </c>
      <c r="E11" t="s">
        <v>90</v>
      </c>
      <c r="F11" s="6">
        <v>576119</v>
      </c>
      <c r="G11" s="6">
        <v>442279</v>
      </c>
      <c r="H11" s="6">
        <v>131089</v>
      </c>
      <c r="I11" s="6">
        <v>311190</v>
      </c>
      <c r="J11" s="6">
        <v>133840</v>
      </c>
      <c r="K11">
        <v>0</v>
      </c>
      <c r="L11" s="6">
        <v>445030</v>
      </c>
      <c r="M11">
        <v>0</v>
      </c>
      <c r="N11">
        <v>0</v>
      </c>
      <c r="O11">
        <v>0</v>
      </c>
      <c r="P11" s="6">
        <v>61031</v>
      </c>
      <c r="Q11" s="6">
        <v>7254</v>
      </c>
      <c r="R11" s="6">
        <v>108722</v>
      </c>
      <c r="S11" s="6">
        <v>121782</v>
      </c>
      <c r="T11" s="6">
        <v>743819</v>
      </c>
      <c r="U11" s="6">
        <v>379475</v>
      </c>
      <c r="V11" s="6">
        <v>364344</v>
      </c>
    </row>
    <row r="12" spans="1:22" x14ac:dyDescent="0.25">
      <c r="A12">
        <v>2024</v>
      </c>
      <c r="B12" s="1" t="s">
        <v>13</v>
      </c>
      <c r="C12" t="s">
        <v>49</v>
      </c>
      <c r="D12" s="1" t="s">
        <v>416</v>
      </c>
      <c r="E12" t="s">
        <v>91</v>
      </c>
      <c r="F12" s="6">
        <v>434569</v>
      </c>
      <c r="G12" s="6">
        <v>329541</v>
      </c>
      <c r="H12" s="6">
        <v>96613</v>
      </c>
      <c r="I12" s="6">
        <v>232928</v>
      </c>
      <c r="J12" s="6">
        <v>105028</v>
      </c>
      <c r="K12">
        <v>0</v>
      </c>
      <c r="L12" s="6">
        <v>337956</v>
      </c>
      <c r="M12">
        <v>882</v>
      </c>
      <c r="N12">
        <v>281</v>
      </c>
      <c r="O12" s="6">
        <v>1163</v>
      </c>
      <c r="P12" s="6">
        <v>43028</v>
      </c>
      <c r="Q12" s="6">
        <v>4668</v>
      </c>
      <c r="R12" s="6">
        <v>77426</v>
      </c>
      <c r="S12" s="6">
        <v>86254</v>
      </c>
      <c r="T12" s="6">
        <v>550495</v>
      </c>
      <c r="U12" s="6">
        <v>281505</v>
      </c>
      <c r="V12" s="6">
        <v>268990</v>
      </c>
    </row>
    <row r="13" spans="1:22" x14ac:dyDescent="0.25">
      <c r="A13">
        <v>2024</v>
      </c>
      <c r="B13" s="1" t="s">
        <v>14</v>
      </c>
      <c r="C13" t="s">
        <v>50</v>
      </c>
      <c r="D13" s="1" t="s">
        <v>417</v>
      </c>
      <c r="E13" t="s">
        <v>92</v>
      </c>
      <c r="F13" s="6">
        <v>328088</v>
      </c>
      <c r="G13" s="6">
        <v>251869</v>
      </c>
      <c r="H13" s="6">
        <v>58587</v>
      </c>
      <c r="I13" s="6">
        <v>193282</v>
      </c>
      <c r="J13" s="6">
        <v>76219</v>
      </c>
      <c r="K13">
        <v>0</v>
      </c>
      <c r="L13" s="6">
        <v>269501</v>
      </c>
      <c r="M13">
        <v>0</v>
      </c>
      <c r="N13">
        <v>0</v>
      </c>
      <c r="O13">
        <v>0</v>
      </c>
      <c r="P13" s="6">
        <v>34756</v>
      </c>
      <c r="Q13" s="6">
        <v>4131</v>
      </c>
      <c r="R13" s="6">
        <v>55455</v>
      </c>
      <c r="S13" s="6">
        <v>62117</v>
      </c>
      <c r="T13" s="6">
        <v>425960</v>
      </c>
      <c r="U13" s="6">
        <v>232169</v>
      </c>
      <c r="V13" s="6">
        <v>193791</v>
      </c>
    </row>
    <row r="14" spans="1:22" x14ac:dyDescent="0.25">
      <c r="A14">
        <v>2024</v>
      </c>
      <c r="B14" s="1" t="s">
        <v>18</v>
      </c>
      <c r="C14" t="s">
        <v>54</v>
      </c>
      <c r="D14" s="1" t="s">
        <v>418</v>
      </c>
      <c r="E14" t="s">
        <v>93</v>
      </c>
      <c r="F14" s="6">
        <v>1641021</v>
      </c>
      <c r="G14" s="6">
        <v>1329414</v>
      </c>
      <c r="H14" s="6">
        <v>266588</v>
      </c>
      <c r="I14" s="6">
        <v>1062826</v>
      </c>
      <c r="J14" s="6">
        <v>311607</v>
      </c>
      <c r="K14">
        <v>0</v>
      </c>
      <c r="L14" s="6">
        <v>1374433</v>
      </c>
      <c r="M14">
        <v>0</v>
      </c>
      <c r="N14">
        <v>0</v>
      </c>
      <c r="O14">
        <v>0</v>
      </c>
      <c r="P14" s="6">
        <v>139740</v>
      </c>
      <c r="Q14" s="6">
        <v>17524</v>
      </c>
      <c r="R14" s="6">
        <v>283399</v>
      </c>
      <c r="S14" s="6">
        <v>311309</v>
      </c>
      <c r="T14" s="6">
        <v>2126405</v>
      </c>
      <c r="U14" s="6">
        <v>1220090</v>
      </c>
      <c r="V14" s="6">
        <v>906315</v>
      </c>
    </row>
    <row r="15" spans="1:22" x14ac:dyDescent="0.25">
      <c r="A15">
        <v>2024</v>
      </c>
      <c r="B15" s="1" t="s">
        <v>17</v>
      </c>
      <c r="C15" t="s">
        <v>53</v>
      </c>
      <c r="D15" s="1" t="s">
        <v>419</v>
      </c>
      <c r="E15" t="s">
        <v>94</v>
      </c>
      <c r="F15" s="6">
        <v>460838</v>
      </c>
      <c r="G15" s="6">
        <v>365371</v>
      </c>
      <c r="H15" s="6">
        <v>78995</v>
      </c>
      <c r="I15" s="6">
        <v>286376</v>
      </c>
      <c r="J15" s="6">
        <v>95467</v>
      </c>
      <c r="K15">
        <v>0</v>
      </c>
      <c r="L15" s="6">
        <v>381843</v>
      </c>
      <c r="M15">
        <v>422</v>
      </c>
      <c r="N15">
        <v>111</v>
      </c>
      <c r="O15">
        <v>533</v>
      </c>
      <c r="P15" s="6">
        <v>43623</v>
      </c>
      <c r="Q15" s="6">
        <v>5079</v>
      </c>
      <c r="R15" s="6">
        <v>81492</v>
      </c>
      <c r="S15" s="6">
        <v>89581</v>
      </c>
      <c r="T15" s="6">
        <v>602151</v>
      </c>
      <c r="U15" s="6">
        <v>335500</v>
      </c>
      <c r="V15" s="6">
        <v>266651</v>
      </c>
    </row>
    <row r="16" spans="1:22" x14ac:dyDescent="0.25">
      <c r="A16">
        <v>2024</v>
      </c>
      <c r="B16" s="1" t="s">
        <v>16</v>
      </c>
      <c r="C16" t="s">
        <v>52</v>
      </c>
      <c r="D16" s="1" t="s">
        <v>420</v>
      </c>
      <c r="E16" t="s">
        <v>95</v>
      </c>
      <c r="F16" s="6">
        <v>86773</v>
      </c>
      <c r="G16" s="6">
        <v>68402</v>
      </c>
      <c r="H16" s="6">
        <v>21507</v>
      </c>
      <c r="I16" s="6">
        <v>46895</v>
      </c>
      <c r="J16" s="6">
        <v>18371</v>
      </c>
      <c r="K16" s="6">
        <v>6558</v>
      </c>
      <c r="L16" s="6">
        <v>71824</v>
      </c>
      <c r="M16">
        <v>0</v>
      </c>
      <c r="N16">
        <v>0</v>
      </c>
      <c r="O16">
        <v>0</v>
      </c>
      <c r="P16" s="6">
        <v>7973</v>
      </c>
      <c r="Q16">
        <v>935</v>
      </c>
      <c r="R16" s="6">
        <v>15805</v>
      </c>
      <c r="S16" s="6">
        <v>17271</v>
      </c>
      <c r="T16" s="6">
        <v>113808</v>
      </c>
      <c r="U16" s="6">
        <v>55803</v>
      </c>
      <c r="V16" s="6">
        <v>58005</v>
      </c>
    </row>
    <row r="17" spans="1:22" x14ac:dyDescent="0.25">
      <c r="A17">
        <v>2024</v>
      </c>
      <c r="B17" s="1" t="s">
        <v>18</v>
      </c>
      <c r="C17" t="s">
        <v>54</v>
      </c>
      <c r="D17" s="1" t="s">
        <v>421</v>
      </c>
      <c r="E17" t="s">
        <v>96</v>
      </c>
      <c r="F17" s="6">
        <v>4584936</v>
      </c>
      <c r="G17" s="6">
        <v>3714322</v>
      </c>
      <c r="H17" s="6">
        <v>334103</v>
      </c>
      <c r="I17" s="6">
        <v>3380219</v>
      </c>
      <c r="J17" s="6">
        <v>870614</v>
      </c>
      <c r="K17">
        <v>0</v>
      </c>
      <c r="L17" s="6">
        <v>4250833</v>
      </c>
      <c r="M17">
        <v>0</v>
      </c>
      <c r="N17">
        <v>0</v>
      </c>
      <c r="O17">
        <v>0</v>
      </c>
      <c r="P17" s="6">
        <v>390426</v>
      </c>
      <c r="Q17" s="6">
        <v>48962</v>
      </c>
      <c r="R17" s="6">
        <v>845605</v>
      </c>
      <c r="S17" s="6">
        <v>928885</v>
      </c>
      <c r="T17" s="6">
        <v>6464711</v>
      </c>
      <c r="U17" s="6">
        <v>3819607</v>
      </c>
      <c r="V17" s="6">
        <v>2645104</v>
      </c>
    </row>
    <row r="18" spans="1:22" x14ac:dyDescent="0.25">
      <c r="A18">
        <v>2024</v>
      </c>
      <c r="B18" s="1" t="s">
        <v>15</v>
      </c>
      <c r="C18" t="s">
        <v>51</v>
      </c>
      <c r="D18" s="1" t="s">
        <v>422</v>
      </c>
      <c r="E18" t="s">
        <v>97</v>
      </c>
      <c r="F18" s="6">
        <v>313247</v>
      </c>
      <c r="G18" s="6">
        <v>245203</v>
      </c>
      <c r="H18" s="6">
        <v>51322</v>
      </c>
      <c r="I18" s="6">
        <v>193881</v>
      </c>
      <c r="J18" s="6">
        <v>68044</v>
      </c>
      <c r="K18">
        <v>0</v>
      </c>
      <c r="L18" s="6">
        <v>261925</v>
      </c>
      <c r="M18">
        <v>309</v>
      </c>
      <c r="N18">
        <v>86</v>
      </c>
      <c r="O18">
        <v>395</v>
      </c>
      <c r="P18" s="6">
        <v>38731</v>
      </c>
      <c r="Q18" s="6">
        <v>4458</v>
      </c>
      <c r="R18" s="6">
        <v>51850</v>
      </c>
      <c r="S18" s="6">
        <v>57810</v>
      </c>
      <c r="T18" s="6">
        <v>415169</v>
      </c>
      <c r="U18" s="6">
        <v>237379</v>
      </c>
      <c r="V18" s="6">
        <v>177790</v>
      </c>
    </row>
    <row r="19" spans="1:22" x14ac:dyDescent="0.25">
      <c r="A19">
        <v>2024</v>
      </c>
      <c r="B19" s="1" t="s">
        <v>19</v>
      </c>
      <c r="C19" t="s">
        <v>55</v>
      </c>
      <c r="D19" s="1" t="s">
        <v>423</v>
      </c>
      <c r="E19" t="s">
        <v>98</v>
      </c>
      <c r="F19" s="6">
        <v>108037</v>
      </c>
      <c r="G19" s="6">
        <v>83759</v>
      </c>
      <c r="H19" s="6">
        <v>27109</v>
      </c>
      <c r="I19" s="6">
        <v>56650</v>
      </c>
      <c r="J19" s="6">
        <v>24278</v>
      </c>
      <c r="K19">
        <v>0</v>
      </c>
      <c r="L19" s="6">
        <v>80928</v>
      </c>
      <c r="M19">
        <v>161</v>
      </c>
      <c r="N19">
        <v>47</v>
      </c>
      <c r="O19">
        <v>208</v>
      </c>
      <c r="P19" s="6">
        <v>10886</v>
      </c>
      <c r="Q19" s="6">
        <v>1298</v>
      </c>
      <c r="R19" s="6">
        <v>20733</v>
      </c>
      <c r="S19" s="6">
        <v>23217</v>
      </c>
      <c r="T19" s="6">
        <v>137270</v>
      </c>
      <c r="U19" s="6">
        <v>68995</v>
      </c>
      <c r="V19" s="6">
        <v>68275</v>
      </c>
    </row>
    <row r="20" spans="1:22" x14ac:dyDescent="0.25">
      <c r="A20">
        <v>2024</v>
      </c>
      <c r="B20" s="1" t="s">
        <v>20</v>
      </c>
      <c r="C20" t="s">
        <v>56</v>
      </c>
      <c r="D20" s="1" t="s">
        <v>424</v>
      </c>
      <c r="E20" t="s">
        <v>99</v>
      </c>
      <c r="F20" s="6">
        <v>552938</v>
      </c>
      <c r="G20" s="6">
        <v>437131</v>
      </c>
      <c r="H20" s="6">
        <v>90232</v>
      </c>
      <c r="I20" s="6">
        <v>346899</v>
      </c>
      <c r="J20" s="6">
        <v>115807</v>
      </c>
      <c r="K20">
        <v>0</v>
      </c>
      <c r="L20" s="6">
        <v>462706</v>
      </c>
      <c r="M20">
        <v>916</v>
      </c>
      <c r="N20">
        <v>243</v>
      </c>
      <c r="O20" s="6">
        <v>1159</v>
      </c>
      <c r="P20" s="6">
        <v>56777</v>
      </c>
      <c r="Q20" s="6">
        <v>6126</v>
      </c>
      <c r="R20" s="6">
        <v>87225</v>
      </c>
      <c r="S20" s="6">
        <v>96428</v>
      </c>
      <c r="T20" s="6">
        <v>710421</v>
      </c>
      <c r="U20" s="6">
        <v>410718</v>
      </c>
      <c r="V20" s="6">
        <v>299703</v>
      </c>
    </row>
    <row r="21" spans="1:22" x14ac:dyDescent="0.25">
      <c r="A21">
        <v>2024</v>
      </c>
      <c r="B21" s="1" t="s">
        <v>18</v>
      </c>
      <c r="C21" t="s">
        <v>54</v>
      </c>
      <c r="D21" s="1" t="s">
        <v>425</v>
      </c>
      <c r="E21" t="s">
        <v>100</v>
      </c>
      <c r="F21" s="6">
        <v>192690</v>
      </c>
      <c r="G21" s="6">
        <v>156101</v>
      </c>
      <c r="H21" s="6">
        <v>41488</v>
      </c>
      <c r="I21" s="6">
        <v>114613</v>
      </c>
      <c r="J21" s="6">
        <v>36589</v>
      </c>
      <c r="K21">
        <v>0</v>
      </c>
      <c r="L21" s="6">
        <v>151202</v>
      </c>
      <c r="M21">
        <v>0</v>
      </c>
      <c r="N21">
        <v>0</v>
      </c>
      <c r="O21">
        <v>0</v>
      </c>
      <c r="P21" s="6">
        <v>16408</v>
      </c>
      <c r="Q21" s="6">
        <v>2058</v>
      </c>
      <c r="R21" s="6">
        <v>32013</v>
      </c>
      <c r="S21" s="6">
        <v>35165</v>
      </c>
      <c r="T21" s="6">
        <v>236846</v>
      </c>
      <c r="U21" s="6">
        <v>133079</v>
      </c>
      <c r="V21" s="6">
        <v>103767</v>
      </c>
    </row>
    <row r="22" spans="1:22" x14ac:dyDescent="0.25">
      <c r="A22">
        <v>2024</v>
      </c>
      <c r="B22" s="1" t="s">
        <v>18</v>
      </c>
      <c r="C22" t="s">
        <v>54</v>
      </c>
      <c r="D22" s="1" t="s">
        <v>426</v>
      </c>
      <c r="E22" t="s">
        <v>101</v>
      </c>
      <c r="F22" s="6">
        <v>635443</v>
      </c>
      <c r="G22" s="6">
        <v>514782</v>
      </c>
      <c r="H22" s="6">
        <v>70695</v>
      </c>
      <c r="I22" s="6">
        <v>444087</v>
      </c>
      <c r="J22" s="6">
        <v>120661</v>
      </c>
      <c r="K22">
        <v>0</v>
      </c>
      <c r="L22" s="6">
        <v>564748</v>
      </c>
      <c r="M22">
        <v>0</v>
      </c>
      <c r="N22">
        <v>0</v>
      </c>
      <c r="O22">
        <v>0</v>
      </c>
      <c r="P22" s="6">
        <v>54111</v>
      </c>
      <c r="Q22" s="6">
        <v>6786</v>
      </c>
      <c r="R22" s="6">
        <v>110928</v>
      </c>
      <c r="S22" s="6">
        <v>121852</v>
      </c>
      <c r="T22" s="6">
        <v>858425</v>
      </c>
      <c r="U22" s="6">
        <v>504984</v>
      </c>
      <c r="V22" s="6">
        <v>353441</v>
      </c>
    </row>
    <row r="23" spans="1:22" x14ac:dyDescent="0.25">
      <c r="A23">
        <v>2024</v>
      </c>
      <c r="B23" s="1" t="s">
        <v>18</v>
      </c>
      <c r="C23" t="s">
        <v>54</v>
      </c>
      <c r="D23" s="1" t="s">
        <v>427</v>
      </c>
      <c r="E23" t="s">
        <v>102</v>
      </c>
      <c r="F23" s="6">
        <v>129472</v>
      </c>
      <c r="G23" s="6">
        <v>104887</v>
      </c>
      <c r="H23" s="6">
        <v>19368</v>
      </c>
      <c r="I23" s="6">
        <v>85519</v>
      </c>
      <c r="J23" s="6">
        <v>24585</v>
      </c>
      <c r="K23">
        <v>0</v>
      </c>
      <c r="L23" s="6">
        <v>110104</v>
      </c>
      <c r="M23">
        <v>0</v>
      </c>
      <c r="N23">
        <v>0</v>
      </c>
      <c r="O23">
        <v>0</v>
      </c>
      <c r="P23" s="6">
        <v>11025</v>
      </c>
      <c r="Q23" s="6">
        <v>1383</v>
      </c>
      <c r="R23" s="6">
        <v>22645</v>
      </c>
      <c r="S23" s="6">
        <v>24875</v>
      </c>
      <c r="T23" s="6">
        <v>170032</v>
      </c>
      <c r="U23" s="6">
        <v>97927</v>
      </c>
      <c r="V23" s="6">
        <v>72105</v>
      </c>
    </row>
    <row r="24" spans="1:22" x14ac:dyDescent="0.25">
      <c r="A24">
        <v>2024</v>
      </c>
      <c r="B24" s="1" t="s">
        <v>15</v>
      </c>
      <c r="C24" t="s">
        <v>51</v>
      </c>
      <c r="D24" s="1" t="s">
        <v>428</v>
      </c>
      <c r="E24" t="s">
        <v>103</v>
      </c>
      <c r="F24" s="6">
        <v>178222</v>
      </c>
      <c r="G24" s="6">
        <v>139508</v>
      </c>
      <c r="H24" s="6">
        <v>39085</v>
      </c>
      <c r="I24" s="6">
        <v>100423</v>
      </c>
      <c r="J24" s="6">
        <v>38714</v>
      </c>
      <c r="K24" s="6">
        <v>8290</v>
      </c>
      <c r="L24" s="6">
        <v>147427</v>
      </c>
      <c r="M24">
        <v>177</v>
      </c>
      <c r="N24">
        <v>49</v>
      </c>
      <c r="O24">
        <v>226</v>
      </c>
      <c r="P24" s="6">
        <v>22766</v>
      </c>
      <c r="Q24" s="6">
        <v>2618</v>
      </c>
      <c r="R24" s="6">
        <v>29049</v>
      </c>
      <c r="S24" s="6">
        <v>32387</v>
      </c>
      <c r="T24" s="6">
        <v>234473</v>
      </c>
      <c r="U24" s="6">
        <v>125984</v>
      </c>
      <c r="V24" s="6">
        <v>108489</v>
      </c>
    </row>
    <row r="25" spans="1:22" x14ac:dyDescent="0.25">
      <c r="A25">
        <v>2024</v>
      </c>
      <c r="B25" s="1" t="s">
        <v>20</v>
      </c>
      <c r="C25" t="s">
        <v>56</v>
      </c>
      <c r="D25" s="1" t="s">
        <v>429</v>
      </c>
      <c r="E25" t="s">
        <v>104</v>
      </c>
      <c r="F25" s="6">
        <v>186459</v>
      </c>
      <c r="G25" s="6">
        <v>147407</v>
      </c>
      <c r="H25" s="6">
        <v>39128</v>
      </c>
      <c r="I25" s="6">
        <v>108279</v>
      </c>
      <c r="J25" s="6">
        <v>39052</v>
      </c>
      <c r="K25">
        <v>0</v>
      </c>
      <c r="L25" s="6">
        <v>147331</v>
      </c>
      <c r="M25">
        <v>309</v>
      </c>
      <c r="N25">
        <v>82</v>
      </c>
      <c r="O25">
        <v>391</v>
      </c>
      <c r="P25" s="6">
        <v>19146</v>
      </c>
      <c r="Q25" s="6">
        <v>2066</v>
      </c>
      <c r="R25" s="6">
        <v>31645</v>
      </c>
      <c r="S25" s="6">
        <v>34984</v>
      </c>
      <c r="T25" s="6">
        <v>235563</v>
      </c>
      <c r="U25" s="6">
        <v>129800</v>
      </c>
      <c r="V25" s="6">
        <v>105763</v>
      </c>
    </row>
    <row r="26" spans="1:22" x14ac:dyDescent="0.25">
      <c r="A26">
        <v>2024</v>
      </c>
      <c r="B26" s="1" t="s">
        <v>17</v>
      </c>
      <c r="C26" t="s">
        <v>53</v>
      </c>
      <c r="D26" s="1" t="s">
        <v>430</v>
      </c>
      <c r="E26" t="s">
        <v>105</v>
      </c>
      <c r="F26" s="6">
        <v>173080</v>
      </c>
      <c r="G26" s="6">
        <v>137225</v>
      </c>
      <c r="H26" s="6">
        <v>44734</v>
      </c>
      <c r="I26" s="6">
        <v>92491</v>
      </c>
      <c r="J26" s="6">
        <v>35855</v>
      </c>
      <c r="K26" s="6">
        <v>1248</v>
      </c>
      <c r="L26" s="6">
        <v>129594</v>
      </c>
      <c r="M26">
        <v>158</v>
      </c>
      <c r="N26">
        <v>42</v>
      </c>
      <c r="O26">
        <v>200</v>
      </c>
      <c r="P26" s="6">
        <v>16384</v>
      </c>
      <c r="Q26" s="6">
        <v>1908</v>
      </c>
      <c r="R26" s="6">
        <v>30085</v>
      </c>
      <c r="S26" s="6">
        <v>33072</v>
      </c>
      <c r="T26" s="6">
        <v>211243</v>
      </c>
      <c r="U26" s="6">
        <v>110941</v>
      </c>
      <c r="V26" s="6">
        <v>100302</v>
      </c>
    </row>
    <row r="27" spans="1:22" x14ac:dyDescent="0.25">
      <c r="A27">
        <v>2024</v>
      </c>
      <c r="B27" s="1" t="s">
        <v>16</v>
      </c>
      <c r="C27" t="s">
        <v>52</v>
      </c>
      <c r="D27" s="1" t="s">
        <v>431</v>
      </c>
      <c r="E27" t="s">
        <v>106</v>
      </c>
      <c r="F27" s="6">
        <v>229236</v>
      </c>
      <c r="G27" s="6">
        <v>180705</v>
      </c>
      <c r="H27" s="6">
        <v>43547</v>
      </c>
      <c r="I27" s="6">
        <v>137158</v>
      </c>
      <c r="J27" s="6">
        <v>48531</v>
      </c>
      <c r="K27">
        <v>0</v>
      </c>
      <c r="L27" s="6">
        <v>185689</v>
      </c>
      <c r="M27">
        <v>0</v>
      </c>
      <c r="N27">
        <v>0</v>
      </c>
      <c r="O27">
        <v>0</v>
      </c>
      <c r="P27" s="6">
        <v>21062</v>
      </c>
      <c r="Q27" s="6">
        <v>2471</v>
      </c>
      <c r="R27" s="6">
        <v>49646</v>
      </c>
      <c r="S27" s="6">
        <v>54252</v>
      </c>
      <c r="T27" s="6">
        <v>313120</v>
      </c>
      <c r="U27" s="6">
        <v>160691</v>
      </c>
      <c r="V27" s="6">
        <v>152429</v>
      </c>
    </row>
    <row r="28" spans="1:22" x14ac:dyDescent="0.25">
      <c r="A28">
        <v>2024</v>
      </c>
      <c r="B28" s="1" t="s">
        <v>15</v>
      </c>
      <c r="C28" t="s">
        <v>51</v>
      </c>
      <c r="D28" s="1" t="s">
        <v>432</v>
      </c>
      <c r="E28" t="s">
        <v>107</v>
      </c>
      <c r="F28" s="6">
        <v>281585</v>
      </c>
      <c r="G28" s="6">
        <v>220419</v>
      </c>
      <c r="H28" s="6">
        <v>51745</v>
      </c>
      <c r="I28" s="6">
        <v>168674</v>
      </c>
      <c r="J28" s="6">
        <v>61166</v>
      </c>
      <c r="K28">
        <v>0</v>
      </c>
      <c r="L28" s="6">
        <v>229840</v>
      </c>
      <c r="M28">
        <v>277</v>
      </c>
      <c r="N28">
        <v>77</v>
      </c>
      <c r="O28">
        <v>354</v>
      </c>
      <c r="P28" s="6">
        <v>34816</v>
      </c>
      <c r="Q28" s="6">
        <v>4008</v>
      </c>
      <c r="R28" s="6">
        <v>46228</v>
      </c>
      <c r="S28" s="6">
        <v>51541</v>
      </c>
      <c r="T28" s="6">
        <v>366787</v>
      </c>
      <c r="U28" s="6">
        <v>207775</v>
      </c>
      <c r="V28" s="6">
        <v>159012</v>
      </c>
    </row>
    <row r="29" spans="1:22" x14ac:dyDescent="0.25">
      <c r="A29">
        <v>2024</v>
      </c>
      <c r="B29" s="1" t="s">
        <v>16</v>
      </c>
      <c r="C29" t="s">
        <v>52</v>
      </c>
      <c r="D29" s="1" t="s">
        <v>433</v>
      </c>
      <c r="E29" t="s">
        <v>108</v>
      </c>
      <c r="F29" s="6">
        <v>66250</v>
      </c>
      <c r="G29" s="6">
        <v>52224</v>
      </c>
      <c r="H29" s="6">
        <v>15152</v>
      </c>
      <c r="I29" s="6">
        <v>37072</v>
      </c>
      <c r="J29" s="6">
        <v>14026</v>
      </c>
      <c r="K29" s="6">
        <v>6537</v>
      </c>
      <c r="L29" s="6">
        <v>57635</v>
      </c>
      <c r="M29">
        <v>0</v>
      </c>
      <c r="N29">
        <v>0</v>
      </c>
      <c r="O29">
        <v>0</v>
      </c>
      <c r="P29" s="6">
        <v>6211</v>
      </c>
      <c r="Q29">
        <v>728</v>
      </c>
      <c r="R29" s="6">
        <v>10847</v>
      </c>
      <c r="S29" s="6">
        <v>11853</v>
      </c>
      <c r="T29" s="6">
        <v>87274</v>
      </c>
      <c r="U29" s="6">
        <v>44011</v>
      </c>
      <c r="V29" s="6">
        <v>43263</v>
      </c>
    </row>
    <row r="30" spans="1:22" x14ac:dyDescent="0.25">
      <c r="A30">
        <v>2024</v>
      </c>
      <c r="B30" s="1" t="s">
        <v>17</v>
      </c>
      <c r="C30" t="s">
        <v>53</v>
      </c>
      <c r="D30" s="1" t="s">
        <v>434</v>
      </c>
      <c r="E30" t="s">
        <v>109</v>
      </c>
      <c r="F30" s="6">
        <v>562293</v>
      </c>
      <c r="G30" s="6">
        <v>445809</v>
      </c>
      <c r="H30" s="6">
        <v>104406</v>
      </c>
      <c r="I30" s="6">
        <v>341403</v>
      </c>
      <c r="J30" s="6">
        <v>116484</v>
      </c>
      <c r="K30">
        <v>0</v>
      </c>
      <c r="L30" s="6">
        <v>457887</v>
      </c>
      <c r="M30">
        <v>515</v>
      </c>
      <c r="N30">
        <v>134</v>
      </c>
      <c r="O30">
        <v>649</v>
      </c>
      <c r="P30" s="6">
        <v>53227</v>
      </c>
      <c r="Q30" s="6">
        <v>6197</v>
      </c>
      <c r="R30" s="6">
        <v>102067</v>
      </c>
      <c r="S30" s="6">
        <v>112198</v>
      </c>
      <c r="T30" s="6">
        <v>732225</v>
      </c>
      <c r="U30" s="6">
        <v>401342</v>
      </c>
      <c r="V30" s="6">
        <v>330883</v>
      </c>
    </row>
    <row r="31" spans="1:22" x14ac:dyDescent="0.25">
      <c r="A31">
        <v>2024</v>
      </c>
      <c r="B31" s="1" t="s">
        <v>16</v>
      </c>
      <c r="C31" t="s">
        <v>52</v>
      </c>
      <c r="D31" s="1" t="s">
        <v>435</v>
      </c>
      <c r="E31" t="s">
        <v>110</v>
      </c>
      <c r="F31" s="6">
        <v>1526822</v>
      </c>
      <c r="G31" s="6">
        <v>1203587</v>
      </c>
      <c r="H31" s="6">
        <v>244032</v>
      </c>
      <c r="I31" s="6">
        <v>959555</v>
      </c>
      <c r="J31" s="6">
        <v>323235</v>
      </c>
      <c r="K31">
        <v>0</v>
      </c>
      <c r="L31" s="6">
        <v>1282790</v>
      </c>
      <c r="M31">
        <v>0</v>
      </c>
      <c r="N31">
        <v>0</v>
      </c>
      <c r="O31">
        <v>0</v>
      </c>
      <c r="P31" s="6">
        <v>140282</v>
      </c>
      <c r="Q31" s="6">
        <v>16458</v>
      </c>
      <c r="R31" s="6">
        <v>266638</v>
      </c>
      <c r="S31" s="6">
        <v>291374</v>
      </c>
      <c r="T31" s="6">
        <v>1997542</v>
      </c>
      <c r="U31" s="6">
        <v>1116295</v>
      </c>
      <c r="V31" s="6">
        <v>881247</v>
      </c>
    </row>
    <row r="32" spans="1:22" x14ac:dyDescent="0.25">
      <c r="A32">
        <v>2024</v>
      </c>
      <c r="B32" s="1" t="s">
        <v>18</v>
      </c>
      <c r="C32" t="s">
        <v>54</v>
      </c>
      <c r="D32" s="1" t="s">
        <v>436</v>
      </c>
      <c r="E32" t="s">
        <v>111</v>
      </c>
      <c r="F32" s="6">
        <v>907019</v>
      </c>
      <c r="G32" s="6">
        <v>734789</v>
      </c>
      <c r="H32" s="6">
        <v>51957</v>
      </c>
      <c r="I32" s="6">
        <v>682832</v>
      </c>
      <c r="J32" s="6">
        <v>172230</v>
      </c>
      <c r="K32">
        <v>0</v>
      </c>
      <c r="L32" s="6">
        <v>855062</v>
      </c>
      <c r="M32">
        <v>0</v>
      </c>
      <c r="N32">
        <v>0</v>
      </c>
      <c r="O32">
        <v>0</v>
      </c>
      <c r="P32" s="6">
        <v>77236</v>
      </c>
      <c r="Q32" s="6">
        <v>9686</v>
      </c>
      <c r="R32" s="6">
        <v>159505</v>
      </c>
      <c r="S32" s="6">
        <v>175214</v>
      </c>
      <c r="T32" s="6">
        <v>1276703</v>
      </c>
      <c r="U32" s="6">
        <v>769754</v>
      </c>
      <c r="V32" s="6">
        <v>506949</v>
      </c>
    </row>
    <row r="33" spans="1:22" x14ac:dyDescent="0.25">
      <c r="A33">
        <v>2024</v>
      </c>
      <c r="B33" s="1" t="s">
        <v>18</v>
      </c>
      <c r="C33" t="s">
        <v>54</v>
      </c>
      <c r="D33" s="1" t="s">
        <v>437</v>
      </c>
      <c r="E33" t="s">
        <v>112</v>
      </c>
      <c r="F33" s="6">
        <v>782050</v>
      </c>
      <c r="G33" s="6">
        <v>633550</v>
      </c>
      <c r="H33" s="6">
        <v>138795</v>
      </c>
      <c r="I33" s="6">
        <v>494755</v>
      </c>
      <c r="J33" s="6">
        <v>148500</v>
      </c>
      <c r="K33">
        <v>0</v>
      </c>
      <c r="L33" s="6">
        <v>643255</v>
      </c>
      <c r="M33">
        <v>0</v>
      </c>
      <c r="N33">
        <v>0</v>
      </c>
      <c r="O33">
        <v>0</v>
      </c>
      <c r="P33" s="6">
        <v>66595</v>
      </c>
      <c r="Q33" s="6">
        <v>8351</v>
      </c>
      <c r="R33" s="6">
        <v>135433</v>
      </c>
      <c r="S33" s="6">
        <v>148771</v>
      </c>
      <c r="T33" s="6">
        <v>1002405</v>
      </c>
      <c r="U33" s="6">
        <v>569701</v>
      </c>
      <c r="V33" s="6">
        <v>432704</v>
      </c>
    </row>
    <row r="34" spans="1:22" x14ac:dyDescent="0.25">
      <c r="A34">
        <v>2024</v>
      </c>
      <c r="B34" s="1" t="s">
        <v>19</v>
      </c>
      <c r="C34" t="s">
        <v>55</v>
      </c>
      <c r="D34" s="1" t="s">
        <v>438</v>
      </c>
      <c r="E34" t="s">
        <v>113</v>
      </c>
      <c r="F34" s="6">
        <v>222547</v>
      </c>
      <c r="G34" s="6">
        <v>172537</v>
      </c>
      <c r="H34" s="6">
        <v>40839</v>
      </c>
      <c r="I34" s="6">
        <v>131698</v>
      </c>
      <c r="J34" s="6">
        <v>50010</v>
      </c>
      <c r="K34">
        <v>0</v>
      </c>
      <c r="L34" s="6">
        <v>181708</v>
      </c>
      <c r="M34">
        <v>333</v>
      </c>
      <c r="N34">
        <v>96</v>
      </c>
      <c r="O34">
        <v>429</v>
      </c>
      <c r="P34" s="6">
        <v>22423</v>
      </c>
      <c r="Q34" s="6">
        <v>2673</v>
      </c>
      <c r="R34" s="6">
        <v>59015</v>
      </c>
      <c r="S34" s="6">
        <v>66084</v>
      </c>
      <c r="T34" s="6">
        <v>332332</v>
      </c>
      <c r="U34" s="6">
        <v>157127</v>
      </c>
      <c r="V34" s="6">
        <v>175205</v>
      </c>
    </row>
    <row r="35" spans="1:22" x14ac:dyDescent="0.25">
      <c r="A35">
        <v>2024</v>
      </c>
      <c r="B35" s="1" t="s">
        <v>20</v>
      </c>
      <c r="C35" t="s">
        <v>56</v>
      </c>
      <c r="D35" s="1" t="s">
        <v>439</v>
      </c>
      <c r="E35" t="s">
        <v>114</v>
      </c>
      <c r="F35" s="6">
        <v>139547</v>
      </c>
      <c r="G35" s="6">
        <v>110320</v>
      </c>
      <c r="H35" s="6">
        <v>33687</v>
      </c>
      <c r="I35" s="6">
        <v>76633</v>
      </c>
      <c r="J35" s="6">
        <v>29227</v>
      </c>
      <c r="K35" s="6">
        <v>3784</v>
      </c>
      <c r="L35" s="6">
        <v>109644</v>
      </c>
      <c r="M35">
        <v>232</v>
      </c>
      <c r="N35">
        <v>62</v>
      </c>
      <c r="O35">
        <v>294</v>
      </c>
      <c r="P35" s="6">
        <v>14695</v>
      </c>
      <c r="Q35" s="6">
        <v>1580</v>
      </c>
      <c r="R35" s="6">
        <v>23749</v>
      </c>
      <c r="S35" s="6">
        <v>26255</v>
      </c>
      <c r="T35" s="6">
        <v>176217</v>
      </c>
      <c r="U35" s="6">
        <v>93141</v>
      </c>
      <c r="V35" s="6">
        <v>83076</v>
      </c>
    </row>
    <row r="36" spans="1:22" x14ac:dyDescent="0.25">
      <c r="A36">
        <v>2024</v>
      </c>
      <c r="B36" s="1" t="s">
        <v>15</v>
      </c>
      <c r="C36" t="s">
        <v>51</v>
      </c>
      <c r="D36" s="1" t="s">
        <v>440</v>
      </c>
      <c r="E36" t="s">
        <v>115</v>
      </c>
      <c r="F36" s="6">
        <v>197901</v>
      </c>
      <c r="G36" s="6">
        <v>154913</v>
      </c>
      <c r="H36" s="6">
        <v>38612</v>
      </c>
      <c r="I36" s="6">
        <v>116301</v>
      </c>
      <c r="J36" s="6">
        <v>42988</v>
      </c>
      <c r="K36">
        <v>0</v>
      </c>
      <c r="L36" s="6">
        <v>159289</v>
      </c>
      <c r="M36">
        <v>195</v>
      </c>
      <c r="N36">
        <v>55</v>
      </c>
      <c r="O36">
        <v>250</v>
      </c>
      <c r="P36" s="6">
        <v>24469</v>
      </c>
      <c r="Q36" s="6">
        <v>2817</v>
      </c>
      <c r="R36" s="6">
        <v>32172</v>
      </c>
      <c r="S36" s="6">
        <v>35870</v>
      </c>
      <c r="T36" s="6">
        <v>254867</v>
      </c>
      <c r="U36" s="6">
        <v>143782</v>
      </c>
      <c r="V36" s="6">
        <v>111085</v>
      </c>
    </row>
    <row r="37" spans="1:22" x14ac:dyDescent="0.25">
      <c r="A37">
        <v>2024</v>
      </c>
      <c r="B37" s="1" t="s">
        <v>21</v>
      </c>
      <c r="C37" t="s">
        <v>57</v>
      </c>
      <c r="D37" s="1" t="s">
        <v>441</v>
      </c>
      <c r="E37" t="s">
        <v>116</v>
      </c>
      <c r="F37" s="6">
        <v>1534167</v>
      </c>
      <c r="G37" s="6">
        <v>1222518</v>
      </c>
      <c r="H37" s="6">
        <v>302970</v>
      </c>
      <c r="I37" s="6">
        <v>919548</v>
      </c>
      <c r="J37" s="6">
        <v>311649</v>
      </c>
      <c r="K37">
        <v>0</v>
      </c>
      <c r="L37" s="6">
        <v>1231197</v>
      </c>
      <c r="M37" s="6">
        <v>2864</v>
      </c>
      <c r="N37">
        <v>731</v>
      </c>
      <c r="O37" s="6">
        <v>3595</v>
      </c>
      <c r="P37" s="6">
        <v>154204</v>
      </c>
      <c r="Q37" s="6">
        <v>16902</v>
      </c>
      <c r="R37" s="6">
        <v>256762</v>
      </c>
      <c r="S37" s="6">
        <v>282216</v>
      </c>
      <c r="T37" s="6">
        <v>1944876</v>
      </c>
      <c r="U37" s="6">
        <v>1093518</v>
      </c>
      <c r="V37" s="6">
        <v>851358</v>
      </c>
    </row>
    <row r="38" spans="1:22" x14ac:dyDescent="0.25">
      <c r="A38">
        <v>2024</v>
      </c>
      <c r="B38" s="1" t="s">
        <v>15</v>
      </c>
      <c r="C38" t="s">
        <v>51</v>
      </c>
      <c r="D38" s="1" t="s">
        <v>442</v>
      </c>
      <c r="E38" t="s">
        <v>117</v>
      </c>
      <c r="F38" s="6">
        <v>107640</v>
      </c>
      <c r="G38" s="6">
        <v>84258</v>
      </c>
      <c r="H38" s="6">
        <v>18545</v>
      </c>
      <c r="I38" s="6">
        <v>65713</v>
      </c>
      <c r="J38" s="6">
        <v>23382</v>
      </c>
      <c r="K38">
        <v>0</v>
      </c>
      <c r="L38" s="6">
        <v>89095</v>
      </c>
      <c r="M38">
        <v>106</v>
      </c>
      <c r="N38">
        <v>29</v>
      </c>
      <c r="O38">
        <v>135</v>
      </c>
      <c r="P38" s="6">
        <v>13309</v>
      </c>
      <c r="Q38" s="6">
        <v>1532</v>
      </c>
      <c r="R38" s="6">
        <v>18304</v>
      </c>
      <c r="S38" s="6">
        <v>20407</v>
      </c>
      <c r="T38" s="6">
        <v>142782</v>
      </c>
      <c r="U38" s="6">
        <v>80660</v>
      </c>
      <c r="V38" s="6">
        <v>62122</v>
      </c>
    </row>
    <row r="39" spans="1:22" x14ac:dyDescent="0.25">
      <c r="A39">
        <v>2024</v>
      </c>
      <c r="B39" s="1" t="s">
        <v>16</v>
      </c>
      <c r="C39" t="s">
        <v>52</v>
      </c>
      <c r="D39" s="1" t="s">
        <v>443</v>
      </c>
      <c r="E39" t="s">
        <v>118</v>
      </c>
      <c r="F39" s="6">
        <v>143384</v>
      </c>
      <c r="G39" s="6">
        <v>113029</v>
      </c>
      <c r="H39" s="6">
        <v>31925</v>
      </c>
      <c r="I39" s="6">
        <v>81104</v>
      </c>
      <c r="J39" s="6">
        <v>30355</v>
      </c>
      <c r="K39" s="6">
        <v>12335</v>
      </c>
      <c r="L39" s="6">
        <v>123794</v>
      </c>
      <c r="M39">
        <v>0</v>
      </c>
      <c r="N39">
        <v>0</v>
      </c>
      <c r="O39">
        <v>0</v>
      </c>
      <c r="P39" s="6">
        <v>13174</v>
      </c>
      <c r="Q39" s="6">
        <v>1546</v>
      </c>
      <c r="R39" s="6">
        <v>23800</v>
      </c>
      <c r="S39" s="6">
        <v>26008</v>
      </c>
      <c r="T39" s="6">
        <v>188322</v>
      </c>
      <c r="U39" s="6">
        <v>95824</v>
      </c>
      <c r="V39" s="6">
        <v>92498</v>
      </c>
    </row>
    <row r="40" spans="1:22" x14ac:dyDescent="0.25">
      <c r="A40">
        <v>2024</v>
      </c>
      <c r="B40" s="1" t="s">
        <v>20</v>
      </c>
      <c r="C40" t="s">
        <v>56</v>
      </c>
      <c r="D40" s="1" t="s">
        <v>444</v>
      </c>
      <c r="E40" t="s">
        <v>119</v>
      </c>
      <c r="F40" s="6">
        <v>173071</v>
      </c>
      <c r="G40" s="6">
        <v>136823</v>
      </c>
      <c r="H40" s="6">
        <v>33906</v>
      </c>
      <c r="I40" s="6">
        <v>102917</v>
      </c>
      <c r="J40" s="6">
        <v>36248</v>
      </c>
      <c r="K40">
        <v>0</v>
      </c>
      <c r="L40" s="6">
        <v>139165</v>
      </c>
      <c r="M40">
        <v>288</v>
      </c>
      <c r="N40">
        <v>76</v>
      </c>
      <c r="O40">
        <v>364</v>
      </c>
      <c r="P40" s="6">
        <v>17771</v>
      </c>
      <c r="Q40" s="6">
        <v>1918</v>
      </c>
      <c r="R40" s="6">
        <v>28971</v>
      </c>
      <c r="S40" s="6">
        <v>32028</v>
      </c>
      <c r="T40" s="6">
        <v>220217</v>
      </c>
      <c r="U40" s="6">
        <v>122894</v>
      </c>
      <c r="V40" s="6">
        <v>97323</v>
      </c>
    </row>
    <row r="41" spans="1:22" x14ac:dyDescent="0.25">
      <c r="A41">
        <v>2024</v>
      </c>
      <c r="B41" s="1" t="s">
        <v>16</v>
      </c>
      <c r="C41" t="s">
        <v>52</v>
      </c>
      <c r="D41" s="1" t="s">
        <v>445</v>
      </c>
      <c r="E41" t="s">
        <v>120</v>
      </c>
      <c r="F41" s="6">
        <v>319759</v>
      </c>
      <c r="G41" s="6">
        <v>252065</v>
      </c>
      <c r="H41" s="6">
        <v>54161</v>
      </c>
      <c r="I41" s="6">
        <v>197904</v>
      </c>
      <c r="J41" s="6">
        <v>67694</v>
      </c>
      <c r="K41">
        <v>0</v>
      </c>
      <c r="L41" s="6">
        <v>265598</v>
      </c>
      <c r="M41">
        <v>0</v>
      </c>
      <c r="N41">
        <v>0</v>
      </c>
      <c r="O41">
        <v>0</v>
      </c>
      <c r="P41" s="6">
        <v>29379</v>
      </c>
      <c r="Q41" s="6">
        <v>3447</v>
      </c>
      <c r="R41" s="6">
        <v>53861</v>
      </c>
      <c r="S41" s="6">
        <v>58857</v>
      </c>
      <c r="T41" s="6">
        <v>411142</v>
      </c>
      <c r="U41" s="6">
        <v>230730</v>
      </c>
      <c r="V41" s="6">
        <v>180412</v>
      </c>
    </row>
    <row r="42" spans="1:22" x14ac:dyDescent="0.25">
      <c r="A42">
        <v>2024</v>
      </c>
      <c r="B42" s="1" t="s">
        <v>21</v>
      </c>
      <c r="C42" t="s">
        <v>57</v>
      </c>
      <c r="D42" s="1" t="s">
        <v>446</v>
      </c>
      <c r="E42" t="s">
        <v>121</v>
      </c>
      <c r="F42" s="6">
        <v>219970</v>
      </c>
      <c r="G42" s="6">
        <v>175285</v>
      </c>
      <c r="H42" s="6">
        <v>39171</v>
      </c>
      <c r="I42" s="6">
        <v>136114</v>
      </c>
      <c r="J42" s="6">
        <v>44685</v>
      </c>
      <c r="K42">
        <v>0</v>
      </c>
      <c r="L42" s="6">
        <v>180799</v>
      </c>
      <c r="M42">
        <v>412</v>
      </c>
      <c r="N42">
        <v>105</v>
      </c>
      <c r="O42">
        <v>517</v>
      </c>
      <c r="P42" s="6">
        <v>22110</v>
      </c>
      <c r="Q42" s="6">
        <v>2423</v>
      </c>
      <c r="R42" s="6">
        <v>35668</v>
      </c>
      <c r="S42" s="6">
        <v>39204</v>
      </c>
      <c r="T42" s="6">
        <v>280721</v>
      </c>
      <c r="U42" s="6">
        <v>161059</v>
      </c>
      <c r="V42" s="6">
        <v>119662</v>
      </c>
    </row>
    <row r="43" spans="1:22" x14ac:dyDescent="0.25">
      <c r="A43">
        <v>2024</v>
      </c>
      <c r="B43" s="1" t="s">
        <v>18</v>
      </c>
      <c r="C43" t="s">
        <v>54</v>
      </c>
      <c r="D43" s="1" t="s">
        <v>447</v>
      </c>
      <c r="E43" t="s">
        <v>122</v>
      </c>
      <c r="F43" s="6">
        <v>722258</v>
      </c>
      <c r="G43" s="6">
        <v>585111</v>
      </c>
      <c r="H43" s="6">
        <v>77596</v>
      </c>
      <c r="I43" s="6">
        <v>507515</v>
      </c>
      <c r="J43" s="6">
        <v>137147</v>
      </c>
      <c r="K43">
        <v>0</v>
      </c>
      <c r="L43" s="6">
        <v>644662</v>
      </c>
      <c r="M43">
        <v>0</v>
      </c>
      <c r="N43">
        <v>0</v>
      </c>
      <c r="O43">
        <v>0</v>
      </c>
      <c r="P43" s="6">
        <v>61503</v>
      </c>
      <c r="Q43" s="6">
        <v>7713</v>
      </c>
      <c r="R43" s="6">
        <v>127182</v>
      </c>
      <c r="S43" s="6">
        <v>139708</v>
      </c>
      <c r="T43" s="6">
        <v>980768</v>
      </c>
      <c r="U43" s="6">
        <v>576731</v>
      </c>
      <c r="V43" s="6">
        <v>404037</v>
      </c>
    </row>
    <row r="44" spans="1:22" x14ac:dyDescent="0.25">
      <c r="A44">
        <v>2024</v>
      </c>
      <c r="B44" s="1" t="s">
        <v>18</v>
      </c>
      <c r="C44" t="s">
        <v>54</v>
      </c>
      <c r="D44" s="1" t="s">
        <v>448</v>
      </c>
      <c r="E44" t="s">
        <v>123</v>
      </c>
      <c r="F44" s="6">
        <v>624057</v>
      </c>
      <c r="G44" s="6">
        <v>505557</v>
      </c>
      <c r="H44" s="6">
        <v>121751</v>
      </c>
      <c r="I44" s="6">
        <v>383806</v>
      </c>
      <c r="J44" s="6">
        <v>118500</v>
      </c>
      <c r="K44">
        <v>0</v>
      </c>
      <c r="L44" s="6">
        <v>502306</v>
      </c>
      <c r="M44">
        <v>0</v>
      </c>
      <c r="N44">
        <v>0</v>
      </c>
      <c r="O44">
        <v>0</v>
      </c>
      <c r="P44" s="6">
        <v>53141</v>
      </c>
      <c r="Q44" s="6">
        <v>6664</v>
      </c>
      <c r="R44" s="6">
        <v>157085</v>
      </c>
      <c r="S44" s="6">
        <v>172556</v>
      </c>
      <c r="T44" s="6">
        <v>891752</v>
      </c>
      <c r="U44" s="6">
        <v>443611</v>
      </c>
      <c r="V44" s="6">
        <v>448141</v>
      </c>
    </row>
    <row r="45" spans="1:22" x14ac:dyDescent="0.25">
      <c r="A45">
        <v>2024</v>
      </c>
      <c r="B45" s="1" t="s">
        <v>15</v>
      </c>
      <c r="C45" t="s">
        <v>51</v>
      </c>
      <c r="D45" s="1" t="s">
        <v>449</v>
      </c>
      <c r="E45" t="s">
        <v>124</v>
      </c>
      <c r="F45" s="6">
        <v>2118799</v>
      </c>
      <c r="G45" s="6">
        <v>1658551</v>
      </c>
      <c r="H45" s="6">
        <v>260052</v>
      </c>
      <c r="I45" s="6">
        <v>1398499</v>
      </c>
      <c r="J45" s="6">
        <v>460248</v>
      </c>
      <c r="K45">
        <v>0</v>
      </c>
      <c r="L45" s="6">
        <v>1858747</v>
      </c>
      <c r="M45" s="6">
        <v>2088</v>
      </c>
      <c r="N45">
        <v>580</v>
      </c>
      <c r="O45" s="6">
        <v>2668</v>
      </c>
      <c r="P45" s="6">
        <v>261976</v>
      </c>
      <c r="Q45" s="6">
        <v>30155</v>
      </c>
      <c r="R45" s="6">
        <v>363888</v>
      </c>
      <c r="S45" s="6">
        <v>405711</v>
      </c>
      <c r="T45" s="6">
        <v>2923145</v>
      </c>
      <c r="U45" s="6">
        <v>1692718</v>
      </c>
      <c r="V45" s="6">
        <v>1230427</v>
      </c>
    </row>
    <row r="46" spans="1:22" x14ac:dyDescent="0.25">
      <c r="A46">
        <v>2024</v>
      </c>
      <c r="B46" s="1" t="s">
        <v>17</v>
      </c>
      <c r="C46" t="s">
        <v>53</v>
      </c>
      <c r="D46" s="1" t="s">
        <v>450</v>
      </c>
      <c r="E46" t="s">
        <v>125</v>
      </c>
      <c r="F46" s="6">
        <v>6124847</v>
      </c>
      <c r="G46" s="6">
        <v>4856027</v>
      </c>
      <c r="H46" s="6">
        <v>1111818</v>
      </c>
      <c r="I46" s="6">
        <v>3744209</v>
      </c>
      <c r="J46" s="6">
        <v>1268820</v>
      </c>
      <c r="K46">
        <v>0</v>
      </c>
      <c r="L46" s="6">
        <v>5013029</v>
      </c>
      <c r="M46" s="6">
        <v>5618</v>
      </c>
      <c r="N46" s="6">
        <v>1468</v>
      </c>
      <c r="O46" s="6">
        <v>7086</v>
      </c>
      <c r="P46" s="6">
        <v>579780</v>
      </c>
      <c r="Q46" s="6">
        <v>67506</v>
      </c>
      <c r="R46" s="6">
        <v>1105889</v>
      </c>
      <c r="S46" s="6">
        <v>1215659</v>
      </c>
      <c r="T46" s="6">
        <v>7988949</v>
      </c>
      <c r="U46" s="6">
        <v>4397112</v>
      </c>
      <c r="V46" s="6">
        <v>3591837</v>
      </c>
    </row>
    <row r="47" spans="1:22" x14ac:dyDescent="0.25">
      <c r="A47">
        <v>2024</v>
      </c>
      <c r="B47" s="1" t="s">
        <v>17</v>
      </c>
      <c r="C47" t="s">
        <v>53</v>
      </c>
      <c r="D47" s="1" t="s">
        <v>451</v>
      </c>
      <c r="E47" t="s">
        <v>126</v>
      </c>
      <c r="F47" s="6">
        <v>434259</v>
      </c>
      <c r="G47" s="6">
        <v>344298</v>
      </c>
      <c r="H47" s="6">
        <v>61387</v>
      </c>
      <c r="I47" s="6">
        <v>282911</v>
      </c>
      <c r="J47" s="6">
        <v>89961</v>
      </c>
      <c r="K47" s="6">
        <v>27534</v>
      </c>
      <c r="L47" s="6">
        <v>400406</v>
      </c>
      <c r="M47">
        <v>399</v>
      </c>
      <c r="N47">
        <v>104</v>
      </c>
      <c r="O47">
        <v>503</v>
      </c>
      <c r="P47" s="6">
        <v>41920</v>
      </c>
      <c r="Q47" s="6">
        <v>4876</v>
      </c>
      <c r="R47" s="6">
        <v>75214</v>
      </c>
      <c r="S47" s="6">
        <v>82679</v>
      </c>
      <c r="T47" s="6">
        <v>605598</v>
      </c>
      <c r="U47" s="6">
        <v>330106</v>
      </c>
      <c r="V47" s="6">
        <v>275492</v>
      </c>
    </row>
    <row r="48" spans="1:22" x14ac:dyDescent="0.25">
      <c r="A48">
        <v>2024</v>
      </c>
      <c r="B48" s="1" t="s">
        <v>21</v>
      </c>
      <c r="C48" t="s">
        <v>57</v>
      </c>
      <c r="D48" s="1" t="s">
        <v>452</v>
      </c>
      <c r="E48" t="s">
        <v>127</v>
      </c>
      <c r="F48" s="6">
        <v>498275</v>
      </c>
      <c r="G48" s="6">
        <v>397056</v>
      </c>
      <c r="H48" s="6">
        <v>100946</v>
      </c>
      <c r="I48" s="6">
        <v>296110</v>
      </c>
      <c r="J48" s="6">
        <v>101219</v>
      </c>
      <c r="K48">
        <v>0</v>
      </c>
      <c r="L48" s="6">
        <v>397329</v>
      </c>
      <c r="M48">
        <v>932</v>
      </c>
      <c r="N48">
        <v>237</v>
      </c>
      <c r="O48" s="6">
        <v>1169</v>
      </c>
      <c r="P48" s="6">
        <v>50083</v>
      </c>
      <c r="Q48" s="6">
        <v>5490</v>
      </c>
      <c r="R48" s="6">
        <v>82770</v>
      </c>
      <c r="S48" s="6">
        <v>90976</v>
      </c>
      <c r="T48" s="6">
        <v>627817</v>
      </c>
      <c r="U48" s="6">
        <v>352615</v>
      </c>
      <c r="V48" s="6">
        <v>275202</v>
      </c>
    </row>
    <row r="49" spans="1:22" x14ac:dyDescent="0.25">
      <c r="A49">
        <v>2024</v>
      </c>
      <c r="B49" s="1" t="s">
        <v>17</v>
      </c>
      <c r="C49" t="s">
        <v>53</v>
      </c>
      <c r="D49" s="1" t="s">
        <v>453</v>
      </c>
      <c r="E49" t="s">
        <v>128</v>
      </c>
      <c r="F49" s="6">
        <v>156750</v>
      </c>
      <c r="G49" s="6">
        <v>124278</v>
      </c>
      <c r="H49" s="6">
        <v>31232</v>
      </c>
      <c r="I49" s="6">
        <v>93046</v>
      </c>
      <c r="J49" s="6">
        <v>32472</v>
      </c>
      <c r="K49" s="6">
        <v>8158</v>
      </c>
      <c r="L49" s="6">
        <v>133676</v>
      </c>
      <c r="M49">
        <v>143</v>
      </c>
      <c r="N49">
        <v>37</v>
      </c>
      <c r="O49">
        <v>180</v>
      </c>
      <c r="P49" s="6">
        <v>15398</v>
      </c>
      <c r="Q49" s="6">
        <v>1791</v>
      </c>
      <c r="R49" s="6">
        <v>27475</v>
      </c>
      <c r="S49" s="6">
        <v>30202</v>
      </c>
      <c r="T49" s="6">
        <v>208722</v>
      </c>
      <c r="U49" s="6">
        <v>110378</v>
      </c>
      <c r="V49" s="6">
        <v>98344</v>
      </c>
    </row>
    <row r="50" spans="1:22" x14ac:dyDescent="0.25">
      <c r="A50">
        <v>2024</v>
      </c>
      <c r="B50" s="1" t="s">
        <v>13</v>
      </c>
      <c r="C50" t="s">
        <v>49</v>
      </c>
      <c r="D50" s="1" t="s">
        <v>454</v>
      </c>
      <c r="E50" t="s">
        <v>129</v>
      </c>
      <c r="F50" s="6">
        <v>179034</v>
      </c>
      <c r="G50" s="6">
        <v>135765</v>
      </c>
      <c r="H50" s="6">
        <v>39301</v>
      </c>
      <c r="I50" s="6">
        <v>96464</v>
      </c>
      <c r="J50" s="6">
        <v>43269</v>
      </c>
      <c r="K50">
        <v>0</v>
      </c>
      <c r="L50" s="6">
        <v>139733</v>
      </c>
      <c r="M50">
        <v>364</v>
      </c>
      <c r="N50">
        <v>116</v>
      </c>
      <c r="O50">
        <v>480</v>
      </c>
      <c r="P50" s="6">
        <v>17727</v>
      </c>
      <c r="Q50" s="6">
        <v>1923</v>
      </c>
      <c r="R50" s="6">
        <v>28223</v>
      </c>
      <c r="S50" s="6">
        <v>31441</v>
      </c>
      <c r="T50" s="6">
        <v>219527</v>
      </c>
      <c r="U50" s="6">
        <v>116478</v>
      </c>
      <c r="V50" s="6">
        <v>103049</v>
      </c>
    </row>
    <row r="51" spans="1:22" x14ac:dyDescent="0.25">
      <c r="A51">
        <v>2024</v>
      </c>
      <c r="B51" s="1" t="s">
        <v>16</v>
      </c>
      <c r="C51" t="s">
        <v>52</v>
      </c>
      <c r="D51" s="1" t="s">
        <v>455</v>
      </c>
      <c r="E51" t="s">
        <v>130</v>
      </c>
      <c r="F51" s="6">
        <v>550033</v>
      </c>
      <c r="G51" s="6">
        <v>433588</v>
      </c>
      <c r="H51" s="6">
        <v>101527</v>
      </c>
      <c r="I51" s="6">
        <v>332061</v>
      </c>
      <c r="J51" s="6">
        <v>116445</v>
      </c>
      <c r="K51">
        <v>0</v>
      </c>
      <c r="L51" s="6">
        <v>448506</v>
      </c>
      <c r="M51">
        <v>0</v>
      </c>
      <c r="N51">
        <v>0</v>
      </c>
      <c r="O51">
        <v>0</v>
      </c>
      <c r="P51" s="6">
        <v>50536</v>
      </c>
      <c r="Q51" s="6">
        <v>5929</v>
      </c>
      <c r="R51" s="6">
        <v>99230</v>
      </c>
      <c r="S51" s="6">
        <v>108436</v>
      </c>
      <c r="T51" s="6">
        <v>712637</v>
      </c>
      <c r="U51" s="6">
        <v>388526</v>
      </c>
      <c r="V51" s="6">
        <v>324111</v>
      </c>
    </row>
    <row r="52" spans="1:22" x14ac:dyDescent="0.25">
      <c r="A52">
        <v>2024</v>
      </c>
      <c r="B52" s="1" t="s">
        <v>20</v>
      </c>
      <c r="C52" t="s">
        <v>56</v>
      </c>
      <c r="D52" s="1" t="s">
        <v>456</v>
      </c>
      <c r="E52" t="s">
        <v>131</v>
      </c>
      <c r="F52" s="6">
        <v>248548</v>
      </c>
      <c r="G52" s="6">
        <v>196493</v>
      </c>
      <c r="H52" s="6">
        <v>46870</v>
      </c>
      <c r="I52" s="6">
        <v>149623</v>
      </c>
      <c r="J52" s="6">
        <v>52055</v>
      </c>
      <c r="K52">
        <v>0</v>
      </c>
      <c r="L52" s="6">
        <v>201678</v>
      </c>
      <c r="M52">
        <v>412</v>
      </c>
      <c r="N52">
        <v>109</v>
      </c>
      <c r="O52">
        <v>521</v>
      </c>
      <c r="P52" s="6">
        <v>25522</v>
      </c>
      <c r="Q52" s="6">
        <v>2754</v>
      </c>
      <c r="R52" s="6">
        <v>39975</v>
      </c>
      <c r="S52" s="6">
        <v>44193</v>
      </c>
      <c r="T52" s="6">
        <v>314643</v>
      </c>
      <c r="U52" s="6">
        <v>178310</v>
      </c>
      <c r="V52" s="6">
        <v>136333</v>
      </c>
    </row>
    <row r="53" spans="1:22" x14ac:dyDescent="0.25">
      <c r="A53">
        <v>2024</v>
      </c>
      <c r="B53" s="1" t="s">
        <v>21</v>
      </c>
      <c r="C53" t="s">
        <v>57</v>
      </c>
      <c r="D53" s="1" t="s">
        <v>457</v>
      </c>
      <c r="E53" t="s">
        <v>132</v>
      </c>
      <c r="F53" s="6">
        <v>297067</v>
      </c>
      <c r="G53" s="6">
        <v>236721</v>
      </c>
      <c r="H53" s="6">
        <v>61225</v>
      </c>
      <c r="I53" s="6">
        <v>175496</v>
      </c>
      <c r="J53" s="6">
        <v>60346</v>
      </c>
      <c r="K53">
        <v>0</v>
      </c>
      <c r="L53" s="6">
        <v>235842</v>
      </c>
      <c r="M53">
        <v>554</v>
      </c>
      <c r="N53">
        <v>142</v>
      </c>
      <c r="O53">
        <v>696</v>
      </c>
      <c r="P53" s="6">
        <v>29859</v>
      </c>
      <c r="Q53" s="6">
        <v>3273</v>
      </c>
      <c r="R53" s="6">
        <v>50209</v>
      </c>
      <c r="S53" s="6">
        <v>55186</v>
      </c>
      <c r="T53" s="6">
        <v>375065</v>
      </c>
      <c r="U53" s="6">
        <v>209182</v>
      </c>
      <c r="V53" s="6">
        <v>165883</v>
      </c>
    </row>
    <row r="54" spans="1:22" x14ac:dyDescent="0.25">
      <c r="A54">
        <v>2024</v>
      </c>
      <c r="B54" s="1" t="s">
        <v>19</v>
      </c>
      <c r="C54" t="s">
        <v>55</v>
      </c>
      <c r="D54" s="1" t="s">
        <v>458</v>
      </c>
      <c r="E54" t="s">
        <v>133</v>
      </c>
      <c r="F54" s="6">
        <v>293620</v>
      </c>
      <c r="G54" s="6">
        <v>227639</v>
      </c>
      <c r="H54" s="6">
        <v>45683</v>
      </c>
      <c r="I54" s="6">
        <v>181956</v>
      </c>
      <c r="J54" s="6">
        <v>65981</v>
      </c>
      <c r="K54">
        <v>0</v>
      </c>
      <c r="L54" s="6">
        <v>247937</v>
      </c>
      <c r="M54">
        <v>438</v>
      </c>
      <c r="N54">
        <v>127</v>
      </c>
      <c r="O54">
        <v>565</v>
      </c>
      <c r="P54" s="6">
        <v>29584</v>
      </c>
      <c r="Q54" s="6">
        <v>3527</v>
      </c>
      <c r="R54" s="6">
        <v>56580</v>
      </c>
      <c r="S54" s="6">
        <v>63357</v>
      </c>
      <c r="T54" s="6">
        <v>401550</v>
      </c>
      <c r="U54" s="6">
        <v>215506</v>
      </c>
      <c r="V54" s="6">
        <v>186044</v>
      </c>
    </row>
    <row r="55" spans="1:22" x14ac:dyDescent="0.25">
      <c r="A55">
        <v>2024</v>
      </c>
      <c r="B55" s="1" t="s">
        <v>15</v>
      </c>
      <c r="C55" t="s">
        <v>51</v>
      </c>
      <c r="D55" s="1" t="s">
        <v>459</v>
      </c>
      <c r="E55" t="s">
        <v>134</v>
      </c>
      <c r="F55" s="6">
        <v>309635</v>
      </c>
      <c r="G55" s="6">
        <v>242376</v>
      </c>
      <c r="H55" s="6">
        <v>60890</v>
      </c>
      <c r="I55" s="6">
        <v>181486</v>
      </c>
      <c r="J55" s="6">
        <v>67259</v>
      </c>
      <c r="K55">
        <v>0</v>
      </c>
      <c r="L55" s="6">
        <v>248745</v>
      </c>
      <c r="M55">
        <v>306</v>
      </c>
      <c r="N55">
        <v>85</v>
      </c>
      <c r="O55">
        <v>391</v>
      </c>
      <c r="P55" s="6">
        <v>38284</v>
      </c>
      <c r="Q55" s="6">
        <v>4407</v>
      </c>
      <c r="R55" s="6">
        <v>52287</v>
      </c>
      <c r="S55" s="6">
        <v>58297</v>
      </c>
      <c r="T55" s="6">
        <v>402411</v>
      </c>
      <c r="U55" s="6">
        <v>224483</v>
      </c>
      <c r="V55" s="6">
        <v>177928</v>
      </c>
    </row>
    <row r="56" spans="1:22" x14ac:dyDescent="0.25">
      <c r="A56">
        <v>2024</v>
      </c>
      <c r="B56" s="1" t="s">
        <v>21</v>
      </c>
      <c r="C56" t="s">
        <v>57</v>
      </c>
      <c r="D56" s="1" t="s">
        <v>460</v>
      </c>
      <c r="E56" t="s">
        <v>135</v>
      </c>
      <c r="F56" s="6">
        <v>471712</v>
      </c>
      <c r="G56" s="6">
        <v>375888</v>
      </c>
      <c r="H56" s="6">
        <v>91607</v>
      </c>
      <c r="I56" s="6">
        <v>284281</v>
      </c>
      <c r="J56" s="6">
        <v>95824</v>
      </c>
      <c r="K56">
        <v>0</v>
      </c>
      <c r="L56" s="6">
        <v>380105</v>
      </c>
      <c r="M56">
        <v>882</v>
      </c>
      <c r="N56">
        <v>225</v>
      </c>
      <c r="O56" s="6">
        <v>1107</v>
      </c>
      <c r="P56" s="6">
        <v>47413</v>
      </c>
      <c r="Q56" s="6">
        <v>5197</v>
      </c>
      <c r="R56" s="6">
        <v>79229</v>
      </c>
      <c r="S56" s="6">
        <v>87083</v>
      </c>
      <c r="T56" s="6">
        <v>600134</v>
      </c>
      <c r="U56" s="6">
        <v>337773</v>
      </c>
      <c r="V56" s="6">
        <v>262361</v>
      </c>
    </row>
    <row r="57" spans="1:22" x14ac:dyDescent="0.25">
      <c r="A57">
        <v>2024</v>
      </c>
      <c r="B57" s="1" t="s">
        <v>15</v>
      </c>
      <c r="C57" t="s">
        <v>51</v>
      </c>
      <c r="D57" s="1" t="s">
        <v>461</v>
      </c>
      <c r="E57" t="s">
        <v>136</v>
      </c>
      <c r="F57" s="6">
        <v>607243</v>
      </c>
      <c r="G57" s="6">
        <v>475337</v>
      </c>
      <c r="H57" s="6">
        <v>108953</v>
      </c>
      <c r="I57" s="6">
        <v>366384</v>
      </c>
      <c r="J57" s="6">
        <v>131906</v>
      </c>
      <c r="K57">
        <v>0</v>
      </c>
      <c r="L57" s="6">
        <v>498290</v>
      </c>
      <c r="M57">
        <v>599</v>
      </c>
      <c r="N57">
        <v>167</v>
      </c>
      <c r="O57">
        <v>766</v>
      </c>
      <c r="P57" s="6">
        <v>75082</v>
      </c>
      <c r="Q57" s="6">
        <v>8642</v>
      </c>
      <c r="R57" s="6">
        <v>102888</v>
      </c>
      <c r="S57" s="6">
        <v>114714</v>
      </c>
      <c r="T57" s="6">
        <v>800382</v>
      </c>
      <c r="U57" s="6">
        <v>450708</v>
      </c>
      <c r="V57" s="6">
        <v>349674</v>
      </c>
    </row>
    <row r="58" spans="1:22" x14ac:dyDescent="0.25">
      <c r="A58">
        <v>2024</v>
      </c>
      <c r="B58" s="1" t="s">
        <v>19</v>
      </c>
      <c r="C58" t="s">
        <v>55</v>
      </c>
      <c r="D58" s="1" t="s">
        <v>462</v>
      </c>
      <c r="E58" t="s">
        <v>137</v>
      </c>
      <c r="F58" s="6">
        <v>114786</v>
      </c>
      <c r="G58" s="6">
        <v>88992</v>
      </c>
      <c r="H58" s="6">
        <v>23319</v>
      </c>
      <c r="I58" s="6">
        <v>65673</v>
      </c>
      <c r="J58" s="6">
        <v>25794</v>
      </c>
      <c r="K58">
        <v>0</v>
      </c>
      <c r="L58" s="6">
        <v>91467</v>
      </c>
      <c r="M58">
        <v>172</v>
      </c>
      <c r="N58">
        <v>49</v>
      </c>
      <c r="O58">
        <v>221</v>
      </c>
      <c r="P58" s="6">
        <v>11566</v>
      </c>
      <c r="Q58" s="6">
        <v>1379</v>
      </c>
      <c r="R58" s="6">
        <v>18048</v>
      </c>
      <c r="S58" s="6">
        <v>20210</v>
      </c>
      <c r="T58" s="6">
        <v>142891</v>
      </c>
      <c r="U58" s="6">
        <v>78789</v>
      </c>
      <c r="V58" s="6">
        <v>64102</v>
      </c>
    </row>
    <row r="59" spans="1:22" x14ac:dyDescent="0.25">
      <c r="A59">
        <v>2024</v>
      </c>
      <c r="B59" s="1" t="s">
        <v>19</v>
      </c>
      <c r="C59" t="s">
        <v>55</v>
      </c>
      <c r="D59" s="1" t="s">
        <v>463</v>
      </c>
      <c r="E59" t="s">
        <v>138</v>
      </c>
      <c r="F59" s="6">
        <v>401831</v>
      </c>
      <c r="G59" s="6">
        <v>311533</v>
      </c>
      <c r="H59" s="6">
        <v>69898</v>
      </c>
      <c r="I59" s="6">
        <v>241635</v>
      </c>
      <c r="J59" s="6">
        <v>90298</v>
      </c>
      <c r="K59">
        <v>0</v>
      </c>
      <c r="L59" s="6">
        <v>331933</v>
      </c>
      <c r="M59">
        <v>599</v>
      </c>
      <c r="N59">
        <v>174</v>
      </c>
      <c r="O59">
        <v>773</v>
      </c>
      <c r="P59" s="6">
        <v>40488</v>
      </c>
      <c r="Q59" s="6">
        <v>4826</v>
      </c>
      <c r="R59" s="6">
        <v>64698</v>
      </c>
      <c r="S59" s="6">
        <v>72447</v>
      </c>
      <c r="T59" s="6">
        <v>515165</v>
      </c>
      <c r="U59" s="6">
        <v>287548</v>
      </c>
      <c r="V59" s="6">
        <v>227617</v>
      </c>
    </row>
    <row r="60" spans="1:22" x14ac:dyDescent="0.25">
      <c r="A60">
        <v>2024</v>
      </c>
      <c r="B60" s="1" t="s">
        <v>20</v>
      </c>
      <c r="C60" t="s">
        <v>56</v>
      </c>
      <c r="D60" s="1" t="s">
        <v>464</v>
      </c>
      <c r="E60" t="s">
        <v>139</v>
      </c>
      <c r="F60" s="6">
        <v>372293</v>
      </c>
      <c r="G60" s="6">
        <v>294320</v>
      </c>
      <c r="H60" s="6">
        <v>65764</v>
      </c>
      <c r="I60" s="6">
        <v>228556</v>
      </c>
      <c r="J60" s="6">
        <v>77973</v>
      </c>
      <c r="K60">
        <v>0</v>
      </c>
      <c r="L60" s="6">
        <v>306529</v>
      </c>
      <c r="M60">
        <v>618</v>
      </c>
      <c r="N60">
        <v>163</v>
      </c>
      <c r="O60">
        <v>781</v>
      </c>
      <c r="P60" s="6">
        <v>38228</v>
      </c>
      <c r="Q60" s="6">
        <v>4125</v>
      </c>
      <c r="R60" s="6">
        <v>65092</v>
      </c>
      <c r="S60" s="6">
        <v>71960</v>
      </c>
      <c r="T60" s="6">
        <v>486715</v>
      </c>
      <c r="U60" s="6">
        <v>271527</v>
      </c>
      <c r="V60" s="6">
        <v>215188</v>
      </c>
    </row>
    <row r="61" spans="1:22" x14ac:dyDescent="0.25">
      <c r="A61">
        <v>2024</v>
      </c>
      <c r="B61" s="1" t="s">
        <v>14</v>
      </c>
      <c r="C61" t="s">
        <v>50</v>
      </c>
      <c r="D61" s="1" t="s">
        <v>465</v>
      </c>
      <c r="E61" t="s">
        <v>140</v>
      </c>
      <c r="F61" s="6">
        <v>390295</v>
      </c>
      <c r="G61" s="6">
        <v>299624</v>
      </c>
      <c r="H61" s="6">
        <v>68312</v>
      </c>
      <c r="I61" s="6">
        <v>231312</v>
      </c>
      <c r="J61" s="6">
        <v>90671</v>
      </c>
      <c r="K61">
        <v>0</v>
      </c>
      <c r="L61" s="6">
        <v>321983</v>
      </c>
      <c r="M61">
        <v>0</v>
      </c>
      <c r="N61">
        <v>0</v>
      </c>
      <c r="O61">
        <v>0</v>
      </c>
      <c r="P61" s="6">
        <v>41346</v>
      </c>
      <c r="Q61" s="6">
        <v>4914</v>
      </c>
      <c r="R61" s="6">
        <v>63395</v>
      </c>
      <c r="S61" s="6">
        <v>71010</v>
      </c>
      <c r="T61" s="6">
        <v>502648</v>
      </c>
      <c r="U61" s="6">
        <v>277572</v>
      </c>
      <c r="V61" s="6">
        <v>225076</v>
      </c>
    </row>
    <row r="62" spans="1:22" x14ac:dyDescent="0.25">
      <c r="A62">
        <v>2024</v>
      </c>
      <c r="B62" s="1" t="s">
        <v>20</v>
      </c>
      <c r="C62" t="s">
        <v>56</v>
      </c>
      <c r="D62" s="1" t="s">
        <v>466</v>
      </c>
      <c r="E62" t="s">
        <v>141</v>
      </c>
      <c r="F62" s="6">
        <v>540739</v>
      </c>
      <c r="G62" s="6">
        <v>427487</v>
      </c>
      <c r="H62" s="6">
        <v>87382</v>
      </c>
      <c r="I62" s="6">
        <v>340105</v>
      </c>
      <c r="J62" s="6">
        <v>113252</v>
      </c>
      <c r="K62">
        <v>0</v>
      </c>
      <c r="L62" s="6">
        <v>453357</v>
      </c>
      <c r="M62">
        <v>898</v>
      </c>
      <c r="N62">
        <v>237</v>
      </c>
      <c r="O62" s="6">
        <v>1135</v>
      </c>
      <c r="P62" s="6">
        <v>55525</v>
      </c>
      <c r="Q62" s="6">
        <v>5991</v>
      </c>
      <c r="R62" s="6">
        <v>89711</v>
      </c>
      <c r="S62" s="6">
        <v>99177</v>
      </c>
      <c r="T62" s="6">
        <v>704896</v>
      </c>
      <c r="U62" s="6">
        <v>402519</v>
      </c>
      <c r="V62" s="6">
        <v>302377</v>
      </c>
    </row>
    <row r="63" spans="1:22" x14ac:dyDescent="0.25">
      <c r="A63">
        <v>2024</v>
      </c>
      <c r="B63" s="1" t="s">
        <v>15</v>
      </c>
      <c r="C63" t="s">
        <v>51</v>
      </c>
      <c r="D63" s="1" t="s">
        <v>467</v>
      </c>
      <c r="E63" t="s">
        <v>142</v>
      </c>
      <c r="F63" s="6">
        <v>114719</v>
      </c>
      <c r="G63" s="6">
        <v>89800</v>
      </c>
      <c r="H63" s="6">
        <v>24283</v>
      </c>
      <c r="I63" s="6">
        <v>65517</v>
      </c>
      <c r="J63" s="6">
        <v>24919</v>
      </c>
      <c r="K63" s="6">
        <v>3075</v>
      </c>
      <c r="L63" s="6">
        <v>93511</v>
      </c>
      <c r="M63">
        <v>114</v>
      </c>
      <c r="N63">
        <v>31</v>
      </c>
      <c r="O63">
        <v>145</v>
      </c>
      <c r="P63" s="6">
        <v>14184</v>
      </c>
      <c r="Q63" s="6">
        <v>1633</v>
      </c>
      <c r="R63" s="6">
        <v>18179</v>
      </c>
      <c r="S63" s="6">
        <v>20268</v>
      </c>
      <c r="T63" s="6">
        <v>147920</v>
      </c>
      <c r="U63" s="6">
        <v>81447</v>
      </c>
      <c r="V63" s="6">
        <v>66473</v>
      </c>
    </row>
    <row r="64" spans="1:22" x14ac:dyDescent="0.25">
      <c r="A64">
        <v>2024</v>
      </c>
      <c r="B64" s="1" t="s">
        <v>14</v>
      </c>
      <c r="C64" t="s">
        <v>50</v>
      </c>
      <c r="D64" s="1" t="s">
        <v>468</v>
      </c>
      <c r="E64" t="s">
        <v>143</v>
      </c>
      <c r="F64" s="6">
        <v>111902</v>
      </c>
      <c r="G64" s="6">
        <v>85906</v>
      </c>
      <c r="H64" s="6">
        <v>30547</v>
      </c>
      <c r="I64" s="6">
        <v>55359</v>
      </c>
      <c r="J64" s="6">
        <v>25996</v>
      </c>
      <c r="K64" s="6">
        <v>13131</v>
      </c>
      <c r="L64" s="6">
        <v>94486</v>
      </c>
      <c r="M64">
        <v>0</v>
      </c>
      <c r="N64">
        <v>0</v>
      </c>
      <c r="O64">
        <v>0</v>
      </c>
      <c r="P64" s="6">
        <v>11860</v>
      </c>
      <c r="Q64" s="6">
        <v>1409</v>
      </c>
      <c r="R64" s="6">
        <v>19631</v>
      </c>
      <c r="S64" s="6">
        <v>21989</v>
      </c>
      <c r="T64" s="6">
        <v>149375</v>
      </c>
      <c r="U64" s="6">
        <v>68628</v>
      </c>
      <c r="V64" s="6">
        <v>80747</v>
      </c>
    </row>
    <row r="65" spans="1:22" x14ac:dyDescent="0.25">
      <c r="A65">
        <v>2024</v>
      </c>
      <c r="B65" s="1" t="s">
        <v>13</v>
      </c>
      <c r="C65" t="s">
        <v>49</v>
      </c>
      <c r="D65" s="1" t="s">
        <v>469</v>
      </c>
      <c r="E65" t="s">
        <v>144</v>
      </c>
      <c r="F65" s="6">
        <v>249376</v>
      </c>
      <c r="G65" s="6">
        <v>189106</v>
      </c>
      <c r="H65" s="6">
        <v>51624</v>
      </c>
      <c r="I65" s="6">
        <v>137482</v>
      </c>
      <c r="J65" s="6">
        <v>60270</v>
      </c>
      <c r="K65">
        <v>0</v>
      </c>
      <c r="L65" s="6">
        <v>197752</v>
      </c>
      <c r="M65">
        <v>507</v>
      </c>
      <c r="N65">
        <v>161</v>
      </c>
      <c r="O65">
        <v>668</v>
      </c>
      <c r="P65" s="6">
        <v>24691</v>
      </c>
      <c r="Q65" s="6">
        <v>2679</v>
      </c>
      <c r="R65" s="6">
        <v>40711</v>
      </c>
      <c r="S65" s="6">
        <v>45353</v>
      </c>
      <c r="T65" s="6">
        <v>311854</v>
      </c>
      <c r="U65" s="6">
        <v>165359</v>
      </c>
      <c r="V65" s="6">
        <v>146495</v>
      </c>
    </row>
    <row r="66" spans="1:22" x14ac:dyDescent="0.25">
      <c r="A66">
        <v>2024</v>
      </c>
      <c r="B66" s="1" t="s">
        <v>17</v>
      </c>
      <c r="C66" t="s">
        <v>53</v>
      </c>
      <c r="D66" s="1" t="s">
        <v>470</v>
      </c>
      <c r="E66" t="s">
        <v>145</v>
      </c>
      <c r="F66" s="6">
        <v>1098195</v>
      </c>
      <c r="G66" s="6">
        <v>870693</v>
      </c>
      <c r="H66" s="6">
        <v>71853</v>
      </c>
      <c r="I66" s="6">
        <v>798840</v>
      </c>
      <c r="J66" s="6">
        <v>227502</v>
      </c>
      <c r="K66">
        <v>0</v>
      </c>
      <c r="L66" s="6">
        <v>1026342</v>
      </c>
      <c r="M66" s="6">
        <v>1006</v>
      </c>
      <c r="N66">
        <v>263</v>
      </c>
      <c r="O66" s="6">
        <v>1269</v>
      </c>
      <c r="P66" s="6">
        <v>103955</v>
      </c>
      <c r="Q66" s="6">
        <v>12104</v>
      </c>
      <c r="R66" s="6">
        <v>184740</v>
      </c>
      <c r="S66" s="6">
        <v>203077</v>
      </c>
      <c r="T66" s="6">
        <v>1531487</v>
      </c>
      <c r="U66" s="6">
        <v>915905</v>
      </c>
      <c r="V66" s="6">
        <v>615582</v>
      </c>
    </row>
    <row r="67" spans="1:22" x14ac:dyDescent="0.25">
      <c r="A67">
        <v>2024</v>
      </c>
      <c r="B67" s="1" t="s">
        <v>15</v>
      </c>
      <c r="C67" t="s">
        <v>51</v>
      </c>
      <c r="D67" s="1" t="s">
        <v>471</v>
      </c>
      <c r="E67" t="s">
        <v>146</v>
      </c>
      <c r="F67" s="6">
        <v>444603</v>
      </c>
      <c r="G67" s="6">
        <v>348026</v>
      </c>
      <c r="H67" s="6">
        <v>91771</v>
      </c>
      <c r="I67" s="6">
        <v>256255</v>
      </c>
      <c r="J67" s="6">
        <v>96577</v>
      </c>
      <c r="K67" s="6">
        <v>10822</v>
      </c>
      <c r="L67" s="6">
        <v>363654</v>
      </c>
      <c r="M67">
        <v>438</v>
      </c>
      <c r="N67">
        <v>122</v>
      </c>
      <c r="O67">
        <v>560</v>
      </c>
      <c r="P67" s="6">
        <v>54972</v>
      </c>
      <c r="Q67" s="6">
        <v>6328</v>
      </c>
      <c r="R67" s="6">
        <v>77088</v>
      </c>
      <c r="S67" s="6">
        <v>85948</v>
      </c>
      <c r="T67" s="6">
        <v>588550</v>
      </c>
      <c r="U67" s="6">
        <v>317993</v>
      </c>
      <c r="V67" s="6">
        <v>270557</v>
      </c>
    </row>
    <row r="68" spans="1:22" x14ac:dyDescent="0.25">
      <c r="A68">
        <v>2024</v>
      </c>
      <c r="B68" s="1" t="s">
        <v>16</v>
      </c>
      <c r="C68" t="s">
        <v>52</v>
      </c>
      <c r="D68" s="1" t="s">
        <v>472</v>
      </c>
      <c r="E68" t="s">
        <v>147</v>
      </c>
      <c r="F68" s="6">
        <v>1479715</v>
      </c>
      <c r="G68" s="6">
        <v>1166452</v>
      </c>
      <c r="H68" s="6">
        <v>287940</v>
      </c>
      <c r="I68" s="6">
        <v>878512</v>
      </c>
      <c r="J68" s="6">
        <v>313263</v>
      </c>
      <c r="K68">
        <v>0</v>
      </c>
      <c r="L68" s="6">
        <v>1191775</v>
      </c>
      <c r="M68">
        <v>0</v>
      </c>
      <c r="N68">
        <v>0</v>
      </c>
      <c r="O68">
        <v>0</v>
      </c>
      <c r="P68" s="6">
        <v>135954</v>
      </c>
      <c r="Q68" s="6">
        <v>15950</v>
      </c>
      <c r="R68" s="6">
        <v>233479</v>
      </c>
      <c r="S68" s="6">
        <v>255139</v>
      </c>
      <c r="T68" s="6">
        <v>1832297</v>
      </c>
      <c r="U68" s="6">
        <v>1030416</v>
      </c>
      <c r="V68" s="6">
        <v>801881</v>
      </c>
    </row>
    <row r="69" spans="1:22" x14ac:dyDescent="0.25">
      <c r="A69">
        <v>2024</v>
      </c>
      <c r="B69" s="1" t="s">
        <v>18</v>
      </c>
      <c r="C69" t="s">
        <v>54</v>
      </c>
      <c r="D69" s="1" t="s">
        <v>473</v>
      </c>
      <c r="E69" t="s">
        <v>148</v>
      </c>
      <c r="F69" s="6">
        <v>264944</v>
      </c>
      <c r="G69" s="6">
        <v>214635</v>
      </c>
      <c r="H69" s="6">
        <v>54115</v>
      </c>
      <c r="I69" s="6">
        <v>160520</v>
      </c>
      <c r="J69" s="6">
        <v>50309</v>
      </c>
      <c r="K69">
        <v>0</v>
      </c>
      <c r="L69" s="6">
        <v>210829</v>
      </c>
      <c r="M69">
        <v>0</v>
      </c>
      <c r="N69">
        <v>0</v>
      </c>
      <c r="O69">
        <v>0</v>
      </c>
      <c r="P69" s="6">
        <v>22561</v>
      </c>
      <c r="Q69" s="6">
        <v>2829</v>
      </c>
      <c r="R69" s="6">
        <v>44359</v>
      </c>
      <c r="S69" s="6">
        <v>48727</v>
      </c>
      <c r="T69" s="6">
        <v>329305</v>
      </c>
      <c r="U69" s="6">
        <v>185910</v>
      </c>
      <c r="V69" s="6">
        <v>143395</v>
      </c>
    </row>
    <row r="70" spans="1:22" x14ac:dyDescent="0.25">
      <c r="A70">
        <v>2024</v>
      </c>
      <c r="B70" s="1" t="s">
        <v>17</v>
      </c>
      <c r="C70" t="s">
        <v>53</v>
      </c>
      <c r="D70" s="1" t="s">
        <v>474</v>
      </c>
      <c r="E70" t="s">
        <v>149</v>
      </c>
      <c r="F70" s="6">
        <v>1925900</v>
      </c>
      <c r="G70" s="6">
        <v>1526931</v>
      </c>
      <c r="H70" s="6">
        <v>187174</v>
      </c>
      <c r="I70" s="6">
        <v>1339757</v>
      </c>
      <c r="J70" s="6">
        <v>398969</v>
      </c>
      <c r="K70">
        <v>0</v>
      </c>
      <c r="L70" s="6">
        <v>1738726</v>
      </c>
      <c r="M70" s="6">
        <v>1766</v>
      </c>
      <c r="N70">
        <v>462</v>
      </c>
      <c r="O70" s="6">
        <v>2228</v>
      </c>
      <c r="P70" s="6">
        <v>182306</v>
      </c>
      <c r="Q70" s="6">
        <v>21227</v>
      </c>
      <c r="R70" s="6">
        <v>328080</v>
      </c>
      <c r="S70" s="6">
        <v>360646</v>
      </c>
      <c r="T70" s="6">
        <v>2633213</v>
      </c>
      <c r="U70" s="6">
        <v>1545056</v>
      </c>
      <c r="V70" s="6">
        <v>1088157</v>
      </c>
    </row>
    <row r="71" spans="1:22" x14ac:dyDescent="0.25">
      <c r="A71">
        <v>2024</v>
      </c>
      <c r="B71" s="1" t="s">
        <v>18</v>
      </c>
      <c r="C71" t="s">
        <v>54</v>
      </c>
      <c r="D71" s="1" t="s">
        <v>475</v>
      </c>
      <c r="E71" t="s">
        <v>150</v>
      </c>
      <c r="F71" s="6">
        <v>171863</v>
      </c>
      <c r="G71" s="6">
        <v>139228</v>
      </c>
      <c r="H71" s="6">
        <v>31489</v>
      </c>
      <c r="I71" s="6">
        <v>107739</v>
      </c>
      <c r="J71" s="6">
        <v>32635</v>
      </c>
      <c r="K71">
        <v>0</v>
      </c>
      <c r="L71" s="6">
        <v>140374</v>
      </c>
      <c r="M71">
        <v>0</v>
      </c>
      <c r="N71">
        <v>0</v>
      </c>
      <c r="O71">
        <v>0</v>
      </c>
      <c r="P71" s="6">
        <v>14635</v>
      </c>
      <c r="Q71" s="6">
        <v>1835</v>
      </c>
      <c r="R71" s="6">
        <v>29097</v>
      </c>
      <c r="S71" s="6">
        <v>31962</v>
      </c>
      <c r="T71" s="6">
        <v>217903</v>
      </c>
      <c r="U71" s="6">
        <v>124209</v>
      </c>
      <c r="V71" s="6">
        <v>93694</v>
      </c>
    </row>
    <row r="72" spans="1:22" x14ac:dyDescent="0.25">
      <c r="A72">
        <v>2024</v>
      </c>
      <c r="B72" s="1" t="s">
        <v>18</v>
      </c>
      <c r="C72" t="s">
        <v>54</v>
      </c>
      <c r="D72" s="1" t="s">
        <v>476</v>
      </c>
      <c r="E72" t="s">
        <v>151</v>
      </c>
      <c r="F72" s="6">
        <v>165762</v>
      </c>
      <c r="G72" s="6">
        <v>134286</v>
      </c>
      <c r="H72" s="6">
        <v>34999</v>
      </c>
      <c r="I72" s="6">
        <v>99287</v>
      </c>
      <c r="J72" s="6">
        <v>31476</v>
      </c>
      <c r="K72">
        <v>963</v>
      </c>
      <c r="L72" s="6">
        <v>131726</v>
      </c>
      <c r="M72">
        <v>0</v>
      </c>
      <c r="N72">
        <v>0</v>
      </c>
      <c r="O72">
        <v>0</v>
      </c>
      <c r="P72" s="6">
        <v>14115</v>
      </c>
      <c r="Q72" s="6">
        <v>1770</v>
      </c>
      <c r="R72" s="6">
        <v>28104</v>
      </c>
      <c r="S72" s="6">
        <v>30872</v>
      </c>
      <c r="T72" s="6">
        <v>206587</v>
      </c>
      <c r="U72" s="6">
        <v>115172</v>
      </c>
      <c r="V72" s="6">
        <v>91415</v>
      </c>
    </row>
    <row r="73" spans="1:22" x14ac:dyDescent="0.25">
      <c r="A73">
        <v>2024</v>
      </c>
      <c r="B73" s="1" t="s">
        <v>16</v>
      </c>
      <c r="C73" t="s">
        <v>52</v>
      </c>
      <c r="D73" s="1" t="s">
        <v>477</v>
      </c>
      <c r="E73" t="s">
        <v>152</v>
      </c>
      <c r="F73" s="6">
        <v>283697</v>
      </c>
      <c r="G73" s="6">
        <v>223637</v>
      </c>
      <c r="H73" s="6">
        <v>63439</v>
      </c>
      <c r="I73" s="6">
        <v>160198</v>
      </c>
      <c r="J73" s="6">
        <v>60060</v>
      </c>
      <c r="K73" s="6">
        <v>15376</v>
      </c>
      <c r="L73" s="6">
        <v>235634</v>
      </c>
      <c r="M73">
        <v>0</v>
      </c>
      <c r="N73">
        <v>0</v>
      </c>
      <c r="O73">
        <v>0</v>
      </c>
      <c r="P73" s="6">
        <v>26075</v>
      </c>
      <c r="Q73" s="6">
        <v>3058</v>
      </c>
      <c r="R73" s="6">
        <v>45989</v>
      </c>
      <c r="S73" s="6">
        <v>50256</v>
      </c>
      <c r="T73" s="6">
        <v>361012</v>
      </c>
      <c r="U73" s="6">
        <v>189331</v>
      </c>
      <c r="V73" s="6">
        <v>171681</v>
      </c>
    </row>
    <row r="74" spans="1:22" x14ac:dyDescent="0.25">
      <c r="A74">
        <v>2024</v>
      </c>
      <c r="B74" s="1" t="s">
        <v>18</v>
      </c>
      <c r="C74" t="s">
        <v>54</v>
      </c>
      <c r="D74" s="1" t="s">
        <v>478</v>
      </c>
      <c r="E74" t="s">
        <v>153</v>
      </c>
      <c r="F74" s="6">
        <v>162839</v>
      </c>
      <c r="G74" s="6">
        <v>131918</v>
      </c>
      <c r="H74" s="6">
        <v>31819</v>
      </c>
      <c r="I74" s="6">
        <v>100099</v>
      </c>
      <c r="J74" s="6">
        <v>30921</v>
      </c>
      <c r="K74">
        <v>0</v>
      </c>
      <c r="L74" s="6">
        <v>131020</v>
      </c>
      <c r="M74">
        <v>0</v>
      </c>
      <c r="N74">
        <v>0</v>
      </c>
      <c r="O74">
        <v>0</v>
      </c>
      <c r="P74" s="6">
        <v>13866</v>
      </c>
      <c r="Q74" s="6">
        <v>1739</v>
      </c>
      <c r="R74" s="6">
        <v>26429</v>
      </c>
      <c r="S74" s="6">
        <v>29032</v>
      </c>
      <c r="T74" s="6">
        <v>202086</v>
      </c>
      <c r="U74" s="6">
        <v>115704</v>
      </c>
      <c r="V74" s="6">
        <v>86382</v>
      </c>
    </row>
    <row r="75" spans="1:22" x14ac:dyDescent="0.25">
      <c r="A75">
        <v>2024</v>
      </c>
      <c r="B75" s="1" t="s">
        <v>20</v>
      </c>
      <c r="C75" t="s">
        <v>56</v>
      </c>
      <c r="D75" s="1" t="s">
        <v>479</v>
      </c>
      <c r="E75" t="s">
        <v>154</v>
      </c>
      <c r="F75" s="6">
        <v>143330</v>
      </c>
      <c r="G75" s="6">
        <v>113311</v>
      </c>
      <c r="H75" s="6">
        <v>38021</v>
      </c>
      <c r="I75" s="6">
        <v>75290</v>
      </c>
      <c r="J75" s="6">
        <v>30019</v>
      </c>
      <c r="K75" s="6">
        <v>8220</v>
      </c>
      <c r="L75" s="6">
        <v>113529</v>
      </c>
      <c r="M75">
        <v>238</v>
      </c>
      <c r="N75">
        <v>63</v>
      </c>
      <c r="O75">
        <v>301</v>
      </c>
      <c r="P75" s="6">
        <v>15355</v>
      </c>
      <c r="Q75" s="6">
        <v>1651</v>
      </c>
      <c r="R75" s="6">
        <v>23873</v>
      </c>
      <c r="S75" s="6">
        <v>26392</v>
      </c>
      <c r="T75" s="6">
        <v>181101</v>
      </c>
      <c r="U75" s="6">
        <v>92534</v>
      </c>
      <c r="V75" s="6">
        <v>88567</v>
      </c>
    </row>
    <row r="76" spans="1:22" x14ac:dyDescent="0.25">
      <c r="A76">
        <v>2024</v>
      </c>
      <c r="B76" s="1" t="s">
        <v>20</v>
      </c>
      <c r="C76" t="s">
        <v>56</v>
      </c>
      <c r="D76" s="1" t="s">
        <v>480</v>
      </c>
      <c r="E76" t="s">
        <v>155</v>
      </c>
      <c r="F76" s="6">
        <v>3652305</v>
      </c>
      <c r="G76" s="6">
        <v>2887371</v>
      </c>
      <c r="H76" s="6">
        <v>592105</v>
      </c>
      <c r="I76" s="6">
        <v>2295266</v>
      </c>
      <c r="J76" s="6">
        <v>764934</v>
      </c>
      <c r="K76">
        <v>0</v>
      </c>
      <c r="L76" s="6">
        <v>3060200</v>
      </c>
      <c r="M76" s="6">
        <v>6054</v>
      </c>
      <c r="N76" s="6">
        <v>1603</v>
      </c>
      <c r="O76" s="6">
        <v>7657</v>
      </c>
      <c r="P76" s="6">
        <v>375030</v>
      </c>
      <c r="Q76" s="6">
        <v>40467</v>
      </c>
      <c r="R76" s="6">
        <v>568358</v>
      </c>
      <c r="S76" s="6">
        <v>628330</v>
      </c>
      <c r="T76" s="6">
        <v>4680042</v>
      </c>
      <c r="U76" s="6">
        <v>2716816</v>
      </c>
      <c r="V76" s="6">
        <v>1963226</v>
      </c>
    </row>
    <row r="77" spans="1:22" x14ac:dyDescent="0.25">
      <c r="A77">
        <v>2024</v>
      </c>
      <c r="B77" s="1" t="s">
        <v>20</v>
      </c>
      <c r="C77" t="s">
        <v>56</v>
      </c>
      <c r="D77" s="1" t="s">
        <v>481</v>
      </c>
      <c r="E77" t="s">
        <v>156</v>
      </c>
      <c r="F77" s="6">
        <v>530257</v>
      </c>
      <c r="G77" s="6">
        <v>419200</v>
      </c>
      <c r="H77" s="6">
        <v>96962</v>
      </c>
      <c r="I77" s="6">
        <v>322238</v>
      </c>
      <c r="J77" s="6">
        <v>111057</v>
      </c>
      <c r="K77">
        <v>0</v>
      </c>
      <c r="L77" s="6">
        <v>433295</v>
      </c>
      <c r="M77">
        <v>879</v>
      </c>
      <c r="N77">
        <v>233</v>
      </c>
      <c r="O77" s="6">
        <v>1112</v>
      </c>
      <c r="P77" s="6">
        <v>54448</v>
      </c>
      <c r="Q77" s="6">
        <v>5875</v>
      </c>
      <c r="R77" s="6">
        <v>93504</v>
      </c>
      <c r="S77" s="6">
        <v>103370</v>
      </c>
      <c r="T77" s="6">
        <v>691604</v>
      </c>
      <c r="U77" s="6">
        <v>383440</v>
      </c>
      <c r="V77" s="6">
        <v>308164</v>
      </c>
    </row>
    <row r="78" spans="1:22" x14ac:dyDescent="0.25">
      <c r="A78">
        <v>2024</v>
      </c>
      <c r="B78" s="1" t="s">
        <v>18</v>
      </c>
      <c r="C78" t="s">
        <v>54</v>
      </c>
      <c r="D78" s="1" t="s">
        <v>482</v>
      </c>
      <c r="E78" t="s">
        <v>157</v>
      </c>
      <c r="F78" s="6">
        <v>1258252</v>
      </c>
      <c r="G78" s="6">
        <v>1019328</v>
      </c>
      <c r="H78" s="6">
        <v>84902</v>
      </c>
      <c r="I78" s="6">
        <v>934426</v>
      </c>
      <c r="J78" s="6">
        <v>238924</v>
      </c>
      <c r="K78">
        <v>0</v>
      </c>
      <c r="L78" s="6">
        <v>1173350</v>
      </c>
      <c r="M78">
        <v>0</v>
      </c>
      <c r="N78">
        <v>0</v>
      </c>
      <c r="O78">
        <v>0</v>
      </c>
      <c r="P78" s="6">
        <v>107145</v>
      </c>
      <c r="Q78" s="6">
        <v>13437</v>
      </c>
      <c r="R78" s="6">
        <v>220862</v>
      </c>
      <c r="S78" s="6">
        <v>242614</v>
      </c>
      <c r="T78" s="6">
        <v>1757408</v>
      </c>
      <c r="U78" s="6">
        <v>1055008</v>
      </c>
      <c r="V78" s="6">
        <v>702400</v>
      </c>
    </row>
    <row r="79" spans="1:22" x14ac:dyDescent="0.25">
      <c r="A79">
        <v>2024</v>
      </c>
      <c r="B79" s="1" t="s">
        <v>21</v>
      </c>
      <c r="C79" t="s">
        <v>57</v>
      </c>
      <c r="D79" s="1" t="s">
        <v>483</v>
      </c>
      <c r="E79" t="s">
        <v>158</v>
      </c>
      <c r="F79" s="6">
        <v>158060</v>
      </c>
      <c r="G79" s="6">
        <v>125952</v>
      </c>
      <c r="H79" s="6">
        <v>27274</v>
      </c>
      <c r="I79" s="6">
        <v>98678</v>
      </c>
      <c r="J79" s="6">
        <v>32108</v>
      </c>
      <c r="K79" s="6">
        <v>15050</v>
      </c>
      <c r="L79" s="6">
        <v>145836</v>
      </c>
      <c r="M79">
        <v>296</v>
      </c>
      <c r="N79">
        <v>75</v>
      </c>
      <c r="O79">
        <v>371</v>
      </c>
      <c r="P79" s="6">
        <v>16725</v>
      </c>
      <c r="Q79" s="6">
        <v>1828</v>
      </c>
      <c r="R79" s="6">
        <v>27404</v>
      </c>
      <c r="S79" s="6">
        <v>30120</v>
      </c>
      <c r="T79" s="6">
        <v>222284</v>
      </c>
      <c r="U79" s="6">
        <v>117526</v>
      </c>
      <c r="V79" s="6">
        <v>104758</v>
      </c>
    </row>
    <row r="80" spans="1:22" x14ac:dyDescent="0.25">
      <c r="A80">
        <v>2024</v>
      </c>
      <c r="B80" s="1" t="s">
        <v>16</v>
      </c>
      <c r="C80" t="s">
        <v>52</v>
      </c>
      <c r="D80" s="1" t="s">
        <v>484</v>
      </c>
      <c r="E80" t="s">
        <v>159</v>
      </c>
      <c r="F80" s="6">
        <v>5551088</v>
      </c>
      <c r="G80" s="6">
        <v>4375895</v>
      </c>
      <c r="H80" s="6">
        <v>1050693</v>
      </c>
      <c r="I80" s="6">
        <v>3325202</v>
      </c>
      <c r="J80" s="6">
        <v>1175193</v>
      </c>
      <c r="K80" s="6">
        <v>51920</v>
      </c>
      <c r="L80" s="6">
        <v>4552315</v>
      </c>
      <c r="M80">
        <v>0</v>
      </c>
      <c r="N80">
        <v>0</v>
      </c>
      <c r="O80">
        <v>0</v>
      </c>
      <c r="P80" s="6">
        <v>510024</v>
      </c>
      <c r="Q80" s="6">
        <v>59837</v>
      </c>
      <c r="R80" s="6">
        <v>980028</v>
      </c>
      <c r="S80" s="6">
        <v>1070947</v>
      </c>
      <c r="T80" s="6">
        <v>7173151</v>
      </c>
      <c r="U80" s="6">
        <v>3895063</v>
      </c>
      <c r="V80" s="6">
        <v>3278088</v>
      </c>
    </row>
    <row r="81" spans="1:22" x14ac:dyDescent="0.25">
      <c r="A81">
        <v>2024</v>
      </c>
      <c r="B81" s="1" t="s">
        <v>21</v>
      </c>
      <c r="C81" t="s">
        <v>57</v>
      </c>
      <c r="D81" s="1" t="s">
        <v>485</v>
      </c>
      <c r="E81" t="s">
        <v>160</v>
      </c>
      <c r="F81" s="6">
        <v>422020</v>
      </c>
      <c r="G81" s="6">
        <v>336291</v>
      </c>
      <c r="H81" s="6">
        <v>74041</v>
      </c>
      <c r="I81" s="6">
        <v>262250</v>
      </c>
      <c r="J81" s="6">
        <v>85729</v>
      </c>
      <c r="K81">
        <v>0</v>
      </c>
      <c r="L81" s="6">
        <v>347979</v>
      </c>
      <c r="M81">
        <v>789</v>
      </c>
      <c r="N81">
        <v>202</v>
      </c>
      <c r="O81">
        <v>991</v>
      </c>
      <c r="P81" s="6">
        <v>42419</v>
      </c>
      <c r="Q81" s="6">
        <v>4649</v>
      </c>
      <c r="R81" s="6">
        <v>71647</v>
      </c>
      <c r="S81" s="6">
        <v>78750</v>
      </c>
      <c r="T81" s="6">
        <v>546435</v>
      </c>
      <c r="U81" s="6">
        <v>310107</v>
      </c>
      <c r="V81" s="6">
        <v>236328</v>
      </c>
    </row>
    <row r="82" spans="1:22" x14ac:dyDescent="0.25">
      <c r="A82">
        <v>2024</v>
      </c>
      <c r="B82" s="1" t="s">
        <v>13</v>
      </c>
      <c r="C82" t="s">
        <v>49</v>
      </c>
      <c r="D82" s="1" t="s">
        <v>486</v>
      </c>
      <c r="E82" t="s">
        <v>161</v>
      </c>
      <c r="F82" s="6">
        <v>591354</v>
      </c>
      <c r="G82" s="6">
        <v>448433</v>
      </c>
      <c r="H82" s="6">
        <v>121901</v>
      </c>
      <c r="I82" s="6">
        <v>326532</v>
      </c>
      <c r="J82" s="6">
        <v>142921</v>
      </c>
      <c r="K82">
        <v>0</v>
      </c>
      <c r="L82" s="6">
        <v>469453</v>
      </c>
      <c r="M82" s="6">
        <v>1199</v>
      </c>
      <c r="N82">
        <v>382</v>
      </c>
      <c r="O82" s="6">
        <v>1581</v>
      </c>
      <c r="P82" s="6">
        <v>58551</v>
      </c>
      <c r="Q82" s="6">
        <v>6353</v>
      </c>
      <c r="R82" s="6">
        <v>103276</v>
      </c>
      <c r="S82" s="6">
        <v>115052</v>
      </c>
      <c r="T82" s="6">
        <v>754266</v>
      </c>
      <c r="U82" s="6">
        <v>392635</v>
      </c>
      <c r="V82" s="6">
        <v>361631</v>
      </c>
    </row>
    <row r="83" spans="1:22" x14ac:dyDescent="0.25">
      <c r="A83">
        <v>2024</v>
      </c>
      <c r="B83" s="1" t="s">
        <v>16</v>
      </c>
      <c r="C83" t="s">
        <v>52</v>
      </c>
      <c r="D83" s="1" t="s">
        <v>487</v>
      </c>
      <c r="E83" t="s">
        <v>162</v>
      </c>
      <c r="F83" s="6">
        <v>75858</v>
      </c>
      <c r="G83" s="6">
        <v>59799</v>
      </c>
      <c r="H83" s="6">
        <v>17235</v>
      </c>
      <c r="I83" s="6">
        <v>42564</v>
      </c>
      <c r="J83" s="6">
        <v>16059</v>
      </c>
      <c r="K83">
        <v>0</v>
      </c>
      <c r="L83" s="6">
        <v>58623</v>
      </c>
      <c r="M83">
        <v>0</v>
      </c>
      <c r="N83">
        <v>0</v>
      </c>
      <c r="O83">
        <v>0</v>
      </c>
      <c r="P83" s="6">
        <v>6970</v>
      </c>
      <c r="Q83">
        <v>818</v>
      </c>
      <c r="R83" s="6">
        <v>12396</v>
      </c>
      <c r="S83" s="6">
        <v>13546</v>
      </c>
      <c r="T83" s="6">
        <v>92353</v>
      </c>
      <c r="U83" s="6">
        <v>50352</v>
      </c>
      <c r="V83" s="6">
        <v>42001</v>
      </c>
    </row>
    <row r="84" spans="1:22" x14ac:dyDescent="0.25">
      <c r="A84">
        <v>2024</v>
      </c>
      <c r="B84" s="1" t="s">
        <v>19</v>
      </c>
      <c r="C84" t="s">
        <v>55</v>
      </c>
      <c r="D84" s="1" t="s">
        <v>488</v>
      </c>
      <c r="E84" t="s">
        <v>163</v>
      </c>
      <c r="F84" s="6">
        <v>787626</v>
      </c>
      <c r="G84" s="6">
        <v>610635</v>
      </c>
      <c r="H84" s="6">
        <v>102409</v>
      </c>
      <c r="I84" s="6">
        <v>508226</v>
      </c>
      <c r="J84" s="6">
        <v>176991</v>
      </c>
      <c r="K84">
        <v>0</v>
      </c>
      <c r="L84" s="6">
        <v>685217</v>
      </c>
      <c r="M84" s="6">
        <v>1175</v>
      </c>
      <c r="N84">
        <v>340</v>
      </c>
      <c r="O84" s="6">
        <v>1515</v>
      </c>
      <c r="P84" s="6">
        <v>79359</v>
      </c>
      <c r="Q84" s="6">
        <v>9460</v>
      </c>
      <c r="R84" s="6">
        <v>134954</v>
      </c>
      <c r="S84" s="6">
        <v>151119</v>
      </c>
      <c r="T84" s="6">
        <v>1061624</v>
      </c>
      <c r="U84" s="6">
        <v>598219</v>
      </c>
      <c r="V84" s="6">
        <v>463405</v>
      </c>
    </row>
    <row r="85" spans="1:22" x14ac:dyDescent="0.25">
      <c r="A85">
        <v>2024</v>
      </c>
      <c r="B85" s="1" t="s">
        <v>15</v>
      </c>
      <c r="C85" t="s">
        <v>51</v>
      </c>
      <c r="D85" s="1" t="s">
        <v>489</v>
      </c>
      <c r="E85" t="s">
        <v>164</v>
      </c>
      <c r="F85" s="6">
        <v>318758</v>
      </c>
      <c r="G85" s="6">
        <v>249517</v>
      </c>
      <c r="H85" s="6">
        <v>43052</v>
      </c>
      <c r="I85" s="6">
        <v>206465</v>
      </c>
      <c r="J85" s="6">
        <v>69241</v>
      </c>
      <c r="K85">
        <v>0</v>
      </c>
      <c r="L85" s="6">
        <v>275706</v>
      </c>
      <c r="M85">
        <v>314</v>
      </c>
      <c r="N85">
        <v>87</v>
      </c>
      <c r="O85">
        <v>401</v>
      </c>
      <c r="P85" s="6">
        <v>39412</v>
      </c>
      <c r="Q85" s="6">
        <v>4537</v>
      </c>
      <c r="R85" s="6">
        <v>54474</v>
      </c>
      <c r="S85" s="6">
        <v>60735</v>
      </c>
      <c r="T85" s="6">
        <v>435265</v>
      </c>
      <c r="U85" s="6">
        <v>250728</v>
      </c>
      <c r="V85" s="6">
        <v>184537</v>
      </c>
    </row>
    <row r="86" spans="1:22" x14ac:dyDescent="0.25">
      <c r="A86">
        <v>2024</v>
      </c>
      <c r="B86" s="1" t="s">
        <v>18</v>
      </c>
      <c r="C86" t="s">
        <v>54</v>
      </c>
      <c r="D86" s="1" t="s">
        <v>490</v>
      </c>
      <c r="E86" t="s">
        <v>165</v>
      </c>
      <c r="F86" s="6">
        <v>11860536</v>
      </c>
      <c r="G86" s="6">
        <v>9608388</v>
      </c>
      <c r="H86" s="6">
        <v>1977056</v>
      </c>
      <c r="I86" s="6">
        <v>7631332</v>
      </c>
      <c r="J86" s="6">
        <v>2252148</v>
      </c>
      <c r="K86">
        <v>0</v>
      </c>
      <c r="L86" s="6">
        <v>9883480</v>
      </c>
      <c r="M86">
        <v>0</v>
      </c>
      <c r="N86">
        <v>0</v>
      </c>
      <c r="O86">
        <v>0</v>
      </c>
      <c r="P86" s="6">
        <v>1009973</v>
      </c>
      <c r="Q86" s="6">
        <v>126656</v>
      </c>
      <c r="R86" s="6">
        <v>2067235</v>
      </c>
      <c r="S86" s="6">
        <v>2270826</v>
      </c>
      <c r="T86" s="6">
        <v>15358170</v>
      </c>
      <c r="U86" s="6">
        <v>8767961</v>
      </c>
      <c r="V86" s="6">
        <v>6590209</v>
      </c>
    </row>
    <row r="87" spans="1:22" x14ac:dyDescent="0.25">
      <c r="A87">
        <v>2024</v>
      </c>
      <c r="B87" s="1" t="s">
        <v>20</v>
      </c>
      <c r="C87" t="s">
        <v>56</v>
      </c>
      <c r="D87" s="1" t="s">
        <v>491</v>
      </c>
      <c r="E87" t="s">
        <v>166</v>
      </c>
      <c r="F87" s="6">
        <v>42020</v>
      </c>
      <c r="G87" s="6">
        <v>33219</v>
      </c>
      <c r="H87" s="6">
        <v>8451</v>
      </c>
      <c r="I87" s="6">
        <v>24768</v>
      </c>
      <c r="J87" s="6">
        <v>8801</v>
      </c>
      <c r="K87">
        <v>0</v>
      </c>
      <c r="L87" s="6">
        <v>33569</v>
      </c>
      <c r="M87">
        <v>69</v>
      </c>
      <c r="N87">
        <v>18</v>
      </c>
      <c r="O87">
        <v>87</v>
      </c>
      <c r="P87" s="6">
        <v>4315</v>
      </c>
      <c r="Q87">
        <v>466</v>
      </c>
      <c r="R87" s="6">
        <v>6963</v>
      </c>
      <c r="S87" s="6">
        <v>7698</v>
      </c>
      <c r="T87" s="6">
        <v>53098</v>
      </c>
      <c r="U87" s="6">
        <v>29618</v>
      </c>
      <c r="V87" s="6">
        <v>23480</v>
      </c>
    </row>
    <row r="88" spans="1:22" x14ac:dyDescent="0.25">
      <c r="A88">
        <v>2024</v>
      </c>
      <c r="B88" s="1" t="s">
        <v>15</v>
      </c>
      <c r="C88" t="s">
        <v>51</v>
      </c>
      <c r="D88" s="1" t="s">
        <v>492</v>
      </c>
      <c r="E88" t="s">
        <v>167</v>
      </c>
      <c r="F88" s="6">
        <v>332801</v>
      </c>
      <c r="G88" s="6">
        <v>260510</v>
      </c>
      <c r="H88" s="6">
        <v>47622</v>
      </c>
      <c r="I88" s="6">
        <v>212888</v>
      </c>
      <c r="J88" s="6">
        <v>72291</v>
      </c>
      <c r="K88">
        <v>0</v>
      </c>
      <c r="L88" s="6">
        <v>285179</v>
      </c>
      <c r="M88">
        <v>327</v>
      </c>
      <c r="N88">
        <v>91</v>
      </c>
      <c r="O88">
        <v>418</v>
      </c>
      <c r="P88" s="6">
        <v>41149</v>
      </c>
      <c r="Q88" s="6">
        <v>4737</v>
      </c>
      <c r="R88" s="6">
        <v>55536</v>
      </c>
      <c r="S88" s="6">
        <v>61919</v>
      </c>
      <c r="T88" s="6">
        <v>448938</v>
      </c>
      <c r="U88" s="6">
        <v>259101</v>
      </c>
      <c r="V88" s="6">
        <v>189837</v>
      </c>
    </row>
    <row r="89" spans="1:22" x14ac:dyDescent="0.25">
      <c r="A89">
        <v>2024</v>
      </c>
      <c r="B89" s="1" t="s">
        <v>13</v>
      </c>
      <c r="C89" t="s">
        <v>49</v>
      </c>
      <c r="D89" s="1" t="s">
        <v>493</v>
      </c>
      <c r="E89" t="s">
        <v>168</v>
      </c>
      <c r="F89" s="6">
        <v>4180852</v>
      </c>
      <c r="G89" s="6">
        <v>3170405</v>
      </c>
      <c r="H89" s="6">
        <v>675758</v>
      </c>
      <c r="I89" s="6">
        <v>2494647</v>
      </c>
      <c r="J89" s="6">
        <v>1010447</v>
      </c>
      <c r="K89">
        <v>0</v>
      </c>
      <c r="L89" s="6">
        <v>3505094</v>
      </c>
      <c r="M89" s="6">
        <v>8480</v>
      </c>
      <c r="N89" s="6">
        <v>2702</v>
      </c>
      <c r="O89" s="6">
        <v>11182</v>
      </c>
      <c r="P89" s="6">
        <v>413954</v>
      </c>
      <c r="Q89" s="6">
        <v>44914</v>
      </c>
      <c r="R89" s="6">
        <v>733046</v>
      </c>
      <c r="S89" s="6">
        <v>816634</v>
      </c>
      <c r="T89" s="6">
        <v>5524824</v>
      </c>
      <c r="U89" s="6">
        <v>2961995</v>
      </c>
      <c r="V89" s="6">
        <v>2562829</v>
      </c>
    </row>
    <row r="90" spans="1:22" x14ac:dyDescent="0.25">
      <c r="A90">
        <v>2024</v>
      </c>
      <c r="B90" s="1" t="s">
        <v>15</v>
      </c>
      <c r="C90" t="s">
        <v>51</v>
      </c>
      <c r="D90" s="1" t="s">
        <v>494</v>
      </c>
      <c r="E90" t="s">
        <v>169</v>
      </c>
      <c r="F90" s="6">
        <v>141707</v>
      </c>
      <c r="G90" s="6">
        <v>110925</v>
      </c>
      <c r="H90" s="6">
        <v>30148</v>
      </c>
      <c r="I90" s="6">
        <v>80777</v>
      </c>
      <c r="J90" s="6">
        <v>30782</v>
      </c>
      <c r="K90" s="6">
        <v>11975</v>
      </c>
      <c r="L90" s="6">
        <v>123534</v>
      </c>
      <c r="M90">
        <v>140</v>
      </c>
      <c r="N90">
        <v>39</v>
      </c>
      <c r="O90">
        <v>179</v>
      </c>
      <c r="P90" s="6">
        <v>17521</v>
      </c>
      <c r="Q90" s="6">
        <v>2017</v>
      </c>
      <c r="R90" s="6">
        <v>23864</v>
      </c>
      <c r="S90" s="6">
        <v>26606</v>
      </c>
      <c r="T90" s="6">
        <v>193721</v>
      </c>
      <c r="U90" s="6">
        <v>100455</v>
      </c>
      <c r="V90" s="6">
        <v>93266</v>
      </c>
    </row>
    <row r="91" spans="1:22" x14ac:dyDescent="0.25">
      <c r="A91">
        <v>2024</v>
      </c>
      <c r="B91" s="1" t="s">
        <v>16</v>
      </c>
      <c r="C91" t="s">
        <v>52</v>
      </c>
      <c r="D91" s="1" t="s">
        <v>495</v>
      </c>
      <c r="E91" t="s">
        <v>170</v>
      </c>
      <c r="F91" s="6">
        <v>186908</v>
      </c>
      <c r="G91" s="6">
        <v>147338</v>
      </c>
      <c r="H91" s="6">
        <v>36288</v>
      </c>
      <c r="I91" s="6">
        <v>111050</v>
      </c>
      <c r="J91" s="6">
        <v>39570</v>
      </c>
      <c r="K91" s="6">
        <v>6132</v>
      </c>
      <c r="L91" s="6">
        <v>156752</v>
      </c>
      <c r="M91">
        <v>0</v>
      </c>
      <c r="N91">
        <v>0</v>
      </c>
      <c r="O91">
        <v>0</v>
      </c>
      <c r="P91" s="6">
        <v>17546</v>
      </c>
      <c r="Q91" s="6">
        <v>2057</v>
      </c>
      <c r="R91" s="6">
        <v>31796</v>
      </c>
      <c r="S91" s="6">
        <v>34745</v>
      </c>
      <c r="T91" s="6">
        <v>242896</v>
      </c>
      <c r="U91" s="6">
        <v>130653</v>
      </c>
      <c r="V91" s="6">
        <v>112243</v>
      </c>
    </row>
    <row r="92" spans="1:22" x14ac:dyDescent="0.25">
      <c r="A92">
        <v>2024</v>
      </c>
      <c r="B92" s="1" t="s">
        <v>14</v>
      </c>
      <c r="C92" t="s">
        <v>50</v>
      </c>
      <c r="D92" s="1" t="s">
        <v>496</v>
      </c>
      <c r="E92" t="s">
        <v>171</v>
      </c>
      <c r="F92" s="6">
        <v>370074</v>
      </c>
      <c r="G92" s="6">
        <v>284101</v>
      </c>
      <c r="H92" s="6">
        <v>59231</v>
      </c>
      <c r="I92" s="6">
        <v>224870</v>
      </c>
      <c r="J92" s="6">
        <v>85973</v>
      </c>
      <c r="K92">
        <v>895</v>
      </c>
      <c r="L92" s="6">
        <v>311738</v>
      </c>
      <c r="M92">
        <v>0</v>
      </c>
      <c r="N92">
        <v>0</v>
      </c>
      <c r="O92">
        <v>0</v>
      </c>
      <c r="P92" s="6">
        <v>39332</v>
      </c>
      <c r="Q92" s="6">
        <v>4674</v>
      </c>
      <c r="R92" s="6">
        <v>59769</v>
      </c>
      <c r="S92" s="6">
        <v>66949</v>
      </c>
      <c r="T92" s="6">
        <v>482462</v>
      </c>
      <c r="U92" s="6">
        <v>268876</v>
      </c>
      <c r="V92" s="6">
        <v>213586</v>
      </c>
    </row>
    <row r="93" spans="1:22" x14ac:dyDescent="0.25">
      <c r="A93">
        <v>2024</v>
      </c>
      <c r="B93" s="1" t="s">
        <v>18</v>
      </c>
      <c r="C93" t="s">
        <v>54</v>
      </c>
      <c r="D93" s="1" t="s">
        <v>497</v>
      </c>
      <c r="E93" t="s">
        <v>172</v>
      </c>
      <c r="F93" s="6">
        <v>196763</v>
      </c>
      <c r="G93" s="6">
        <v>159401</v>
      </c>
      <c r="H93" s="6">
        <v>30098</v>
      </c>
      <c r="I93" s="6">
        <v>129303</v>
      </c>
      <c r="J93" s="6">
        <v>37362</v>
      </c>
      <c r="K93">
        <v>0</v>
      </c>
      <c r="L93" s="6">
        <v>166665</v>
      </c>
      <c r="M93">
        <v>0</v>
      </c>
      <c r="N93">
        <v>0</v>
      </c>
      <c r="O93">
        <v>0</v>
      </c>
      <c r="P93" s="6">
        <v>16755</v>
      </c>
      <c r="Q93" s="6">
        <v>2101</v>
      </c>
      <c r="R93" s="6">
        <v>35239</v>
      </c>
      <c r="S93" s="6">
        <v>38709</v>
      </c>
      <c r="T93" s="6">
        <v>259469</v>
      </c>
      <c r="U93" s="6">
        <v>148159</v>
      </c>
      <c r="V93" s="6">
        <v>111310</v>
      </c>
    </row>
    <row r="94" spans="1:22" x14ac:dyDescent="0.25">
      <c r="A94">
        <v>2024</v>
      </c>
      <c r="B94" s="1" t="s">
        <v>15</v>
      </c>
      <c r="C94" t="s">
        <v>51</v>
      </c>
      <c r="D94" s="1" t="s">
        <v>498</v>
      </c>
      <c r="E94" t="s">
        <v>173</v>
      </c>
      <c r="F94" s="6">
        <v>214760</v>
      </c>
      <c r="G94" s="6">
        <v>168110</v>
      </c>
      <c r="H94" s="6">
        <v>37860</v>
      </c>
      <c r="I94" s="6">
        <v>130250</v>
      </c>
      <c r="J94" s="6">
        <v>46650</v>
      </c>
      <c r="K94">
        <v>0</v>
      </c>
      <c r="L94" s="6">
        <v>176900</v>
      </c>
      <c r="M94">
        <v>211</v>
      </c>
      <c r="N94">
        <v>59</v>
      </c>
      <c r="O94">
        <v>270</v>
      </c>
      <c r="P94" s="6">
        <v>26554</v>
      </c>
      <c r="Q94" s="6">
        <v>3057</v>
      </c>
      <c r="R94" s="6">
        <v>34109</v>
      </c>
      <c r="S94" s="6">
        <v>38029</v>
      </c>
      <c r="T94" s="6">
        <v>278919</v>
      </c>
      <c r="U94" s="6">
        <v>160072</v>
      </c>
      <c r="V94" s="6">
        <v>118847</v>
      </c>
    </row>
    <row r="95" spans="1:22" x14ac:dyDescent="0.25">
      <c r="A95">
        <v>2024</v>
      </c>
      <c r="B95" s="1" t="s">
        <v>15</v>
      </c>
      <c r="C95" t="s">
        <v>51</v>
      </c>
      <c r="D95" s="1" t="s">
        <v>499</v>
      </c>
      <c r="E95" t="s">
        <v>174</v>
      </c>
      <c r="F95" s="6">
        <v>197284</v>
      </c>
      <c r="G95" s="6">
        <v>154429</v>
      </c>
      <c r="H95" s="6">
        <v>48097</v>
      </c>
      <c r="I95" s="6">
        <v>106332</v>
      </c>
      <c r="J95" s="6">
        <v>42855</v>
      </c>
      <c r="K95" s="6">
        <v>18319</v>
      </c>
      <c r="L95" s="6">
        <v>167506</v>
      </c>
      <c r="M95">
        <v>195</v>
      </c>
      <c r="N95">
        <v>55</v>
      </c>
      <c r="O95">
        <v>250</v>
      </c>
      <c r="P95" s="6">
        <v>25615</v>
      </c>
      <c r="Q95" s="6">
        <v>2945</v>
      </c>
      <c r="R95" s="6">
        <v>33359</v>
      </c>
      <c r="S95" s="6">
        <v>37193</v>
      </c>
      <c r="T95" s="6">
        <v>266868</v>
      </c>
      <c r="U95" s="6">
        <v>135088</v>
      </c>
      <c r="V95" s="6">
        <v>131780</v>
      </c>
    </row>
    <row r="96" spans="1:22" x14ac:dyDescent="0.25">
      <c r="A96">
        <v>2024</v>
      </c>
      <c r="B96" s="1" t="s">
        <v>20</v>
      </c>
      <c r="C96" t="s">
        <v>56</v>
      </c>
      <c r="D96" s="1" t="s">
        <v>500</v>
      </c>
      <c r="E96" t="s">
        <v>175</v>
      </c>
      <c r="F96" s="6">
        <v>206766</v>
      </c>
      <c r="G96" s="6">
        <v>163461</v>
      </c>
      <c r="H96" s="6">
        <v>41163</v>
      </c>
      <c r="I96" s="6">
        <v>122298</v>
      </c>
      <c r="J96" s="6">
        <v>43305</v>
      </c>
      <c r="K96">
        <v>0</v>
      </c>
      <c r="L96" s="6">
        <v>165603</v>
      </c>
      <c r="M96">
        <v>343</v>
      </c>
      <c r="N96">
        <v>91</v>
      </c>
      <c r="O96">
        <v>434</v>
      </c>
      <c r="P96" s="6">
        <v>21231</v>
      </c>
      <c r="Q96" s="6">
        <v>2291</v>
      </c>
      <c r="R96" s="6">
        <v>32888</v>
      </c>
      <c r="S96" s="6">
        <v>36358</v>
      </c>
      <c r="T96" s="6">
        <v>258805</v>
      </c>
      <c r="U96" s="6">
        <v>146163</v>
      </c>
      <c r="V96" s="6">
        <v>112642</v>
      </c>
    </row>
    <row r="97" spans="1:22" x14ac:dyDescent="0.25">
      <c r="A97">
        <v>2024</v>
      </c>
      <c r="B97" s="1" t="s">
        <v>14</v>
      </c>
      <c r="C97" t="s">
        <v>50</v>
      </c>
      <c r="D97" s="1" t="s">
        <v>501</v>
      </c>
      <c r="E97" t="s">
        <v>176</v>
      </c>
      <c r="F97" s="6">
        <v>327352</v>
      </c>
      <c r="G97" s="6">
        <v>251304</v>
      </c>
      <c r="H97" s="6">
        <v>67954</v>
      </c>
      <c r="I97" s="6">
        <v>183350</v>
      </c>
      <c r="J97" s="6">
        <v>76048</v>
      </c>
      <c r="K97">
        <v>0</v>
      </c>
      <c r="L97" s="6">
        <v>259398</v>
      </c>
      <c r="M97">
        <v>0</v>
      </c>
      <c r="N97">
        <v>0</v>
      </c>
      <c r="O97">
        <v>0</v>
      </c>
      <c r="P97" s="6">
        <v>34678</v>
      </c>
      <c r="Q97" s="6">
        <v>4122</v>
      </c>
      <c r="R97" s="6">
        <v>55018</v>
      </c>
      <c r="S97" s="6">
        <v>61626</v>
      </c>
      <c r="T97" s="6">
        <v>414842</v>
      </c>
      <c r="U97" s="6">
        <v>222150</v>
      </c>
      <c r="V97" s="6">
        <v>192692</v>
      </c>
    </row>
    <row r="98" spans="1:22" x14ac:dyDescent="0.25">
      <c r="A98">
        <v>2024</v>
      </c>
      <c r="B98" s="1" t="s">
        <v>20</v>
      </c>
      <c r="C98" t="s">
        <v>56</v>
      </c>
      <c r="D98" s="1" t="s">
        <v>502</v>
      </c>
      <c r="E98" t="s">
        <v>177</v>
      </c>
      <c r="F98" s="6">
        <v>181139</v>
      </c>
      <c r="G98" s="6">
        <v>143202</v>
      </c>
      <c r="H98" s="6">
        <v>33759</v>
      </c>
      <c r="I98" s="6">
        <v>109443</v>
      </c>
      <c r="J98" s="6">
        <v>37937</v>
      </c>
      <c r="K98">
        <v>0</v>
      </c>
      <c r="L98" s="6">
        <v>147380</v>
      </c>
      <c r="M98">
        <v>301</v>
      </c>
      <c r="N98">
        <v>80</v>
      </c>
      <c r="O98">
        <v>381</v>
      </c>
      <c r="P98" s="6">
        <v>18600</v>
      </c>
      <c r="Q98" s="6">
        <v>2007</v>
      </c>
      <c r="R98" s="6">
        <v>29717</v>
      </c>
      <c r="S98" s="6">
        <v>32853</v>
      </c>
      <c r="T98" s="6">
        <v>230938</v>
      </c>
      <c r="U98" s="6">
        <v>130350</v>
      </c>
      <c r="V98" s="6">
        <v>100588</v>
      </c>
    </row>
    <row r="99" spans="1:22" x14ac:dyDescent="0.25">
      <c r="A99">
        <v>2024</v>
      </c>
      <c r="B99" s="1" t="s">
        <v>13</v>
      </c>
      <c r="C99" t="s">
        <v>49</v>
      </c>
      <c r="D99" s="1" t="s">
        <v>503</v>
      </c>
      <c r="E99" t="s">
        <v>178</v>
      </c>
      <c r="F99" s="6">
        <v>131322</v>
      </c>
      <c r="G99" s="6">
        <v>99583</v>
      </c>
      <c r="H99" s="6">
        <v>31180</v>
      </c>
      <c r="I99" s="6">
        <v>68403</v>
      </c>
      <c r="J99" s="6">
        <v>31739</v>
      </c>
      <c r="K99">
        <v>0</v>
      </c>
      <c r="L99" s="6">
        <v>100142</v>
      </c>
      <c r="M99">
        <v>267</v>
      </c>
      <c r="N99">
        <v>85</v>
      </c>
      <c r="O99">
        <v>352</v>
      </c>
      <c r="P99" s="6">
        <v>13002</v>
      </c>
      <c r="Q99" s="6">
        <v>1411</v>
      </c>
      <c r="R99" s="6">
        <v>21042</v>
      </c>
      <c r="S99" s="6">
        <v>23442</v>
      </c>
      <c r="T99" s="6">
        <v>159391</v>
      </c>
      <c r="U99" s="6">
        <v>83083</v>
      </c>
      <c r="V99" s="6">
        <v>76308</v>
      </c>
    </row>
    <row r="100" spans="1:22" x14ac:dyDescent="0.25">
      <c r="A100">
        <v>2024</v>
      </c>
      <c r="B100" s="1" t="s">
        <v>16</v>
      </c>
      <c r="C100" t="s">
        <v>52</v>
      </c>
      <c r="D100" s="1" t="s">
        <v>504</v>
      </c>
      <c r="E100" t="s">
        <v>179</v>
      </c>
      <c r="F100" s="6">
        <v>222149</v>
      </c>
      <c r="G100" s="6">
        <v>175119</v>
      </c>
      <c r="H100" s="6">
        <v>46849</v>
      </c>
      <c r="I100" s="6">
        <v>128270</v>
      </c>
      <c r="J100" s="6">
        <v>47030</v>
      </c>
      <c r="K100">
        <v>0</v>
      </c>
      <c r="L100" s="6">
        <v>175300</v>
      </c>
      <c r="M100">
        <v>0</v>
      </c>
      <c r="N100">
        <v>0</v>
      </c>
      <c r="O100">
        <v>0</v>
      </c>
      <c r="P100" s="6">
        <v>20411</v>
      </c>
      <c r="Q100" s="6">
        <v>2395</v>
      </c>
      <c r="R100" s="6">
        <v>34089</v>
      </c>
      <c r="S100" s="6">
        <v>37252</v>
      </c>
      <c r="T100" s="6">
        <v>269447</v>
      </c>
      <c r="U100" s="6">
        <v>151076</v>
      </c>
      <c r="V100" s="6">
        <v>118371</v>
      </c>
    </row>
    <row r="101" spans="1:22" x14ac:dyDescent="0.25">
      <c r="A101">
        <v>2024</v>
      </c>
      <c r="B101" s="1" t="s">
        <v>21</v>
      </c>
      <c r="C101" t="s">
        <v>57</v>
      </c>
      <c r="D101" s="1" t="s">
        <v>505</v>
      </c>
      <c r="E101" t="s">
        <v>180</v>
      </c>
      <c r="F101" s="6">
        <v>303583</v>
      </c>
      <c r="G101" s="6">
        <v>241914</v>
      </c>
      <c r="H101" s="6">
        <v>58907</v>
      </c>
      <c r="I101" s="6">
        <v>183007</v>
      </c>
      <c r="J101" s="6">
        <v>61669</v>
      </c>
      <c r="K101" s="6">
        <v>3999</v>
      </c>
      <c r="L101" s="6">
        <v>248675</v>
      </c>
      <c r="M101">
        <v>568</v>
      </c>
      <c r="N101">
        <v>144</v>
      </c>
      <c r="O101">
        <v>712</v>
      </c>
      <c r="P101" s="6">
        <v>30894</v>
      </c>
      <c r="Q101" s="6">
        <v>3376</v>
      </c>
      <c r="R101" s="6">
        <v>52881</v>
      </c>
      <c r="S101" s="6">
        <v>58123</v>
      </c>
      <c r="T101" s="6">
        <v>394661</v>
      </c>
      <c r="U101" s="6">
        <v>217844</v>
      </c>
      <c r="V101" s="6">
        <v>176817</v>
      </c>
    </row>
    <row r="102" spans="1:22" x14ac:dyDescent="0.25">
      <c r="A102">
        <v>2024</v>
      </c>
      <c r="B102" s="1" t="s">
        <v>13</v>
      </c>
      <c r="C102" t="s">
        <v>49</v>
      </c>
      <c r="D102" s="1" t="s">
        <v>506</v>
      </c>
      <c r="E102" t="s">
        <v>181</v>
      </c>
      <c r="F102" s="6">
        <v>148833</v>
      </c>
      <c r="G102" s="6">
        <v>112863</v>
      </c>
      <c r="H102" s="6">
        <v>35520</v>
      </c>
      <c r="I102" s="6">
        <v>77343</v>
      </c>
      <c r="J102" s="6">
        <v>35970</v>
      </c>
      <c r="K102">
        <v>0</v>
      </c>
      <c r="L102" s="6">
        <v>113313</v>
      </c>
      <c r="M102">
        <v>301</v>
      </c>
      <c r="N102">
        <v>96</v>
      </c>
      <c r="O102">
        <v>397</v>
      </c>
      <c r="P102" s="6">
        <v>14736</v>
      </c>
      <c r="Q102" s="6">
        <v>1599</v>
      </c>
      <c r="R102" s="6">
        <v>26412</v>
      </c>
      <c r="S102" s="6">
        <v>29424</v>
      </c>
      <c r="T102" s="6">
        <v>185881</v>
      </c>
      <c r="U102" s="6">
        <v>93979</v>
      </c>
      <c r="V102" s="6">
        <v>91902</v>
      </c>
    </row>
    <row r="103" spans="1:22" x14ac:dyDescent="0.25">
      <c r="A103">
        <v>2024</v>
      </c>
      <c r="B103" s="1" t="s">
        <v>15</v>
      </c>
      <c r="C103" t="s">
        <v>51</v>
      </c>
      <c r="D103" s="1" t="s">
        <v>507</v>
      </c>
      <c r="E103" t="s">
        <v>182</v>
      </c>
      <c r="F103" s="6">
        <v>231866</v>
      </c>
      <c r="G103" s="6">
        <v>181500</v>
      </c>
      <c r="H103" s="6">
        <v>41102</v>
      </c>
      <c r="I103" s="6">
        <v>140398</v>
      </c>
      <c r="J103" s="6">
        <v>50366</v>
      </c>
      <c r="K103" s="6">
        <v>3635</v>
      </c>
      <c r="L103" s="6">
        <v>194399</v>
      </c>
      <c r="M103">
        <v>230</v>
      </c>
      <c r="N103">
        <v>63</v>
      </c>
      <c r="O103">
        <v>293</v>
      </c>
      <c r="P103" s="6">
        <v>28669</v>
      </c>
      <c r="Q103" s="6">
        <v>3300</v>
      </c>
      <c r="R103" s="6">
        <v>35233</v>
      </c>
      <c r="S103" s="6">
        <v>39283</v>
      </c>
      <c r="T103" s="6">
        <v>301177</v>
      </c>
      <c r="U103" s="6">
        <v>172597</v>
      </c>
      <c r="V103" s="6">
        <v>128580</v>
      </c>
    </row>
    <row r="104" spans="1:22" x14ac:dyDescent="0.25">
      <c r="A104">
        <v>2024</v>
      </c>
      <c r="B104" s="1" t="s">
        <v>14</v>
      </c>
      <c r="C104" t="s">
        <v>50</v>
      </c>
      <c r="D104" s="1" t="s">
        <v>508</v>
      </c>
      <c r="E104" t="s">
        <v>183</v>
      </c>
      <c r="F104" s="6">
        <v>265266</v>
      </c>
      <c r="G104" s="6">
        <v>203642</v>
      </c>
      <c r="H104" s="6">
        <v>51253</v>
      </c>
      <c r="I104" s="6">
        <v>152389</v>
      </c>
      <c r="J104" s="6">
        <v>61624</v>
      </c>
      <c r="K104">
        <v>0</v>
      </c>
      <c r="L104" s="6">
        <v>214013</v>
      </c>
      <c r="M104">
        <v>0</v>
      </c>
      <c r="N104">
        <v>0</v>
      </c>
      <c r="O104">
        <v>0</v>
      </c>
      <c r="P104" s="6">
        <v>28101</v>
      </c>
      <c r="Q104" s="6">
        <v>3340</v>
      </c>
      <c r="R104" s="6">
        <v>46140</v>
      </c>
      <c r="S104" s="6">
        <v>51682</v>
      </c>
      <c r="T104" s="6">
        <v>343276</v>
      </c>
      <c r="U104" s="6">
        <v>183830</v>
      </c>
      <c r="V104" s="6">
        <v>159446</v>
      </c>
    </row>
    <row r="105" spans="1:22" x14ac:dyDescent="0.25">
      <c r="A105">
        <v>2024</v>
      </c>
      <c r="B105" s="1" t="s">
        <v>17</v>
      </c>
      <c r="C105" t="s">
        <v>53</v>
      </c>
      <c r="D105" s="1" t="s">
        <v>509</v>
      </c>
      <c r="E105" t="s">
        <v>184</v>
      </c>
      <c r="F105" s="6">
        <v>170579</v>
      </c>
      <c r="G105" s="6">
        <v>135242</v>
      </c>
      <c r="H105" s="6">
        <v>41379</v>
      </c>
      <c r="I105" s="6">
        <v>93863</v>
      </c>
      <c r="J105" s="6">
        <v>35337</v>
      </c>
      <c r="K105" s="6">
        <v>4607</v>
      </c>
      <c r="L105" s="6">
        <v>133807</v>
      </c>
      <c r="M105">
        <v>156</v>
      </c>
      <c r="N105">
        <v>40</v>
      </c>
      <c r="O105">
        <v>196</v>
      </c>
      <c r="P105" s="6">
        <v>16441</v>
      </c>
      <c r="Q105" s="6">
        <v>1912</v>
      </c>
      <c r="R105" s="6">
        <v>29091</v>
      </c>
      <c r="S105" s="6">
        <v>31978</v>
      </c>
      <c r="T105" s="6">
        <v>213425</v>
      </c>
      <c r="U105" s="6">
        <v>112372</v>
      </c>
      <c r="V105" s="6">
        <v>101053</v>
      </c>
    </row>
    <row r="106" spans="1:22" x14ac:dyDescent="0.25">
      <c r="A106">
        <v>2024</v>
      </c>
      <c r="B106" s="1" t="s">
        <v>20</v>
      </c>
      <c r="C106" t="s">
        <v>56</v>
      </c>
      <c r="D106" s="1" t="s">
        <v>510</v>
      </c>
      <c r="E106" t="s">
        <v>185</v>
      </c>
      <c r="F106" s="6">
        <v>72422</v>
      </c>
      <c r="G106" s="6">
        <v>57254</v>
      </c>
      <c r="H106" s="6">
        <v>15759</v>
      </c>
      <c r="I106" s="6">
        <v>41495</v>
      </c>
      <c r="J106" s="6">
        <v>15168</v>
      </c>
      <c r="K106">
        <v>723</v>
      </c>
      <c r="L106" s="6">
        <v>57386</v>
      </c>
      <c r="M106">
        <v>121</v>
      </c>
      <c r="N106">
        <v>33</v>
      </c>
      <c r="O106">
        <v>154</v>
      </c>
      <c r="P106" s="6">
        <v>7436</v>
      </c>
      <c r="Q106">
        <v>802</v>
      </c>
      <c r="R106" s="6">
        <v>11750</v>
      </c>
      <c r="S106" s="6">
        <v>12990</v>
      </c>
      <c r="T106" s="6">
        <v>90518</v>
      </c>
      <c r="U106" s="6">
        <v>49854</v>
      </c>
      <c r="V106" s="6">
        <v>40664</v>
      </c>
    </row>
    <row r="107" spans="1:22" x14ac:dyDescent="0.25">
      <c r="A107">
        <v>2024</v>
      </c>
      <c r="B107" s="1" t="s">
        <v>14</v>
      </c>
      <c r="C107" t="s">
        <v>50</v>
      </c>
      <c r="D107" s="1" t="s">
        <v>511</v>
      </c>
      <c r="E107" t="s">
        <v>186</v>
      </c>
      <c r="F107" s="6">
        <v>462993</v>
      </c>
      <c r="G107" s="6">
        <v>355434</v>
      </c>
      <c r="H107" s="6">
        <v>92306</v>
      </c>
      <c r="I107" s="6">
        <v>263128</v>
      </c>
      <c r="J107" s="6">
        <v>107559</v>
      </c>
      <c r="K107" s="6">
        <v>4021</v>
      </c>
      <c r="L107" s="6">
        <v>374708</v>
      </c>
      <c r="M107">
        <v>0</v>
      </c>
      <c r="N107">
        <v>0</v>
      </c>
      <c r="O107">
        <v>0</v>
      </c>
      <c r="P107" s="6">
        <v>49047</v>
      </c>
      <c r="Q107" s="6">
        <v>5830</v>
      </c>
      <c r="R107" s="6">
        <v>75149</v>
      </c>
      <c r="S107" s="6">
        <v>84176</v>
      </c>
      <c r="T107" s="6">
        <v>588910</v>
      </c>
      <c r="U107" s="6">
        <v>318005</v>
      </c>
      <c r="V107" s="6">
        <v>270905</v>
      </c>
    </row>
    <row r="108" spans="1:22" x14ac:dyDescent="0.25">
      <c r="A108">
        <v>2024</v>
      </c>
      <c r="B108" s="1" t="s">
        <v>18</v>
      </c>
      <c r="C108" t="s">
        <v>54</v>
      </c>
      <c r="D108" s="1" t="s">
        <v>512</v>
      </c>
      <c r="E108" t="s">
        <v>187</v>
      </c>
      <c r="F108" s="6">
        <v>157485</v>
      </c>
      <c r="G108" s="6">
        <v>127581</v>
      </c>
      <c r="H108" s="6">
        <v>38965</v>
      </c>
      <c r="I108" s="6">
        <v>88616</v>
      </c>
      <c r="J108" s="6">
        <v>29904</v>
      </c>
      <c r="K108">
        <v>0</v>
      </c>
      <c r="L108" s="6">
        <v>118520</v>
      </c>
      <c r="M108">
        <v>0</v>
      </c>
      <c r="N108">
        <v>0</v>
      </c>
      <c r="O108">
        <v>0</v>
      </c>
      <c r="P108" s="6">
        <v>13410</v>
      </c>
      <c r="Q108" s="6">
        <v>1682</v>
      </c>
      <c r="R108" s="6">
        <v>26491</v>
      </c>
      <c r="S108" s="6">
        <v>29100</v>
      </c>
      <c r="T108" s="6">
        <v>189203</v>
      </c>
      <c r="U108" s="6">
        <v>103708</v>
      </c>
      <c r="V108" s="6">
        <v>85495</v>
      </c>
    </row>
    <row r="109" spans="1:22" x14ac:dyDescent="0.25">
      <c r="A109">
        <v>2024</v>
      </c>
      <c r="B109" s="1" t="s">
        <v>21</v>
      </c>
      <c r="C109" t="s">
        <v>57</v>
      </c>
      <c r="D109" s="1" t="s">
        <v>513</v>
      </c>
      <c r="E109" t="s">
        <v>188</v>
      </c>
      <c r="F109" s="6">
        <v>605520</v>
      </c>
      <c r="G109" s="6">
        <v>482515</v>
      </c>
      <c r="H109" s="6">
        <v>120885</v>
      </c>
      <c r="I109" s="6">
        <v>361630</v>
      </c>
      <c r="J109" s="6">
        <v>123005</v>
      </c>
      <c r="K109">
        <v>835</v>
      </c>
      <c r="L109" s="6">
        <v>485470</v>
      </c>
      <c r="M109" s="6">
        <v>1130</v>
      </c>
      <c r="N109">
        <v>288</v>
      </c>
      <c r="O109" s="6">
        <v>1418</v>
      </c>
      <c r="P109" s="6">
        <v>60903</v>
      </c>
      <c r="Q109" s="6">
        <v>6671</v>
      </c>
      <c r="R109" s="6">
        <v>105203</v>
      </c>
      <c r="S109" s="6">
        <v>115632</v>
      </c>
      <c r="T109" s="6">
        <v>775297</v>
      </c>
      <c r="U109" s="6">
        <v>430334</v>
      </c>
      <c r="V109" s="6">
        <v>344963</v>
      </c>
    </row>
    <row r="110" spans="1:22" x14ac:dyDescent="0.25">
      <c r="A110">
        <v>2024</v>
      </c>
      <c r="B110" s="1" t="s">
        <v>15</v>
      </c>
      <c r="C110" t="s">
        <v>51</v>
      </c>
      <c r="D110" s="1" t="s">
        <v>514</v>
      </c>
      <c r="E110" t="s">
        <v>189</v>
      </c>
      <c r="F110" s="6">
        <v>407201</v>
      </c>
      <c r="G110" s="6">
        <v>318748</v>
      </c>
      <c r="H110" s="6">
        <v>96540</v>
      </c>
      <c r="I110" s="6">
        <v>222208</v>
      </c>
      <c r="J110" s="6">
        <v>88453</v>
      </c>
      <c r="K110" s="6">
        <v>13568</v>
      </c>
      <c r="L110" s="6">
        <v>324229</v>
      </c>
      <c r="M110">
        <v>401</v>
      </c>
      <c r="N110">
        <v>112</v>
      </c>
      <c r="O110">
        <v>513</v>
      </c>
      <c r="P110" s="6">
        <v>50348</v>
      </c>
      <c r="Q110" s="6">
        <v>5795</v>
      </c>
      <c r="R110" s="6">
        <v>67842</v>
      </c>
      <c r="S110" s="6">
        <v>75640</v>
      </c>
      <c r="T110" s="6">
        <v>524367</v>
      </c>
      <c r="U110" s="6">
        <v>278753</v>
      </c>
      <c r="V110" s="6">
        <v>245614</v>
      </c>
    </row>
    <row r="111" spans="1:22" x14ac:dyDescent="0.25">
      <c r="A111">
        <v>2024</v>
      </c>
      <c r="B111" s="1" t="s">
        <v>14</v>
      </c>
      <c r="C111" t="s">
        <v>50</v>
      </c>
      <c r="D111" s="1" t="s">
        <v>515</v>
      </c>
      <c r="E111" t="s">
        <v>190</v>
      </c>
      <c r="F111" s="6">
        <v>1426504</v>
      </c>
      <c r="G111" s="6">
        <v>1095109</v>
      </c>
      <c r="H111" s="6">
        <v>279279</v>
      </c>
      <c r="I111" s="6">
        <v>815830</v>
      </c>
      <c r="J111" s="6">
        <v>331395</v>
      </c>
      <c r="K111">
        <v>0</v>
      </c>
      <c r="L111" s="6">
        <v>1147225</v>
      </c>
      <c r="M111">
        <v>0</v>
      </c>
      <c r="N111">
        <v>0</v>
      </c>
      <c r="O111">
        <v>0</v>
      </c>
      <c r="P111" s="6">
        <v>151137</v>
      </c>
      <c r="Q111" s="6">
        <v>17961</v>
      </c>
      <c r="R111" s="6">
        <v>257145</v>
      </c>
      <c r="S111" s="6">
        <v>288033</v>
      </c>
      <c r="T111" s="6">
        <v>1861501</v>
      </c>
      <c r="U111" s="6">
        <v>984928</v>
      </c>
      <c r="V111" s="6">
        <v>876573</v>
      </c>
    </row>
    <row r="112" spans="1:22" x14ac:dyDescent="0.25">
      <c r="A112">
        <v>2024</v>
      </c>
      <c r="B112" s="1" t="s">
        <v>21</v>
      </c>
      <c r="C112" t="s">
        <v>57</v>
      </c>
      <c r="D112" s="1" t="s">
        <v>516</v>
      </c>
      <c r="E112" t="s">
        <v>191</v>
      </c>
      <c r="F112" s="6">
        <v>816151</v>
      </c>
      <c r="G112" s="6">
        <v>650359</v>
      </c>
      <c r="H112" s="6">
        <v>163791</v>
      </c>
      <c r="I112" s="6">
        <v>486568</v>
      </c>
      <c r="J112" s="6">
        <v>165792</v>
      </c>
      <c r="K112">
        <v>0</v>
      </c>
      <c r="L112" s="6">
        <v>652360</v>
      </c>
      <c r="M112" s="6">
        <v>1523</v>
      </c>
      <c r="N112">
        <v>389</v>
      </c>
      <c r="O112" s="6">
        <v>1912</v>
      </c>
      <c r="P112" s="6">
        <v>82034</v>
      </c>
      <c r="Q112" s="6">
        <v>8992</v>
      </c>
      <c r="R112" s="6">
        <v>148577</v>
      </c>
      <c r="S112" s="6">
        <v>163305</v>
      </c>
      <c r="T112" s="6">
        <v>1057180</v>
      </c>
      <c r="U112" s="6">
        <v>579117</v>
      </c>
      <c r="V112" s="6">
        <v>478063</v>
      </c>
    </row>
    <row r="113" spans="1:22" x14ac:dyDescent="0.25">
      <c r="A113">
        <v>2024</v>
      </c>
      <c r="B113" s="1" t="s">
        <v>20</v>
      </c>
      <c r="C113" t="s">
        <v>56</v>
      </c>
      <c r="D113" s="1" t="s">
        <v>517</v>
      </c>
      <c r="E113" t="s">
        <v>192</v>
      </c>
      <c r="F113" s="6">
        <v>166513</v>
      </c>
      <c r="G113" s="6">
        <v>131638</v>
      </c>
      <c r="H113" s="6">
        <v>27555</v>
      </c>
      <c r="I113" s="6">
        <v>104083</v>
      </c>
      <c r="J113" s="6">
        <v>34875</v>
      </c>
      <c r="K113">
        <v>0</v>
      </c>
      <c r="L113" s="6">
        <v>138958</v>
      </c>
      <c r="M113">
        <v>277</v>
      </c>
      <c r="N113">
        <v>74</v>
      </c>
      <c r="O113">
        <v>351</v>
      </c>
      <c r="P113" s="6">
        <v>17098</v>
      </c>
      <c r="Q113" s="6">
        <v>1845</v>
      </c>
      <c r="R113" s="6">
        <v>27044</v>
      </c>
      <c r="S113" s="6">
        <v>29898</v>
      </c>
      <c r="T113" s="6">
        <v>215194</v>
      </c>
      <c r="U113" s="6">
        <v>123304</v>
      </c>
      <c r="V113" s="6">
        <v>91890</v>
      </c>
    </row>
    <row r="114" spans="1:22" x14ac:dyDescent="0.25">
      <c r="A114">
        <v>2024</v>
      </c>
      <c r="B114" s="1" t="s">
        <v>19</v>
      </c>
      <c r="C114" t="s">
        <v>55</v>
      </c>
      <c r="D114" s="1" t="s">
        <v>518</v>
      </c>
      <c r="E114" t="s">
        <v>193</v>
      </c>
      <c r="F114" s="6">
        <v>171772</v>
      </c>
      <c r="G114" s="6">
        <v>133172</v>
      </c>
      <c r="H114" s="6">
        <v>33958</v>
      </c>
      <c r="I114" s="6">
        <v>99214</v>
      </c>
      <c r="J114" s="6">
        <v>38600</v>
      </c>
      <c r="K114">
        <v>0</v>
      </c>
      <c r="L114" s="6">
        <v>137814</v>
      </c>
      <c r="M114">
        <v>256</v>
      </c>
      <c r="N114">
        <v>74</v>
      </c>
      <c r="O114">
        <v>330</v>
      </c>
      <c r="P114" s="6">
        <v>17307</v>
      </c>
      <c r="Q114" s="6">
        <v>2063</v>
      </c>
      <c r="R114" s="6">
        <v>28977</v>
      </c>
      <c r="S114" s="6">
        <v>32448</v>
      </c>
      <c r="T114" s="6">
        <v>218939</v>
      </c>
      <c r="U114" s="6">
        <v>118840</v>
      </c>
      <c r="V114" s="6">
        <v>100099</v>
      </c>
    </row>
    <row r="115" spans="1:22" x14ac:dyDescent="0.25">
      <c r="A115">
        <v>2024</v>
      </c>
      <c r="B115" s="1" t="s">
        <v>15</v>
      </c>
      <c r="C115" t="s">
        <v>51</v>
      </c>
      <c r="D115" s="1" t="s">
        <v>519</v>
      </c>
      <c r="E115" t="s">
        <v>194</v>
      </c>
      <c r="F115" s="6">
        <v>318164</v>
      </c>
      <c r="G115" s="6">
        <v>249052</v>
      </c>
      <c r="H115" s="6">
        <v>65277</v>
      </c>
      <c r="I115" s="6">
        <v>183775</v>
      </c>
      <c r="J115" s="6">
        <v>69112</v>
      </c>
      <c r="K115" s="6">
        <v>17986</v>
      </c>
      <c r="L115" s="6">
        <v>270873</v>
      </c>
      <c r="M115">
        <v>314</v>
      </c>
      <c r="N115">
        <v>87</v>
      </c>
      <c r="O115">
        <v>401</v>
      </c>
      <c r="P115" s="6">
        <v>39339</v>
      </c>
      <c r="Q115" s="6">
        <v>4528</v>
      </c>
      <c r="R115" s="6">
        <v>55161</v>
      </c>
      <c r="S115" s="6">
        <v>61501</v>
      </c>
      <c r="T115" s="6">
        <v>431803</v>
      </c>
      <c r="U115" s="6">
        <v>227956</v>
      </c>
      <c r="V115" s="6">
        <v>203847</v>
      </c>
    </row>
    <row r="116" spans="1:22" x14ac:dyDescent="0.25">
      <c r="A116">
        <v>2024</v>
      </c>
      <c r="B116" s="1" t="s">
        <v>19</v>
      </c>
      <c r="C116" t="s">
        <v>55</v>
      </c>
      <c r="D116" s="1" t="s">
        <v>520</v>
      </c>
      <c r="E116" t="s">
        <v>195</v>
      </c>
      <c r="F116" s="6">
        <v>172657</v>
      </c>
      <c r="G116" s="6">
        <v>133859</v>
      </c>
      <c r="H116" s="6">
        <v>31537</v>
      </c>
      <c r="I116" s="6">
        <v>102322</v>
      </c>
      <c r="J116" s="6">
        <v>38798</v>
      </c>
      <c r="K116">
        <v>0</v>
      </c>
      <c r="L116" s="6">
        <v>141120</v>
      </c>
      <c r="M116">
        <v>256</v>
      </c>
      <c r="N116">
        <v>74</v>
      </c>
      <c r="O116">
        <v>330</v>
      </c>
      <c r="P116" s="6">
        <v>17397</v>
      </c>
      <c r="Q116" s="6">
        <v>2074</v>
      </c>
      <c r="R116" s="6">
        <v>28977</v>
      </c>
      <c r="S116" s="6">
        <v>32448</v>
      </c>
      <c r="T116" s="6">
        <v>222346</v>
      </c>
      <c r="U116" s="6">
        <v>122049</v>
      </c>
      <c r="V116" s="6">
        <v>100297</v>
      </c>
    </row>
    <row r="117" spans="1:22" x14ac:dyDescent="0.25">
      <c r="A117">
        <v>2024</v>
      </c>
      <c r="B117" s="1" t="s">
        <v>18</v>
      </c>
      <c r="C117" t="s">
        <v>54</v>
      </c>
      <c r="D117" s="1" t="s">
        <v>521</v>
      </c>
      <c r="E117" t="s">
        <v>196</v>
      </c>
      <c r="F117" s="6">
        <v>554315</v>
      </c>
      <c r="G117" s="6">
        <v>449059</v>
      </c>
      <c r="H117" s="6">
        <v>51243</v>
      </c>
      <c r="I117" s="6">
        <v>397816</v>
      </c>
      <c r="J117" s="6">
        <v>105256</v>
      </c>
      <c r="K117">
        <v>0</v>
      </c>
      <c r="L117" s="6">
        <v>503072</v>
      </c>
      <c r="M117">
        <v>0</v>
      </c>
      <c r="N117">
        <v>0</v>
      </c>
      <c r="O117">
        <v>0</v>
      </c>
      <c r="P117" s="6">
        <v>47202</v>
      </c>
      <c r="Q117" s="6">
        <v>5919</v>
      </c>
      <c r="R117" s="6">
        <v>100815</v>
      </c>
      <c r="S117" s="6">
        <v>110744</v>
      </c>
      <c r="T117" s="6">
        <v>767752</v>
      </c>
      <c r="U117" s="6">
        <v>450937</v>
      </c>
      <c r="V117" s="6">
        <v>316815</v>
      </c>
    </row>
    <row r="118" spans="1:22" x14ac:dyDescent="0.25">
      <c r="A118">
        <v>2024</v>
      </c>
      <c r="B118" s="1" t="s">
        <v>14</v>
      </c>
      <c r="C118" t="s">
        <v>50</v>
      </c>
      <c r="D118" s="1" t="s">
        <v>522</v>
      </c>
      <c r="E118" t="s">
        <v>197</v>
      </c>
      <c r="F118" s="6">
        <v>73328</v>
      </c>
      <c r="G118" s="6">
        <v>56293</v>
      </c>
      <c r="H118" s="6">
        <v>14189</v>
      </c>
      <c r="I118" s="6">
        <v>42104</v>
      </c>
      <c r="J118" s="6">
        <v>17035</v>
      </c>
      <c r="K118">
        <v>0</v>
      </c>
      <c r="L118" s="6">
        <v>59139</v>
      </c>
      <c r="M118">
        <v>0</v>
      </c>
      <c r="N118">
        <v>0</v>
      </c>
      <c r="O118">
        <v>0</v>
      </c>
      <c r="P118" s="6">
        <v>7768</v>
      </c>
      <c r="Q118">
        <v>923</v>
      </c>
      <c r="R118" s="6">
        <v>11129</v>
      </c>
      <c r="S118" s="6">
        <v>12465</v>
      </c>
      <c r="T118" s="6">
        <v>91424</v>
      </c>
      <c r="U118" s="6">
        <v>50795</v>
      </c>
      <c r="V118" s="6">
        <v>40629</v>
      </c>
    </row>
    <row r="119" spans="1:22" x14ac:dyDescent="0.25">
      <c r="A119">
        <v>2024</v>
      </c>
      <c r="B119" s="1" t="s">
        <v>15</v>
      </c>
      <c r="C119" t="s">
        <v>51</v>
      </c>
      <c r="D119" s="1" t="s">
        <v>523</v>
      </c>
      <c r="E119" t="s">
        <v>198</v>
      </c>
      <c r="F119" s="6">
        <v>237913</v>
      </c>
      <c r="G119" s="6">
        <v>186234</v>
      </c>
      <c r="H119" s="6">
        <v>50217</v>
      </c>
      <c r="I119" s="6">
        <v>136017</v>
      </c>
      <c r="J119" s="6">
        <v>51679</v>
      </c>
      <c r="K119">
        <v>0</v>
      </c>
      <c r="L119" s="6">
        <v>187696</v>
      </c>
      <c r="M119">
        <v>235</v>
      </c>
      <c r="N119">
        <v>65</v>
      </c>
      <c r="O119">
        <v>300</v>
      </c>
      <c r="P119" s="6">
        <v>29416</v>
      </c>
      <c r="Q119" s="6">
        <v>3386</v>
      </c>
      <c r="R119" s="6">
        <v>38856</v>
      </c>
      <c r="S119" s="6">
        <v>43322</v>
      </c>
      <c r="T119" s="6">
        <v>302976</v>
      </c>
      <c r="U119" s="6">
        <v>169053</v>
      </c>
      <c r="V119" s="6">
        <v>133923</v>
      </c>
    </row>
    <row r="120" spans="1:22" x14ac:dyDescent="0.25">
      <c r="A120">
        <v>2024</v>
      </c>
      <c r="B120" s="1" t="s">
        <v>20</v>
      </c>
      <c r="C120" t="s">
        <v>56</v>
      </c>
      <c r="D120" s="1" t="s">
        <v>524</v>
      </c>
      <c r="E120" t="s">
        <v>199</v>
      </c>
      <c r="F120" s="6">
        <v>719427</v>
      </c>
      <c r="G120" s="6">
        <v>568751</v>
      </c>
      <c r="H120" s="6">
        <v>117049</v>
      </c>
      <c r="I120" s="6">
        <v>451702</v>
      </c>
      <c r="J120" s="6">
        <v>150676</v>
      </c>
      <c r="K120">
        <v>0</v>
      </c>
      <c r="L120" s="6">
        <v>602378</v>
      </c>
      <c r="M120" s="6">
        <v>1193</v>
      </c>
      <c r="N120">
        <v>316</v>
      </c>
      <c r="O120" s="6">
        <v>1509</v>
      </c>
      <c r="P120" s="6">
        <v>73873</v>
      </c>
      <c r="Q120" s="6">
        <v>7971</v>
      </c>
      <c r="R120" s="6">
        <v>120050</v>
      </c>
      <c r="S120" s="6">
        <v>132718</v>
      </c>
      <c r="T120" s="6">
        <v>938499</v>
      </c>
      <c r="U120" s="6">
        <v>534739</v>
      </c>
      <c r="V120" s="6">
        <v>403760</v>
      </c>
    </row>
    <row r="121" spans="1:22" x14ac:dyDescent="0.25">
      <c r="A121">
        <v>2024</v>
      </c>
      <c r="B121" s="1" t="s">
        <v>18</v>
      </c>
      <c r="C121" t="s">
        <v>54</v>
      </c>
      <c r="D121" s="1" t="s">
        <v>525</v>
      </c>
      <c r="E121" t="s">
        <v>200</v>
      </c>
      <c r="F121" s="6">
        <v>107879</v>
      </c>
      <c r="G121" s="6">
        <v>87395</v>
      </c>
      <c r="H121" s="6">
        <v>22889</v>
      </c>
      <c r="I121" s="6">
        <v>64506</v>
      </c>
      <c r="J121" s="6">
        <v>20484</v>
      </c>
      <c r="K121">
        <v>0</v>
      </c>
      <c r="L121" s="6">
        <v>84990</v>
      </c>
      <c r="M121">
        <v>0</v>
      </c>
      <c r="N121">
        <v>0</v>
      </c>
      <c r="O121">
        <v>0</v>
      </c>
      <c r="P121" s="6">
        <v>9186</v>
      </c>
      <c r="Q121" s="6">
        <v>1152</v>
      </c>
      <c r="R121" s="6">
        <v>18860</v>
      </c>
      <c r="S121" s="6">
        <v>20718</v>
      </c>
      <c r="T121" s="6">
        <v>134906</v>
      </c>
      <c r="U121" s="6">
        <v>74844</v>
      </c>
      <c r="V121" s="6">
        <v>60062</v>
      </c>
    </row>
    <row r="122" spans="1:22" x14ac:dyDescent="0.25">
      <c r="A122">
        <v>2024</v>
      </c>
      <c r="B122" s="1" t="s">
        <v>15</v>
      </c>
      <c r="C122" t="s">
        <v>51</v>
      </c>
      <c r="D122" s="1" t="s">
        <v>526</v>
      </c>
      <c r="E122" t="s">
        <v>201</v>
      </c>
      <c r="F122" s="6">
        <v>95104</v>
      </c>
      <c r="G122" s="6">
        <v>74445</v>
      </c>
      <c r="H122" s="6">
        <v>22863</v>
      </c>
      <c r="I122" s="6">
        <v>51582</v>
      </c>
      <c r="J122" s="6">
        <v>20659</v>
      </c>
      <c r="K122" s="6">
        <v>10271</v>
      </c>
      <c r="L122" s="6">
        <v>82512</v>
      </c>
      <c r="M122">
        <v>95</v>
      </c>
      <c r="N122">
        <v>26</v>
      </c>
      <c r="O122">
        <v>121</v>
      </c>
      <c r="P122" s="6">
        <v>11759</v>
      </c>
      <c r="Q122" s="6">
        <v>1354</v>
      </c>
      <c r="R122" s="6">
        <v>15992</v>
      </c>
      <c r="S122" s="6">
        <v>17830</v>
      </c>
      <c r="T122" s="6">
        <v>129568</v>
      </c>
      <c r="U122" s="6">
        <v>64790</v>
      </c>
      <c r="V122" s="6">
        <v>64778</v>
      </c>
    </row>
    <row r="123" spans="1:22" x14ac:dyDescent="0.25">
      <c r="A123">
        <v>2024</v>
      </c>
      <c r="B123" s="1" t="s">
        <v>14</v>
      </c>
      <c r="C123" t="s">
        <v>50</v>
      </c>
      <c r="D123" s="1" t="s">
        <v>527</v>
      </c>
      <c r="E123" t="s">
        <v>202</v>
      </c>
      <c r="F123" s="6">
        <v>142205</v>
      </c>
      <c r="G123" s="6">
        <v>109169</v>
      </c>
      <c r="H123" s="6">
        <v>30756</v>
      </c>
      <c r="I123" s="6">
        <v>78413</v>
      </c>
      <c r="J123" s="6">
        <v>33036</v>
      </c>
      <c r="K123">
        <v>582</v>
      </c>
      <c r="L123" s="6">
        <v>112031</v>
      </c>
      <c r="M123">
        <v>0</v>
      </c>
      <c r="N123">
        <v>0</v>
      </c>
      <c r="O123">
        <v>0</v>
      </c>
      <c r="P123" s="6">
        <v>15139</v>
      </c>
      <c r="Q123" s="6">
        <v>1799</v>
      </c>
      <c r="R123" s="6">
        <v>24133</v>
      </c>
      <c r="S123" s="6">
        <v>27032</v>
      </c>
      <c r="T123" s="6">
        <v>180134</v>
      </c>
      <c r="U123" s="6">
        <v>95351</v>
      </c>
      <c r="V123" s="6">
        <v>84783</v>
      </c>
    </row>
    <row r="124" spans="1:22" x14ac:dyDescent="0.25">
      <c r="A124">
        <v>2024</v>
      </c>
      <c r="B124" s="1" t="s">
        <v>14</v>
      </c>
      <c r="C124" t="s">
        <v>50</v>
      </c>
      <c r="D124" s="1" t="s">
        <v>528</v>
      </c>
      <c r="E124" t="s">
        <v>203</v>
      </c>
      <c r="F124" s="6">
        <v>463859</v>
      </c>
      <c r="G124" s="6">
        <v>356099</v>
      </c>
      <c r="H124" s="6">
        <v>103986</v>
      </c>
      <c r="I124" s="6">
        <v>252113</v>
      </c>
      <c r="J124" s="6">
        <v>107760</v>
      </c>
      <c r="K124">
        <v>0</v>
      </c>
      <c r="L124" s="6">
        <v>359873</v>
      </c>
      <c r="M124">
        <v>0</v>
      </c>
      <c r="N124">
        <v>0</v>
      </c>
      <c r="O124">
        <v>0</v>
      </c>
      <c r="P124" s="6">
        <v>49139</v>
      </c>
      <c r="Q124" s="6">
        <v>5841</v>
      </c>
      <c r="R124" s="6">
        <v>74211</v>
      </c>
      <c r="S124" s="6">
        <v>83126</v>
      </c>
      <c r="T124" s="6">
        <v>572190</v>
      </c>
      <c r="U124" s="6">
        <v>307093</v>
      </c>
      <c r="V124" s="6">
        <v>265097</v>
      </c>
    </row>
    <row r="125" spans="1:22" x14ac:dyDescent="0.25">
      <c r="A125">
        <v>2024</v>
      </c>
      <c r="B125" s="1" t="s">
        <v>15</v>
      </c>
      <c r="C125" t="s">
        <v>51</v>
      </c>
      <c r="D125" s="1" t="s">
        <v>529</v>
      </c>
      <c r="E125" t="s">
        <v>204</v>
      </c>
      <c r="F125" s="6">
        <v>585416</v>
      </c>
      <c r="G125" s="6">
        <v>458251</v>
      </c>
      <c r="H125" s="6">
        <v>107756</v>
      </c>
      <c r="I125" s="6">
        <v>350495</v>
      </c>
      <c r="J125" s="6">
        <v>127165</v>
      </c>
      <c r="K125">
        <v>0</v>
      </c>
      <c r="L125" s="6">
        <v>477660</v>
      </c>
      <c r="M125">
        <v>578</v>
      </c>
      <c r="N125">
        <v>161</v>
      </c>
      <c r="O125">
        <v>739</v>
      </c>
      <c r="P125" s="6">
        <v>72383</v>
      </c>
      <c r="Q125" s="6">
        <v>8332</v>
      </c>
      <c r="R125" s="6">
        <v>97078</v>
      </c>
      <c r="S125" s="6">
        <v>108236</v>
      </c>
      <c r="T125" s="6">
        <v>764428</v>
      </c>
      <c r="U125" s="6">
        <v>431788</v>
      </c>
      <c r="V125" s="6">
        <v>332640</v>
      </c>
    </row>
    <row r="126" spans="1:22" x14ac:dyDescent="0.25">
      <c r="A126">
        <v>2024</v>
      </c>
      <c r="B126" s="1" t="s">
        <v>20</v>
      </c>
      <c r="C126" t="s">
        <v>56</v>
      </c>
      <c r="D126" s="1" t="s">
        <v>530</v>
      </c>
      <c r="E126" t="s">
        <v>205</v>
      </c>
      <c r="F126" s="6">
        <v>178972</v>
      </c>
      <c r="G126" s="6">
        <v>141488</v>
      </c>
      <c r="H126" s="6">
        <v>40807</v>
      </c>
      <c r="I126" s="6">
        <v>100681</v>
      </c>
      <c r="J126" s="6">
        <v>37484</v>
      </c>
      <c r="K126" s="6">
        <v>3175</v>
      </c>
      <c r="L126" s="6">
        <v>141340</v>
      </c>
      <c r="M126">
        <v>296</v>
      </c>
      <c r="N126">
        <v>78</v>
      </c>
      <c r="O126">
        <v>374</v>
      </c>
      <c r="P126" s="6">
        <v>18377</v>
      </c>
      <c r="Q126" s="6">
        <v>1983</v>
      </c>
      <c r="R126" s="6">
        <v>27852</v>
      </c>
      <c r="S126" s="6">
        <v>30791</v>
      </c>
      <c r="T126" s="6">
        <v>220717</v>
      </c>
      <c r="U126" s="6">
        <v>121337</v>
      </c>
      <c r="V126" s="6">
        <v>99380</v>
      </c>
    </row>
    <row r="127" spans="1:22" x14ac:dyDescent="0.25">
      <c r="A127">
        <v>2024</v>
      </c>
      <c r="B127" s="1" t="s">
        <v>15</v>
      </c>
      <c r="C127" t="s">
        <v>51</v>
      </c>
      <c r="D127" s="1" t="s">
        <v>531</v>
      </c>
      <c r="E127" t="s">
        <v>206</v>
      </c>
      <c r="F127" s="6">
        <v>258820</v>
      </c>
      <c r="G127" s="6">
        <v>202599</v>
      </c>
      <c r="H127" s="6">
        <v>38721</v>
      </c>
      <c r="I127" s="6">
        <v>163878</v>
      </c>
      <c r="J127" s="6">
        <v>56221</v>
      </c>
      <c r="K127">
        <v>0</v>
      </c>
      <c r="L127" s="6">
        <v>220099</v>
      </c>
      <c r="M127">
        <v>256</v>
      </c>
      <c r="N127">
        <v>71</v>
      </c>
      <c r="O127">
        <v>327</v>
      </c>
      <c r="P127" s="6">
        <v>32001</v>
      </c>
      <c r="Q127" s="6">
        <v>3684</v>
      </c>
      <c r="R127" s="6">
        <v>42917</v>
      </c>
      <c r="S127" s="6">
        <v>47850</v>
      </c>
      <c r="T127" s="6">
        <v>346878</v>
      </c>
      <c r="U127" s="6">
        <v>199819</v>
      </c>
      <c r="V127" s="6">
        <v>147059</v>
      </c>
    </row>
    <row r="128" spans="1:22" x14ac:dyDescent="0.25">
      <c r="A128">
        <v>2024</v>
      </c>
      <c r="B128" s="1" t="s">
        <v>18</v>
      </c>
      <c r="C128" t="s">
        <v>54</v>
      </c>
      <c r="D128" s="1" t="s">
        <v>532</v>
      </c>
      <c r="E128" t="s">
        <v>207</v>
      </c>
      <c r="F128" s="6">
        <v>142680</v>
      </c>
      <c r="G128" s="6">
        <v>115587</v>
      </c>
      <c r="H128" s="6">
        <v>28487</v>
      </c>
      <c r="I128" s="6">
        <v>87100</v>
      </c>
      <c r="J128" s="6">
        <v>27093</v>
      </c>
      <c r="K128" s="6">
        <v>7200</v>
      </c>
      <c r="L128" s="6">
        <v>121393</v>
      </c>
      <c r="M128">
        <v>0</v>
      </c>
      <c r="N128">
        <v>0</v>
      </c>
      <c r="O128">
        <v>0</v>
      </c>
      <c r="P128" s="6">
        <v>12150</v>
      </c>
      <c r="Q128" s="6">
        <v>1524</v>
      </c>
      <c r="R128" s="6">
        <v>24816</v>
      </c>
      <c r="S128" s="6">
        <v>27260</v>
      </c>
      <c r="T128" s="6">
        <v>187143</v>
      </c>
      <c r="U128" s="6">
        <v>100774</v>
      </c>
      <c r="V128" s="6">
        <v>86369</v>
      </c>
    </row>
    <row r="129" spans="1:22" x14ac:dyDescent="0.25">
      <c r="A129">
        <v>2024</v>
      </c>
      <c r="B129" s="1" t="s">
        <v>20</v>
      </c>
      <c r="C129" t="s">
        <v>56</v>
      </c>
      <c r="D129" s="1" t="s">
        <v>533</v>
      </c>
      <c r="E129" t="s">
        <v>208</v>
      </c>
      <c r="F129" s="6">
        <v>85746</v>
      </c>
      <c r="G129" s="6">
        <v>67787</v>
      </c>
      <c r="H129" s="6">
        <v>19715</v>
      </c>
      <c r="I129" s="6">
        <v>48072</v>
      </c>
      <c r="J129" s="6">
        <v>17959</v>
      </c>
      <c r="K129">
        <v>0</v>
      </c>
      <c r="L129" s="6">
        <v>66031</v>
      </c>
      <c r="M129">
        <v>143</v>
      </c>
      <c r="N129">
        <v>37</v>
      </c>
      <c r="O129">
        <v>180</v>
      </c>
      <c r="P129" s="6">
        <v>8805</v>
      </c>
      <c r="Q129">
        <v>950</v>
      </c>
      <c r="R129" s="6">
        <v>14050</v>
      </c>
      <c r="S129" s="6">
        <v>15533</v>
      </c>
      <c r="T129" s="6">
        <v>105549</v>
      </c>
      <c r="U129" s="6">
        <v>57970</v>
      </c>
      <c r="V129" s="6">
        <v>47579</v>
      </c>
    </row>
    <row r="130" spans="1:22" x14ac:dyDescent="0.25">
      <c r="A130">
        <v>2024</v>
      </c>
      <c r="B130" s="1" t="s">
        <v>15</v>
      </c>
      <c r="C130" t="s">
        <v>51</v>
      </c>
      <c r="D130" s="1" t="s">
        <v>534</v>
      </c>
      <c r="E130" t="s">
        <v>209</v>
      </c>
      <c r="F130" s="6">
        <v>425747</v>
      </c>
      <c r="G130" s="6">
        <v>333266</v>
      </c>
      <c r="H130" s="6">
        <v>73880</v>
      </c>
      <c r="I130" s="6">
        <v>259386</v>
      </c>
      <c r="J130" s="6">
        <v>92481</v>
      </c>
      <c r="K130">
        <v>0</v>
      </c>
      <c r="L130" s="6">
        <v>351867</v>
      </c>
      <c r="M130">
        <v>420</v>
      </c>
      <c r="N130">
        <v>116</v>
      </c>
      <c r="O130">
        <v>536</v>
      </c>
      <c r="P130" s="6">
        <v>52641</v>
      </c>
      <c r="Q130" s="6">
        <v>6059</v>
      </c>
      <c r="R130" s="6">
        <v>70591</v>
      </c>
      <c r="S130" s="6">
        <v>78705</v>
      </c>
      <c r="T130" s="6">
        <v>560399</v>
      </c>
      <c r="U130" s="6">
        <v>318505</v>
      </c>
      <c r="V130" s="6">
        <v>241894</v>
      </c>
    </row>
    <row r="131" spans="1:22" x14ac:dyDescent="0.25">
      <c r="A131">
        <v>2024</v>
      </c>
      <c r="B131" s="1" t="s">
        <v>20</v>
      </c>
      <c r="C131" t="s">
        <v>56</v>
      </c>
      <c r="D131" s="1" t="s">
        <v>535</v>
      </c>
      <c r="E131" t="s">
        <v>210</v>
      </c>
      <c r="F131" s="6">
        <v>521287</v>
      </c>
      <c r="G131" s="6">
        <v>412109</v>
      </c>
      <c r="H131" s="6">
        <v>99086</v>
      </c>
      <c r="I131" s="6">
        <v>313023</v>
      </c>
      <c r="J131" s="6">
        <v>109178</v>
      </c>
      <c r="K131">
        <v>0</v>
      </c>
      <c r="L131" s="6">
        <v>422201</v>
      </c>
      <c r="M131">
        <v>863</v>
      </c>
      <c r="N131">
        <v>229</v>
      </c>
      <c r="O131" s="6">
        <v>1092</v>
      </c>
      <c r="P131" s="6">
        <v>53527</v>
      </c>
      <c r="Q131" s="6">
        <v>5776</v>
      </c>
      <c r="R131" s="6">
        <v>89960</v>
      </c>
      <c r="S131" s="6">
        <v>99452</v>
      </c>
      <c r="T131" s="6">
        <v>672008</v>
      </c>
      <c r="U131" s="6">
        <v>373190</v>
      </c>
      <c r="V131" s="6">
        <v>298818</v>
      </c>
    </row>
    <row r="132" spans="1:22" x14ac:dyDescent="0.25">
      <c r="A132">
        <v>2024</v>
      </c>
      <c r="B132" s="1" t="s">
        <v>14</v>
      </c>
      <c r="C132" t="s">
        <v>50</v>
      </c>
      <c r="D132" s="1" t="s">
        <v>536</v>
      </c>
      <c r="E132" t="s">
        <v>211</v>
      </c>
      <c r="F132" s="6">
        <v>112022</v>
      </c>
      <c r="G132" s="6">
        <v>85998</v>
      </c>
      <c r="H132" s="6">
        <v>20339</v>
      </c>
      <c r="I132" s="6">
        <v>65659</v>
      </c>
      <c r="J132" s="6">
        <v>26024</v>
      </c>
      <c r="K132">
        <v>0</v>
      </c>
      <c r="L132" s="6">
        <v>91683</v>
      </c>
      <c r="M132">
        <v>0</v>
      </c>
      <c r="N132">
        <v>0</v>
      </c>
      <c r="O132">
        <v>0</v>
      </c>
      <c r="P132" s="6">
        <v>11867</v>
      </c>
      <c r="Q132" s="6">
        <v>1410</v>
      </c>
      <c r="R132" s="6">
        <v>18381</v>
      </c>
      <c r="S132" s="6">
        <v>20589</v>
      </c>
      <c r="T132" s="6">
        <v>143930</v>
      </c>
      <c r="U132" s="6">
        <v>78936</v>
      </c>
      <c r="V132" s="6">
        <v>64994</v>
      </c>
    </row>
    <row r="133" spans="1:22" x14ac:dyDescent="0.25">
      <c r="A133">
        <v>2024</v>
      </c>
      <c r="B133" s="1" t="s">
        <v>19</v>
      </c>
      <c r="C133" t="s">
        <v>55</v>
      </c>
      <c r="D133" s="1" t="s">
        <v>537</v>
      </c>
      <c r="E133" t="s">
        <v>212</v>
      </c>
      <c r="F133" s="6">
        <v>254440</v>
      </c>
      <c r="G133" s="6">
        <v>197263</v>
      </c>
      <c r="H133" s="6">
        <v>54933</v>
      </c>
      <c r="I133" s="6">
        <v>142330</v>
      </c>
      <c r="J133" s="6">
        <v>57177</v>
      </c>
      <c r="K133">
        <v>0</v>
      </c>
      <c r="L133" s="6">
        <v>199507</v>
      </c>
      <c r="M133">
        <v>380</v>
      </c>
      <c r="N133">
        <v>110</v>
      </c>
      <c r="O133">
        <v>490</v>
      </c>
      <c r="P133" s="6">
        <v>25637</v>
      </c>
      <c r="Q133" s="6">
        <v>3056</v>
      </c>
      <c r="R133" s="6">
        <v>48524</v>
      </c>
      <c r="S133" s="6">
        <v>54336</v>
      </c>
      <c r="T133" s="6">
        <v>331550</v>
      </c>
      <c r="U133" s="6">
        <v>171404</v>
      </c>
      <c r="V133" s="6">
        <v>160146</v>
      </c>
    </row>
    <row r="134" spans="1:22" x14ac:dyDescent="0.25">
      <c r="A134">
        <v>2024</v>
      </c>
      <c r="B134" s="1" t="s">
        <v>17</v>
      </c>
      <c r="C134" t="s">
        <v>53</v>
      </c>
      <c r="D134" s="1" t="s">
        <v>538</v>
      </c>
      <c r="E134" t="s">
        <v>213</v>
      </c>
      <c r="F134" s="6">
        <v>213160</v>
      </c>
      <c r="G134" s="6">
        <v>169002</v>
      </c>
      <c r="H134" s="6">
        <v>37800</v>
      </c>
      <c r="I134" s="6">
        <v>131202</v>
      </c>
      <c r="J134" s="6">
        <v>44158</v>
      </c>
      <c r="K134">
        <v>668</v>
      </c>
      <c r="L134" s="6">
        <v>176028</v>
      </c>
      <c r="M134">
        <v>195</v>
      </c>
      <c r="N134">
        <v>51</v>
      </c>
      <c r="O134">
        <v>246</v>
      </c>
      <c r="P134" s="6">
        <v>20178</v>
      </c>
      <c r="Q134" s="6">
        <v>2349</v>
      </c>
      <c r="R134" s="6">
        <v>37047</v>
      </c>
      <c r="S134" s="6">
        <v>40725</v>
      </c>
      <c r="T134" s="6">
        <v>276573</v>
      </c>
      <c r="U134" s="6">
        <v>153925</v>
      </c>
      <c r="V134" s="6">
        <v>122648</v>
      </c>
    </row>
    <row r="135" spans="1:22" x14ac:dyDescent="0.25">
      <c r="A135">
        <v>2024</v>
      </c>
      <c r="B135" s="1" t="s">
        <v>19</v>
      </c>
      <c r="C135" t="s">
        <v>55</v>
      </c>
      <c r="D135" s="1" t="s">
        <v>539</v>
      </c>
      <c r="E135" t="s">
        <v>214</v>
      </c>
      <c r="F135" s="6">
        <v>206982</v>
      </c>
      <c r="G135" s="6">
        <v>160470</v>
      </c>
      <c r="H135" s="6">
        <v>34075</v>
      </c>
      <c r="I135" s="6">
        <v>126395</v>
      </c>
      <c r="J135" s="6">
        <v>46512</v>
      </c>
      <c r="K135">
        <v>0</v>
      </c>
      <c r="L135" s="6">
        <v>172907</v>
      </c>
      <c r="M135">
        <v>309</v>
      </c>
      <c r="N135">
        <v>89</v>
      </c>
      <c r="O135">
        <v>398</v>
      </c>
      <c r="P135" s="6">
        <v>20855</v>
      </c>
      <c r="Q135" s="6">
        <v>2486</v>
      </c>
      <c r="R135" s="6">
        <v>35284</v>
      </c>
      <c r="S135" s="6">
        <v>39510</v>
      </c>
      <c r="T135" s="6">
        <v>271440</v>
      </c>
      <c r="U135" s="6">
        <v>150045</v>
      </c>
      <c r="V135" s="6">
        <v>121395</v>
      </c>
    </row>
    <row r="136" spans="1:22" x14ac:dyDescent="0.25">
      <c r="A136">
        <v>2024</v>
      </c>
      <c r="B136" s="1" t="s">
        <v>17</v>
      </c>
      <c r="C136" t="s">
        <v>53</v>
      </c>
      <c r="D136" s="1" t="s">
        <v>540</v>
      </c>
      <c r="E136" t="s">
        <v>215</v>
      </c>
      <c r="F136" s="6">
        <v>117489</v>
      </c>
      <c r="G136" s="6">
        <v>93150</v>
      </c>
      <c r="H136" s="6">
        <v>26035</v>
      </c>
      <c r="I136" s="6">
        <v>67115</v>
      </c>
      <c r="J136" s="6">
        <v>24339</v>
      </c>
      <c r="K136" s="6">
        <v>3207</v>
      </c>
      <c r="L136" s="6">
        <v>94661</v>
      </c>
      <c r="M136">
        <v>119</v>
      </c>
      <c r="N136">
        <v>31</v>
      </c>
      <c r="O136">
        <v>150</v>
      </c>
      <c r="P136" s="6">
        <v>11222</v>
      </c>
      <c r="Q136" s="6">
        <v>1305</v>
      </c>
      <c r="R136" s="6">
        <v>19891</v>
      </c>
      <c r="S136" s="6">
        <v>21866</v>
      </c>
      <c r="T136" s="6">
        <v>149095</v>
      </c>
      <c r="U136" s="6">
        <v>79761</v>
      </c>
      <c r="V136" s="6">
        <v>69334</v>
      </c>
    </row>
    <row r="137" spans="1:22" x14ac:dyDescent="0.25">
      <c r="A137">
        <v>2024</v>
      </c>
      <c r="B137" s="1" t="s">
        <v>13</v>
      </c>
      <c r="C137" t="s">
        <v>49</v>
      </c>
      <c r="D137" s="1" t="s">
        <v>541</v>
      </c>
      <c r="E137" t="s">
        <v>216</v>
      </c>
      <c r="F137" s="6">
        <v>456575</v>
      </c>
      <c r="G137" s="6">
        <v>346228</v>
      </c>
      <c r="H137" s="6">
        <v>98287</v>
      </c>
      <c r="I137" s="6">
        <v>247941</v>
      </c>
      <c r="J137" s="6">
        <v>110347</v>
      </c>
      <c r="K137">
        <v>0</v>
      </c>
      <c r="L137" s="6">
        <v>358288</v>
      </c>
      <c r="M137">
        <v>927</v>
      </c>
      <c r="N137">
        <v>295</v>
      </c>
      <c r="O137" s="6">
        <v>1222</v>
      </c>
      <c r="P137" s="6">
        <v>45206</v>
      </c>
      <c r="Q137" s="6">
        <v>4905</v>
      </c>
      <c r="R137" s="6">
        <v>81172</v>
      </c>
      <c r="S137" s="6">
        <v>90428</v>
      </c>
      <c r="T137" s="6">
        <v>581221</v>
      </c>
      <c r="U137" s="6">
        <v>298979</v>
      </c>
      <c r="V137" s="6">
        <v>282242</v>
      </c>
    </row>
    <row r="138" spans="1:22" x14ac:dyDescent="0.25">
      <c r="A138">
        <v>2024</v>
      </c>
      <c r="B138" s="1" t="s">
        <v>15</v>
      </c>
      <c r="C138" t="s">
        <v>51</v>
      </c>
      <c r="D138" s="1" t="s">
        <v>542</v>
      </c>
      <c r="E138" t="s">
        <v>217</v>
      </c>
      <c r="F138" s="6">
        <v>153005</v>
      </c>
      <c r="G138" s="6">
        <v>119769</v>
      </c>
      <c r="H138" s="6">
        <v>31368</v>
      </c>
      <c r="I138" s="6">
        <v>88401</v>
      </c>
      <c r="J138" s="6">
        <v>33236</v>
      </c>
      <c r="K138">
        <v>149</v>
      </c>
      <c r="L138" s="6">
        <v>121786</v>
      </c>
      <c r="M138">
        <v>150</v>
      </c>
      <c r="N138">
        <v>42</v>
      </c>
      <c r="O138">
        <v>192</v>
      </c>
      <c r="P138" s="6">
        <v>18918</v>
      </c>
      <c r="Q138" s="6">
        <v>2178</v>
      </c>
      <c r="R138" s="6">
        <v>25738</v>
      </c>
      <c r="S138" s="6">
        <v>28696</v>
      </c>
      <c r="T138" s="6">
        <v>197508</v>
      </c>
      <c r="U138" s="6">
        <v>109647</v>
      </c>
      <c r="V138" s="6">
        <v>87861</v>
      </c>
    </row>
    <row r="139" spans="1:22" x14ac:dyDescent="0.25">
      <c r="A139">
        <v>2024</v>
      </c>
      <c r="B139" s="1" t="s">
        <v>15</v>
      </c>
      <c r="C139" t="s">
        <v>51</v>
      </c>
      <c r="D139" s="1" t="s">
        <v>543</v>
      </c>
      <c r="E139" t="s">
        <v>218</v>
      </c>
      <c r="F139" s="6">
        <v>269198</v>
      </c>
      <c r="G139" s="6">
        <v>210722</v>
      </c>
      <c r="H139" s="6">
        <v>45362</v>
      </c>
      <c r="I139" s="6">
        <v>165360</v>
      </c>
      <c r="J139" s="6">
        <v>58476</v>
      </c>
      <c r="K139">
        <v>0</v>
      </c>
      <c r="L139" s="6">
        <v>223836</v>
      </c>
      <c r="M139">
        <v>267</v>
      </c>
      <c r="N139">
        <v>74</v>
      </c>
      <c r="O139">
        <v>341</v>
      </c>
      <c r="P139" s="6">
        <v>33285</v>
      </c>
      <c r="Q139" s="6">
        <v>3831</v>
      </c>
      <c r="R139" s="6">
        <v>45978</v>
      </c>
      <c r="S139" s="6">
        <v>51262</v>
      </c>
      <c r="T139" s="6">
        <v>358533</v>
      </c>
      <c r="U139" s="6">
        <v>202743</v>
      </c>
      <c r="V139" s="6">
        <v>155790</v>
      </c>
    </row>
    <row r="140" spans="1:22" x14ac:dyDescent="0.25">
      <c r="A140">
        <v>2024</v>
      </c>
      <c r="B140" s="1" t="s">
        <v>14</v>
      </c>
      <c r="C140" t="s">
        <v>50</v>
      </c>
      <c r="D140" s="1" t="s">
        <v>544</v>
      </c>
      <c r="E140" t="s">
        <v>219</v>
      </c>
      <c r="F140" s="6">
        <v>477268</v>
      </c>
      <c r="G140" s="6">
        <v>366392</v>
      </c>
      <c r="H140" s="6">
        <v>81306</v>
      </c>
      <c r="I140" s="6">
        <v>285086</v>
      </c>
      <c r="J140" s="6">
        <v>110876</v>
      </c>
      <c r="K140">
        <v>0</v>
      </c>
      <c r="L140" s="6">
        <v>395962</v>
      </c>
      <c r="M140">
        <v>0</v>
      </c>
      <c r="N140">
        <v>0</v>
      </c>
      <c r="O140">
        <v>0</v>
      </c>
      <c r="P140" s="6">
        <v>50559</v>
      </c>
      <c r="Q140" s="6">
        <v>6009</v>
      </c>
      <c r="R140" s="6">
        <v>84465</v>
      </c>
      <c r="S140" s="6">
        <v>94611</v>
      </c>
      <c r="T140" s="6">
        <v>631606</v>
      </c>
      <c r="U140" s="6">
        <v>341654</v>
      </c>
      <c r="V140" s="6">
        <v>289952</v>
      </c>
    </row>
    <row r="141" spans="1:22" x14ac:dyDescent="0.25">
      <c r="A141">
        <v>2024</v>
      </c>
      <c r="B141" s="1" t="s">
        <v>20</v>
      </c>
      <c r="C141" t="s">
        <v>56</v>
      </c>
      <c r="D141" s="1" t="s">
        <v>545</v>
      </c>
      <c r="E141" t="s">
        <v>220</v>
      </c>
      <c r="F141" s="6">
        <v>252188</v>
      </c>
      <c r="G141" s="6">
        <v>199370</v>
      </c>
      <c r="H141" s="6">
        <v>59154</v>
      </c>
      <c r="I141" s="6">
        <v>140216</v>
      </c>
      <c r="J141" s="6">
        <v>52818</v>
      </c>
      <c r="K141">
        <v>0</v>
      </c>
      <c r="L141" s="6">
        <v>193034</v>
      </c>
      <c r="M141">
        <v>417</v>
      </c>
      <c r="N141">
        <v>111</v>
      </c>
      <c r="O141">
        <v>528</v>
      </c>
      <c r="P141" s="6">
        <v>25895</v>
      </c>
      <c r="Q141" s="6">
        <v>2794</v>
      </c>
      <c r="R141" s="6">
        <v>42151</v>
      </c>
      <c r="S141" s="6">
        <v>46599</v>
      </c>
      <c r="T141" s="6">
        <v>311001</v>
      </c>
      <c r="U141" s="6">
        <v>169322</v>
      </c>
      <c r="V141" s="6">
        <v>141679</v>
      </c>
    </row>
    <row r="142" spans="1:22" x14ac:dyDescent="0.25">
      <c r="A142">
        <v>2024</v>
      </c>
      <c r="B142" s="1" t="s">
        <v>15</v>
      </c>
      <c r="C142" t="s">
        <v>51</v>
      </c>
      <c r="D142" s="1" t="s">
        <v>546</v>
      </c>
      <c r="E142" t="s">
        <v>221</v>
      </c>
      <c r="F142" s="6">
        <v>529940</v>
      </c>
      <c r="G142" s="6">
        <v>414826</v>
      </c>
      <c r="H142" s="6">
        <v>97039</v>
      </c>
      <c r="I142" s="6">
        <v>317787</v>
      </c>
      <c r="J142" s="6">
        <v>115114</v>
      </c>
      <c r="K142">
        <v>0</v>
      </c>
      <c r="L142" s="6">
        <v>432901</v>
      </c>
      <c r="M142">
        <v>523</v>
      </c>
      <c r="N142">
        <v>145</v>
      </c>
      <c r="O142">
        <v>668</v>
      </c>
      <c r="P142" s="6">
        <v>65524</v>
      </c>
      <c r="Q142" s="6">
        <v>7542</v>
      </c>
      <c r="R142" s="6">
        <v>94080</v>
      </c>
      <c r="S142" s="6">
        <v>104893</v>
      </c>
      <c r="T142" s="6">
        <v>705608</v>
      </c>
      <c r="U142" s="6">
        <v>391376</v>
      </c>
      <c r="V142" s="6">
        <v>314232</v>
      </c>
    </row>
    <row r="143" spans="1:22" x14ac:dyDescent="0.25">
      <c r="A143">
        <v>2024</v>
      </c>
      <c r="B143" s="1" t="s">
        <v>18</v>
      </c>
      <c r="C143" t="s">
        <v>54</v>
      </c>
      <c r="D143" s="1" t="s">
        <v>547</v>
      </c>
      <c r="E143" t="s">
        <v>222</v>
      </c>
      <c r="F143" s="6">
        <v>1276553</v>
      </c>
      <c r="G143" s="6">
        <v>1034154</v>
      </c>
      <c r="H143" s="6">
        <v>182723</v>
      </c>
      <c r="I143" s="6">
        <v>851431</v>
      </c>
      <c r="J143" s="6">
        <v>242399</v>
      </c>
      <c r="K143">
        <v>0</v>
      </c>
      <c r="L143" s="6">
        <v>1093830</v>
      </c>
      <c r="M143">
        <v>0</v>
      </c>
      <c r="N143">
        <v>0</v>
      </c>
      <c r="O143">
        <v>0</v>
      </c>
      <c r="P143" s="6">
        <v>108704</v>
      </c>
      <c r="Q143" s="6">
        <v>13632</v>
      </c>
      <c r="R143" s="6">
        <v>213666</v>
      </c>
      <c r="S143" s="6">
        <v>234709</v>
      </c>
      <c r="T143" s="6">
        <v>1664541</v>
      </c>
      <c r="U143" s="6">
        <v>973767</v>
      </c>
      <c r="V143" s="6">
        <v>690774</v>
      </c>
    </row>
    <row r="144" spans="1:22" x14ac:dyDescent="0.25">
      <c r="A144">
        <v>2024</v>
      </c>
      <c r="B144" s="1" t="s">
        <v>18</v>
      </c>
      <c r="C144" t="s">
        <v>54</v>
      </c>
      <c r="D144" s="1" t="s">
        <v>548</v>
      </c>
      <c r="E144" t="s">
        <v>223</v>
      </c>
      <c r="F144" s="6">
        <v>302668</v>
      </c>
      <c r="G144" s="6">
        <v>245195</v>
      </c>
      <c r="H144" s="6">
        <v>44215</v>
      </c>
      <c r="I144" s="6">
        <v>200980</v>
      </c>
      <c r="J144" s="6">
        <v>57473</v>
      </c>
      <c r="K144">
        <v>0</v>
      </c>
      <c r="L144" s="6">
        <v>258453</v>
      </c>
      <c r="M144">
        <v>0</v>
      </c>
      <c r="N144">
        <v>0</v>
      </c>
      <c r="O144">
        <v>0</v>
      </c>
      <c r="P144" s="6">
        <v>25773</v>
      </c>
      <c r="Q144" s="6">
        <v>3232</v>
      </c>
      <c r="R144" s="6">
        <v>52548</v>
      </c>
      <c r="S144" s="6">
        <v>57723</v>
      </c>
      <c r="T144" s="6">
        <v>397729</v>
      </c>
      <c r="U144" s="6">
        <v>229985</v>
      </c>
      <c r="V144" s="6">
        <v>167744</v>
      </c>
    </row>
    <row r="145" spans="1:22" x14ac:dyDescent="0.25">
      <c r="A145">
        <v>2024</v>
      </c>
      <c r="B145" s="1" t="s">
        <v>17</v>
      </c>
      <c r="C145" t="s">
        <v>53</v>
      </c>
      <c r="D145" s="1" t="s">
        <v>549</v>
      </c>
      <c r="E145" t="s">
        <v>224</v>
      </c>
      <c r="F145" s="6">
        <v>5335652</v>
      </c>
      <c r="G145" s="6">
        <v>4230320</v>
      </c>
      <c r="H145" s="6">
        <v>637927</v>
      </c>
      <c r="I145" s="6">
        <v>3592393</v>
      </c>
      <c r="J145" s="6">
        <v>1105332</v>
      </c>
      <c r="K145">
        <v>0</v>
      </c>
      <c r="L145" s="6">
        <v>4697725</v>
      </c>
      <c r="M145" s="6">
        <v>4895</v>
      </c>
      <c r="N145" s="6">
        <v>1278</v>
      </c>
      <c r="O145" s="6">
        <v>6173</v>
      </c>
      <c r="P145" s="6">
        <v>505075</v>
      </c>
      <c r="Q145" s="6">
        <v>58808</v>
      </c>
      <c r="R145" s="6">
        <v>967769</v>
      </c>
      <c r="S145" s="6">
        <v>1063830</v>
      </c>
      <c r="T145" s="6">
        <v>7299380</v>
      </c>
      <c r="U145" s="6">
        <v>4161171</v>
      </c>
      <c r="V145" s="6">
        <v>3138209</v>
      </c>
    </row>
    <row r="146" spans="1:22" x14ac:dyDescent="0.25">
      <c r="A146">
        <v>2024</v>
      </c>
      <c r="B146" s="1" t="s">
        <v>15</v>
      </c>
      <c r="C146" t="s">
        <v>51</v>
      </c>
      <c r="D146" s="1" t="s">
        <v>550</v>
      </c>
      <c r="E146" t="s">
        <v>225</v>
      </c>
      <c r="F146" s="6">
        <v>380298</v>
      </c>
      <c r="G146" s="6">
        <v>297689</v>
      </c>
      <c r="H146" s="6">
        <v>65316</v>
      </c>
      <c r="I146" s="6">
        <v>232373</v>
      </c>
      <c r="J146" s="6">
        <v>82609</v>
      </c>
      <c r="K146">
        <v>0</v>
      </c>
      <c r="L146" s="6">
        <v>314982</v>
      </c>
      <c r="M146">
        <v>375</v>
      </c>
      <c r="N146">
        <v>104</v>
      </c>
      <c r="O146">
        <v>479</v>
      </c>
      <c r="P146" s="6">
        <v>47021</v>
      </c>
      <c r="Q146" s="6">
        <v>5413</v>
      </c>
      <c r="R146" s="6">
        <v>62657</v>
      </c>
      <c r="S146" s="6">
        <v>69859</v>
      </c>
      <c r="T146" s="6">
        <v>500411</v>
      </c>
      <c r="U146" s="6">
        <v>285182</v>
      </c>
      <c r="V146" s="6">
        <v>215229</v>
      </c>
    </row>
    <row r="147" spans="1:22" x14ac:dyDescent="0.25">
      <c r="A147">
        <v>2024</v>
      </c>
      <c r="B147" s="1" t="s">
        <v>17</v>
      </c>
      <c r="C147" t="s">
        <v>53</v>
      </c>
      <c r="D147" s="1" t="s">
        <v>551</v>
      </c>
      <c r="E147" t="s">
        <v>226</v>
      </c>
      <c r="F147" s="6">
        <v>183618</v>
      </c>
      <c r="G147" s="6">
        <v>145580</v>
      </c>
      <c r="H147" s="6">
        <v>40646</v>
      </c>
      <c r="I147" s="6">
        <v>104934</v>
      </c>
      <c r="J147" s="6">
        <v>38038</v>
      </c>
      <c r="K147" s="6">
        <v>3990</v>
      </c>
      <c r="L147" s="6">
        <v>146962</v>
      </c>
      <c r="M147">
        <v>169</v>
      </c>
      <c r="N147">
        <v>44</v>
      </c>
      <c r="O147">
        <v>213</v>
      </c>
      <c r="P147" s="6">
        <v>17381</v>
      </c>
      <c r="Q147" s="6">
        <v>2024</v>
      </c>
      <c r="R147" s="6">
        <v>31329</v>
      </c>
      <c r="S147" s="6">
        <v>34438</v>
      </c>
      <c r="T147" s="6">
        <v>232347</v>
      </c>
      <c r="U147" s="6">
        <v>124508</v>
      </c>
      <c r="V147" s="6">
        <v>107839</v>
      </c>
    </row>
    <row r="148" spans="1:22" x14ac:dyDescent="0.25">
      <c r="A148">
        <v>2024</v>
      </c>
      <c r="B148" s="1" t="s">
        <v>15</v>
      </c>
      <c r="C148" t="s">
        <v>51</v>
      </c>
      <c r="D148" s="1" t="s">
        <v>552</v>
      </c>
      <c r="E148" t="s">
        <v>227</v>
      </c>
      <c r="F148" s="6">
        <v>167706</v>
      </c>
      <c r="G148" s="6">
        <v>131277</v>
      </c>
      <c r="H148" s="6">
        <v>20933</v>
      </c>
      <c r="I148" s="6">
        <v>110344</v>
      </c>
      <c r="J148" s="6">
        <v>36429</v>
      </c>
      <c r="K148">
        <v>0</v>
      </c>
      <c r="L148" s="6">
        <v>146773</v>
      </c>
      <c r="M148">
        <v>166</v>
      </c>
      <c r="N148">
        <v>46</v>
      </c>
      <c r="O148">
        <v>212</v>
      </c>
      <c r="P148" s="6">
        <v>20736</v>
      </c>
      <c r="Q148" s="6">
        <v>2387</v>
      </c>
      <c r="R148" s="6">
        <v>28174</v>
      </c>
      <c r="S148" s="6">
        <v>31412</v>
      </c>
      <c r="T148" s="6">
        <v>229694</v>
      </c>
      <c r="U148" s="6">
        <v>133633</v>
      </c>
      <c r="V148" s="6">
        <v>96061</v>
      </c>
    </row>
    <row r="149" spans="1:22" x14ac:dyDescent="0.25">
      <c r="A149">
        <v>2024</v>
      </c>
      <c r="B149" s="1" t="s">
        <v>15</v>
      </c>
      <c r="C149" t="s">
        <v>51</v>
      </c>
      <c r="D149" s="1" t="s">
        <v>553</v>
      </c>
      <c r="E149" t="s">
        <v>228</v>
      </c>
      <c r="F149" s="6">
        <v>342211</v>
      </c>
      <c r="G149" s="6">
        <v>267876</v>
      </c>
      <c r="H149" s="6">
        <v>53876</v>
      </c>
      <c r="I149" s="6">
        <v>214000</v>
      </c>
      <c r="J149" s="6">
        <v>74335</v>
      </c>
      <c r="K149">
        <v>0</v>
      </c>
      <c r="L149" s="6">
        <v>288335</v>
      </c>
      <c r="M149">
        <v>338</v>
      </c>
      <c r="N149">
        <v>94</v>
      </c>
      <c r="O149">
        <v>432</v>
      </c>
      <c r="P149" s="6">
        <v>42312</v>
      </c>
      <c r="Q149" s="6">
        <v>4870</v>
      </c>
      <c r="R149" s="6">
        <v>62720</v>
      </c>
      <c r="S149" s="6">
        <v>69929</v>
      </c>
      <c r="T149" s="6">
        <v>468598</v>
      </c>
      <c r="U149" s="6">
        <v>261519</v>
      </c>
      <c r="V149" s="6">
        <v>207079</v>
      </c>
    </row>
    <row r="150" spans="1:22" x14ac:dyDescent="0.25">
      <c r="A150">
        <v>2024</v>
      </c>
      <c r="B150" s="1" t="s">
        <v>18</v>
      </c>
      <c r="C150" t="s">
        <v>54</v>
      </c>
      <c r="D150" s="1" t="s">
        <v>554</v>
      </c>
      <c r="E150" t="s">
        <v>229</v>
      </c>
      <c r="F150" s="6">
        <v>2537422</v>
      </c>
      <c r="G150" s="6">
        <v>2055602</v>
      </c>
      <c r="H150" s="6">
        <v>236604</v>
      </c>
      <c r="I150" s="6">
        <v>1818998</v>
      </c>
      <c r="J150" s="6">
        <v>481820</v>
      </c>
      <c r="K150">
        <v>0</v>
      </c>
      <c r="L150" s="6">
        <v>2300818</v>
      </c>
      <c r="M150">
        <v>0</v>
      </c>
      <c r="N150">
        <v>0</v>
      </c>
      <c r="O150">
        <v>0</v>
      </c>
      <c r="P150" s="6">
        <v>216072</v>
      </c>
      <c r="Q150" s="6">
        <v>27097</v>
      </c>
      <c r="R150" s="6">
        <v>459592</v>
      </c>
      <c r="S150" s="6">
        <v>504855</v>
      </c>
      <c r="T150" s="6">
        <v>3508434</v>
      </c>
      <c r="U150" s="6">
        <v>2062167</v>
      </c>
      <c r="V150" s="6">
        <v>1446267</v>
      </c>
    </row>
    <row r="151" spans="1:22" x14ac:dyDescent="0.25">
      <c r="A151">
        <v>2024</v>
      </c>
      <c r="B151" s="1" t="s">
        <v>21</v>
      </c>
      <c r="C151" t="s">
        <v>57</v>
      </c>
      <c r="D151" s="1" t="s">
        <v>555</v>
      </c>
      <c r="E151" t="s">
        <v>230</v>
      </c>
      <c r="F151" s="6">
        <v>724705</v>
      </c>
      <c r="G151" s="6">
        <v>577489</v>
      </c>
      <c r="H151" s="6">
        <v>137240</v>
      </c>
      <c r="I151" s="6">
        <v>440249</v>
      </c>
      <c r="J151" s="6">
        <v>147216</v>
      </c>
      <c r="K151">
        <v>0</v>
      </c>
      <c r="L151" s="6">
        <v>587465</v>
      </c>
      <c r="M151" s="6">
        <v>1354</v>
      </c>
      <c r="N151">
        <v>346</v>
      </c>
      <c r="O151" s="6">
        <v>1700</v>
      </c>
      <c r="P151" s="6">
        <v>72842</v>
      </c>
      <c r="Q151" s="6">
        <v>7984</v>
      </c>
      <c r="R151" s="6">
        <v>118563</v>
      </c>
      <c r="S151" s="6">
        <v>130316</v>
      </c>
      <c r="T151" s="6">
        <v>918870</v>
      </c>
      <c r="U151" s="6">
        <v>522430</v>
      </c>
      <c r="V151" s="6">
        <v>396440</v>
      </c>
    </row>
    <row r="152" spans="1:22" x14ac:dyDescent="0.25">
      <c r="A152">
        <v>2024</v>
      </c>
      <c r="B152" s="1" t="s">
        <v>21</v>
      </c>
      <c r="C152" t="s">
        <v>57</v>
      </c>
      <c r="D152" s="1" t="s">
        <v>556</v>
      </c>
      <c r="E152" t="s">
        <v>231</v>
      </c>
      <c r="F152" s="6">
        <v>133358</v>
      </c>
      <c r="G152" s="6">
        <v>106268</v>
      </c>
      <c r="H152" s="6">
        <v>23360</v>
      </c>
      <c r="I152" s="6">
        <v>82908</v>
      </c>
      <c r="J152" s="6">
        <v>27090</v>
      </c>
      <c r="K152">
        <v>0</v>
      </c>
      <c r="L152" s="6">
        <v>109998</v>
      </c>
      <c r="M152">
        <v>248</v>
      </c>
      <c r="N152">
        <v>63</v>
      </c>
      <c r="O152">
        <v>311</v>
      </c>
      <c r="P152" s="6">
        <v>13404</v>
      </c>
      <c r="Q152" s="6">
        <v>1469</v>
      </c>
      <c r="R152" s="6">
        <v>22557</v>
      </c>
      <c r="S152" s="6">
        <v>24793</v>
      </c>
      <c r="T152" s="6">
        <v>172532</v>
      </c>
      <c r="U152" s="6">
        <v>98029</v>
      </c>
      <c r="V152" s="6">
        <v>74503</v>
      </c>
    </row>
    <row r="153" spans="1:22" x14ac:dyDescent="0.25">
      <c r="A153">
        <v>2024</v>
      </c>
      <c r="B153" s="1" t="s">
        <v>19</v>
      </c>
      <c r="C153" t="s">
        <v>55</v>
      </c>
      <c r="D153" s="1" t="s">
        <v>557</v>
      </c>
      <c r="E153" t="s">
        <v>232</v>
      </c>
      <c r="F153" s="6">
        <v>184000</v>
      </c>
      <c r="G153" s="6">
        <v>142652</v>
      </c>
      <c r="H153" s="6">
        <v>28587</v>
      </c>
      <c r="I153" s="6">
        <v>114065</v>
      </c>
      <c r="J153" s="6">
        <v>41348</v>
      </c>
      <c r="K153">
        <v>0</v>
      </c>
      <c r="L153" s="6">
        <v>155413</v>
      </c>
      <c r="M153">
        <v>275</v>
      </c>
      <c r="N153">
        <v>79</v>
      </c>
      <c r="O153">
        <v>354</v>
      </c>
      <c r="P153" s="6">
        <v>18539</v>
      </c>
      <c r="Q153" s="6">
        <v>2210</v>
      </c>
      <c r="R153" s="6">
        <v>29914</v>
      </c>
      <c r="S153" s="6">
        <v>33496</v>
      </c>
      <c r="T153" s="6">
        <v>239926</v>
      </c>
      <c r="U153" s="6">
        <v>135089</v>
      </c>
      <c r="V153" s="6">
        <v>104837</v>
      </c>
    </row>
    <row r="154" spans="1:22" x14ac:dyDescent="0.25">
      <c r="A154">
        <v>2024</v>
      </c>
      <c r="B154" s="1" t="s">
        <v>18</v>
      </c>
      <c r="C154" t="s">
        <v>54</v>
      </c>
      <c r="D154" s="1" t="s">
        <v>558</v>
      </c>
      <c r="E154" t="s">
        <v>233</v>
      </c>
      <c r="F154" s="6">
        <v>647465</v>
      </c>
      <c r="G154" s="6">
        <v>524520</v>
      </c>
      <c r="H154" s="6">
        <v>117698</v>
      </c>
      <c r="I154" s="6">
        <v>406822</v>
      </c>
      <c r="J154" s="6">
        <v>122945</v>
      </c>
      <c r="K154">
        <v>0</v>
      </c>
      <c r="L154" s="6">
        <v>529767</v>
      </c>
      <c r="M154">
        <v>0</v>
      </c>
      <c r="N154">
        <v>0</v>
      </c>
      <c r="O154">
        <v>0</v>
      </c>
      <c r="P154" s="6">
        <v>55134</v>
      </c>
      <c r="Q154" s="6">
        <v>6914</v>
      </c>
      <c r="R154" s="6">
        <v>109935</v>
      </c>
      <c r="S154" s="6">
        <v>120762</v>
      </c>
      <c r="T154" s="6">
        <v>822512</v>
      </c>
      <c r="U154" s="6">
        <v>468870</v>
      </c>
      <c r="V154" s="6">
        <v>353642</v>
      </c>
    </row>
    <row r="155" spans="1:22" x14ac:dyDescent="0.25">
      <c r="A155">
        <v>2024</v>
      </c>
      <c r="B155" s="1" t="s">
        <v>15</v>
      </c>
      <c r="C155" t="s">
        <v>51</v>
      </c>
      <c r="D155" s="1" t="s">
        <v>559</v>
      </c>
      <c r="E155" t="s">
        <v>234</v>
      </c>
      <c r="F155" s="6">
        <v>215762</v>
      </c>
      <c r="G155" s="6">
        <v>168894</v>
      </c>
      <c r="H155" s="6">
        <v>43283</v>
      </c>
      <c r="I155" s="6">
        <v>125611</v>
      </c>
      <c r="J155" s="6">
        <v>46868</v>
      </c>
      <c r="K155">
        <v>0</v>
      </c>
      <c r="L155" s="6">
        <v>172479</v>
      </c>
      <c r="M155">
        <v>214</v>
      </c>
      <c r="N155">
        <v>59</v>
      </c>
      <c r="O155">
        <v>273</v>
      </c>
      <c r="P155" s="6">
        <v>26678</v>
      </c>
      <c r="Q155" s="6">
        <v>3071</v>
      </c>
      <c r="R155" s="6">
        <v>35358</v>
      </c>
      <c r="S155" s="6">
        <v>39422</v>
      </c>
      <c r="T155" s="6">
        <v>277281</v>
      </c>
      <c r="U155" s="6">
        <v>155574</v>
      </c>
      <c r="V155" s="6">
        <v>121707</v>
      </c>
    </row>
    <row r="156" spans="1:22" x14ac:dyDescent="0.25">
      <c r="A156">
        <v>2024</v>
      </c>
      <c r="B156" s="1" t="s">
        <v>20</v>
      </c>
      <c r="C156" t="s">
        <v>56</v>
      </c>
      <c r="D156" s="1" t="s">
        <v>560</v>
      </c>
      <c r="E156" t="s">
        <v>235</v>
      </c>
      <c r="F156" s="6">
        <v>131218</v>
      </c>
      <c r="G156" s="6">
        <v>103736</v>
      </c>
      <c r="H156" s="6">
        <v>22178</v>
      </c>
      <c r="I156" s="6">
        <v>81558</v>
      </c>
      <c r="J156" s="6">
        <v>27482</v>
      </c>
      <c r="K156">
        <v>0</v>
      </c>
      <c r="L156" s="6">
        <v>109040</v>
      </c>
      <c r="M156">
        <v>214</v>
      </c>
      <c r="N156">
        <v>56</v>
      </c>
      <c r="O156">
        <v>270</v>
      </c>
      <c r="P156" s="6">
        <v>13474</v>
      </c>
      <c r="Q156" s="6">
        <v>1454</v>
      </c>
      <c r="R156" s="6">
        <v>20951</v>
      </c>
      <c r="S156" s="6">
        <v>23162</v>
      </c>
      <c r="T156" s="6">
        <v>168351</v>
      </c>
      <c r="U156" s="6">
        <v>96700</v>
      </c>
      <c r="V156" s="6">
        <v>71651</v>
      </c>
    </row>
    <row r="157" spans="1:22" x14ac:dyDescent="0.25">
      <c r="A157">
        <v>2024</v>
      </c>
      <c r="B157" s="1" t="s">
        <v>14</v>
      </c>
      <c r="C157" t="s">
        <v>50</v>
      </c>
      <c r="D157" s="1" t="s">
        <v>561</v>
      </c>
      <c r="E157" t="s">
        <v>236</v>
      </c>
      <c r="F157" s="6">
        <v>122274</v>
      </c>
      <c r="G157" s="6">
        <v>93868</v>
      </c>
      <c r="H157" s="6">
        <v>28583</v>
      </c>
      <c r="I157" s="6">
        <v>65285</v>
      </c>
      <c r="J157" s="6">
        <v>28406</v>
      </c>
      <c r="K157">
        <v>0</v>
      </c>
      <c r="L157" s="6">
        <v>93691</v>
      </c>
      <c r="M157">
        <v>0</v>
      </c>
      <c r="N157">
        <v>0</v>
      </c>
      <c r="O157">
        <v>0</v>
      </c>
      <c r="P157" s="6">
        <v>12953</v>
      </c>
      <c r="Q157" s="6">
        <v>1540</v>
      </c>
      <c r="R157" s="6">
        <v>18819</v>
      </c>
      <c r="S157" s="6">
        <v>21079</v>
      </c>
      <c r="T157" s="6">
        <v>148082</v>
      </c>
      <c r="U157" s="6">
        <v>79778</v>
      </c>
      <c r="V157" s="6">
        <v>68304</v>
      </c>
    </row>
    <row r="158" spans="1:22" x14ac:dyDescent="0.25">
      <c r="A158">
        <v>2024</v>
      </c>
      <c r="B158" s="1" t="s">
        <v>19</v>
      </c>
      <c r="C158" t="s">
        <v>55</v>
      </c>
      <c r="D158" s="1" t="s">
        <v>562</v>
      </c>
      <c r="E158" t="s">
        <v>237</v>
      </c>
      <c r="F158" s="6">
        <v>228264</v>
      </c>
      <c r="G158" s="6">
        <v>176970</v>
      </c>
      <c r="H158" s="6">
        <v>37024</v>
      </c>
      <c r="I158" s="6">
        <v>139946</v>
      </c>
      <c r="J158" s="6">
        <v>51294</v>
      </c>
      <c r="K158">
        <v>0</v>
      </c>
      <c r="L158" s="6">
        <v>191240</v>
      </c>
      <c r="M158">
        <v>341</v>
      </c>
      <c r="N158">
        <v>98</v>
      </c>
      <c r="O158">
        <v>439</v>
      </c>
      <c r="P158" s="6">
        <v>22999</v>
      </c>
      <c r="Q158" s="6">
        <v>2742</v>
      </c>
      <c r="R158" s="6">
        <v>39406</v>
      </c>
      <c r="S158" s="6">
        <v>44126</v>
      </c>
      <c r="T158" s="6">
        <v>300952</v>
      </c>
      <c r="U158" s="6">
        <v>166027</v>
      </c>
      <c r="V158" s="6">
        <v>134925</v>
      </c>
    </row>
    <row r="159" spans="1:22" x14ac:dyDescent="0.25">
      <c r="A159">
        <v>2024</v>
      </c>
      <c r="B159" s="1" t="s">
        <v>19</v>
      </c>
      <c r="C159" t="s">
        <v>55</v>
      </c>
      <c r="D159" s="1" t="s">
        <v>563</v>
      </c>
      <c r="E159" t="s">
        <v>238</v>
      </c>
      <c r="F159" s="6">
        <v>876226</v>
      </c>
      <c r="G159" s="6">
        <v>679325</v>
      </c>
      <c r="H159" s="6">
        <v>138160</v>
      </c>
      <c r="I159" s="6">
        <v>541165</v>
      </c>
      <c r="J159" s="6">
        <v>196901</v>
      </c>
      <c r="K159">
        <v>0</v>
      </c>
      <c r="L159" s="6">
        <v>738066</v>
      </c>
      <c r="M159" s="6">
        <v>1307</v>
      </c>
      <c r="N159">
        <v>379</v>
      </c>
      <c r="O159" s="6">
        <v>1686</v>
      </c>
      <c r="P159" s="6">
        <v>88286</v>
      </c>
      <c r="Q159" s="6">
        <v>10524</v>
      </c>
      <c r="R159" s="6">
        <v>168240</v>
      </c>
      <c r="S159" s="6">
        <v>188391</v>
      </c>
      <c r="T159" s="6">
        <v>1195193</v>
      </c>
      <c r="U159" s="6">
        <v>641282</v>
      </c>
      <c r="V159" s="6">
        <v>553911</v>
      </c>
    </row>
    <row r="160" spans="1:22" x14ac:dyDescent="0.25">
      <c r="A160">
        <v>2024</v>
      </c>
      <c r="B160" s="1" t="s">
        <v>20</v>
      </c>
      <c r="C160" t="s">
        <v>56</v>
      </c>
      <c r="D160" s="1" t="s">
        <v>564</v>
      </c>
      <c r="E160" t="s">
        <v>239</v>
      </c>
      <c r="F160" s="6">
        <v>165227</v>
      </c>
      <c r="G160" s="6">
        <v>130622</v>
      </c>
      <c r="H160" s="6">
        <v>28654</v>
      </c>
      <c r="I160" s="6">
        <v>101968</v>
      </c>
      <c r="J160" s="6">
        <v>34605</v>
      </c>
      <c r="K160">
        <v>0</v>
      </c>
      <c r="L160" s="6">
        <v>136573</v>
      </c>
      <c r="M160">
        <v>275</v>
      </c>
      <c r="N160">
        <v>72</v>
      </c>
      <c r="O160">
        <v>347</v>
      </c>
      <c r="P160" s="6">
        <v>16966</v>
      </c>
      <c r="Q160" s="6">
        <v>1831</v>
      </c>
      <c r="R160" s="6">
        <v>28039</v>
      </c>
      <c r="S160" s="6">
        <v>30997</v>
      </c>
      <c r="T160" s="6">
        <v>214753</v>
      </c>
      <c r="U160" s="6">
        <v>121039</v>
      </c>
      <c r="V160" s="6">
        <v>93714</v>
      </c>
    </row>
    <row r="161" spans="1:22" x14ac:dyDescent="0.25">
      <c r="A161">
        <v>2024</v>
      </c>
      <c r="B161" s="1" t="s">
        <v>20</v>
      </c>
      <c r="C161" t="s">
        <v>56</v>
      </c>
      <c r="D161" s="1" t="s">
        <v>565</v>
      </c>
      <c r="E161" t="s">
        <v>240</v>
      </c>
      <c r="F161" s="6">
        <v>1020307</v>
      </c>
      <c r="G161" s="6">
        <v>806615</v>
      </c>
      <c r="H161" s="6">
        <v>148030</v>
      </c>
      <c r="I161" s="6">
        <v>658585</v>
      </c>
      <c r="J161" s="6">
        <v>213692</v>
      </c>
      <c r="K161">
        <v>0</v>
      </c>
      <c r="L161" s="6">
        <v>872277</v>
      </c>
      <c r="M161" s="6">
        <v>1692</v>
      </c>
      <c r="N161">
        <v>449</v>
      </c>
      <c r="O161" s="6">
        <v>2141</v>
      </c>
      <c r="P161" s="6">
        <v>104768</v>
      </c>
      <c r="Q161" s="6">
        <v>11305</v>
      </c>
      <c r="R161" s="6">
        <v>177931</v>
      </c>
      <c r="S161" s="6">
        <v>196705</v>
      </c>
      <c r="T161" s="6">
        <v>1365127</v>
      </c>
      <c r="U161" s="6">
        <v>776350</v>
      </c>
      <c r="V161" s="6">
        <v>588777</v>
      </c>
    </row>
    <row r="162" spans="1:22" x14ac:dyDescent="0.25">
      <c r="A162">
        <v>2024</v>
      </c>
      <c r="B162" s="1" t="s">
        <v>17</v>
      </c>
      <c r="C162" t="s">
        <v>53</v>
      </c>
      <c r="D162" s="1" t="s">
        <v>566</v>
      </c>
      <c r="E162" t="s">
        <v>241</v>
      </c>
      <c r="F162" s="6">
        <v>2827969</v>
      </c>
      <c r="G162" s="6">
        <v>2242128</v>
      </c>
      <c r="H162" s="6">
        <v>297570</v>
      </c>
      <c r="I162" s="6">
        <v>1944558</v>
      </c>
      <c r="J162" s="6">
        <v>585841</v>
      </c>
      <c r="K162">
        <v>0</v>
      </c>
      <c r="L162" s="6">
        <v>2530399</v>
      </c>
      <c r="M162" s="6">
        <v>2595</v>
      </c>
      <c r="N162">
        <v>678</v>
      </c>
      <c r="O162" s="6">
        <v>3273</v>
      </c>
      <c r="P162" s="6">
        <v>267697</v>
      </c>
      <c r="Q162" s="6">
        <v>31169</v>
      </c>
      <c r="R162" s="6">
        <v>505485</v>
      </c>
      <c r="S162" s="6">
        <v>555660</v>
      </c>
      <c r="T162" s="6">
        <v>3893683</v>
      </c>
      <c r="U162" s="6">
        <v>2246019</v>
      </c>
      <c r="V162" s="6">
        <v>1647664</v>
      </c>
    </row>
    <row r="163" spans="1:22" x14ac:dyDescent="0.25">
      <c r="A163">
        <v>2024</v>
      </c>
      <c r="B163" s="1" t="s">
        <v>17</v>
      </c>
      <c r="C163" t="s">
        <v>53</v>
      </c>
      <c r="D163" s="1" t="s">
        <v>567</v>
      </c>
      <c r="E163" t="s">
        <v>242</v>
      </c>
      <c r="F163" s="6">
        <v>244694</v>
      </c>
      <c r="G163" s="6">
        <v>194003</v>
      </c>
      <c r="H163" s="6">
        <v>36156</v>
      </c>
      <c r="I163" s="6">
        <v>157847</v>
      </c>
      <c r="J163" s="6">
        <v>50691</v>
      </c>
      <c r="K163">
        <v>0</v>
      </c>
      <c r="L163" s="6">
        <v>208538</v>
      </c>
      <c r="M163">
        <v>224</v>
      </c>
      <c r="N163">
        <v>59</v>
      </c>
      <c r="O163">
        <v>283</v>
      </c>
      <c r="P163" s="6">
        <v>23163</v>
      </c>
      <c r="Q163" s="6">
        <v>2697</v>
      </c>
      <c r="R163" s="6">
        <v>42331</v>
      </c>
      <c r="S163" s="6">
        <v>46533</v>
      </c>
      <c r="T163" s="6">
        <v>323545</v>
      </c>
      <c r="U163" s="6">
        <v>183931</v>
      </c>
      <c r="V163" s="6">
        <v>139614</v>
      </c>
    </row>
    <row r="164" spans="1:22" x14ac:dyDescent="0.25">
      <c r="A164">
        <v>2024</v>
      </c>
      <c r="B164" s="1" t="s">
        <v>20</v>
      </c>
      <c r="C164" t="s">
        <v>56</v>
      </c>
      <c r="D164" s="1" t="s">
        <v>568</v>
      </c>
      <c r="E164" t="s">
        <v>243</v>
      </c>
      <c r="F164" s="6">
        <v>219886</v>
      </c>
      <c r="G164" s="6">
        <v>173833</v>
      </c>
      <c r="H164" s="6">
        <v>37423</v>
      </c>
      <c r="I164" s="6">
        <v>136410</v>
      </c>
      <c r="J164" s="6">
        <v>46053</v>
      </c>
      <c r="K164">
        <v>0</v>
      </c>
      <c r="L164" s="6">
        <v>182463</v>
      </c>
      <c r="M164">
        <v>364</v>
      </c>
      <c r="N164">
        <v>97</v>
      </c>
      <c r="O164">
        <v>461</v>
      </c>
      <c r="P164" s="6">
        <v>22579</v>
      </c>
      <c r="Q164" s="6">
        <v>2436</v>
      </c>
      <c r="R164" s="6">
        <v>37489</v>
      </c>
      <c r="S164" s="6">
        <v>41444</v>
      </c>
      <c r="T164" s="6">
        <v>286872</v>
      </c>
      <c r="U164" s="6">
        <v>161790</v>
      </c>
      <c r="V164" s="6">
        <v>125082</v>
      </c>
    </row>
    <row r="165" spans="1:22" x14ac:dyDescent="0.25">
      <c r="A165">
        <v>2024</v>
      </c>
      <c r="B165" s="1" t="s">
        <v>17</v>
      </c>
      <c r="C165" t="s">
        <v>53</v>
      </c>
      <c r="D165" s="1" t="s">
        <v>569</v>
      </c>
      <c r="E165" t="s">
        <v>244</v>
      </c>
      <c r="F165" s="6">
        <v>115571</v>
      </c>
      <c r="G165" s="6">
        <v>91629</v>
      </c>
      <c r="H165" s="6">
        <v>24335</v>
      </c>
      <c r="I165" s="6">
        <v>67294</v>
      </c>
      <c r="J165" s="6">
        <v>23942</v>
      </c>
      <c r="K165" s="6">
        <v>13027</v>
      </c>
      <c r="L165" s="6">
        <v>104263</v>
      </c>
      <c r="M165">
        <v>106</v>
      </c>
      <c r="N165">
        <v>27</v>
      </c>
      <c r="O165">
        <v>133</v>
      </c>
      <c r="P165" s="6">
        <v>11252</v>
      </c>
      <c r="Q165" s="6">
        <v>1309</v>
      </c>
      <c r="R165" s="6">
        <v>19891</v>
      </c>
      <c r="S165" s="6">
        <v>21866</v>
      </c>
      <c r="T165" s="6">
        <v>158714</v>
      </c>
      <c r="U165" s="6">
        <v>79961</v>
      </c>
      <c r="V165" s="6">
        <v>78753</v>
      </c>
    </row>
    <row r="166" spans="1:22" x14ac:dyDescent="0.25">
      <c r="A166">
        <v>2024</v>
      </c>
      <c r="B166" s="1" t="s">
        <v>16</v>
      </c>
      <c r="C166" t="s">
        <v>52</v>
      </c>
      <c r="D166" s="1" t="s">
        <v>570</v>
      </c>
      <c r="E166" t="s">
        <v>245</v>
      </c>
      <c r="F166" s="6">
        <v>255683</v>
      </c>
      <c r="G166" s="6">
        <v>201553</v>
      </c>
      <c r="H166" s="6">
        <v>51617</v>
      </c>
      <c r="I166" s="6">
        <v>149936</v>
      </c>
      <c r="J166" s="6">
        <v>54130</v>
      </c>
      <c r="K166">
        <v>0</v>
      </c>
      <c r="L166" s="6">
        <v>204066</v>
      </c>
      <c r="M166">
        <v>0</v>
      </c>
      <c r="N166">
        <v>0</v>
      </c>
      <c r="O166">
        <v>0</v>
      </c>
      <c r="P166" s="6">
        <v>23492</v>
      </c>
      <c r="Q166" s="6">
        <v>2756</v>
      </c>
      <c r="R166" s="6">
        <v>42766</v>
      </c>
      <c r="S166" s="6">
        <v>46734</v>
      </c>
      <c r="T166" s="6">
        <v>319814</v>
      </c>
      <c r="U166" s="6">
        <v>176184</v>
      </c>
      <c r="V166" s="6">
        <v>143630</v>
      </c>
    </row>
    <row r="167" spans="1:22" x14ac:dyDescent="0.25">
      <c r="A167">
        <v>2024</v>
      </c>
      <c r="B167" s="1" t="s">
        <v>18</v>
      </c>
      <c r="C167" t="s">
        <v>54</v>
      </c>
      <c r="D167" s="1" t="s">
        <v>571</v>
      </c>
      <c r="E167" t="s">
        <v>246</v>
      </c>
      <c r="F167" s="6">
        <v>165283</v>
      </c>
      <c r="G167" s="6">
        <v>133898</v>
      </c>
      <c r="H167" s="6">
        <v>30484</v>
      </c>
      <c r="I167" s="6">
        <v>103414</v>
      </c>
      <c r="J167" s="6">
        <v>31385</v>
      </c>
      <c r="K167">
        <v>0</v>
      </c>
      <c r="L167" s="6">
        <v>134799</v>
      </c>
      <c r="M167">
        <v>0</v>
      </c>
      <c r="N167">
        <v>0</v>
      </c>
      <c r="O167">
        <v>0</v>
      </c>
      <c r="P167" s="6">
        <v>14075</v>
      </c>
      <c r="Q167" s="6">
        <v>1765</v>
      </c>
      <c r="R167" s="6">
        <v>32261</v>
      </c>
      <c r="S167" s="6">
        <v>35438</v>
      </c>
      <c r="T167" s="6">
        <v>218338</v>
      </c>
      <c r="U167" s="6">
        <v>119254</v>
      </c>
      <c r="V167" s="6">
        <v>99084</v>
      </c>
    </row>
    <row r="168" spans="1:22" x14ac:dyDescent="0.25">
      <c r="A168">
        <v>2024</v>
      </c>
      <c r="B168" s="1" t="s">
        <v>18</v>
      </c>
      <c r="C168" t="s">
        <v>54</v>
      </c>
      <c r="D168" s="1" t="s">
        <v>572</v>
      </c>
      <c r="E168" t="s">
        <v>247</v>
      </c>
      <c r="F168" s="6">
        <v>245808</v>
      </c>
      <c r="G168" s="6">
        <v>199133</v>
      </c>
      <c r="H168" s="6">
        <v>33847</v>
      </c>
      <c r="I168" s="6">
        <v>165286</v>
      </c>
      <c r="J168" s="6">
        <v>46675</v>
      </c>
      <c r="K168">
        <v>0</v>
      </c>
      <c r="L168" s="6">
        <v>211961</v>
      </c>
      <c r="M168">
        <v>0</v>
      </c>
      <c r="N168">
        <v>0</v>
      </c>
      <c r="O168">
        <v>0</v>
      </c>
      <c r="P168" s="6">
        <v>20932</v>
      </c>
      <c r="Q168" s="6">
        <v>2625</v>
      </c>
      <c r="R168" s="6">
        <v>41567</v>
      </c>
      <c r="S168" s="6">
        <v>45661</v>
      </c>
      <c r="T168" s="6">
        <v>322746</v>
      </c>
      <c r="U168" s="6">
        <v>188843</v>
      </c>
      <c r="V168" s="6">
        <v>133903</v>
      </c>
    </row>
    <row r="169" spans="1:22" x14ac:dyDescent="0.25">
      <c r="A169">
        <v>2024</v>
      </c>
      <c r="B169" s="1" t="s">
        <v>14</v>
      </c>
      <c r="C169" t="s">
        <v>50</v>
      </c>
      <c r="D169" s="1" t="s">
        <v>573</v>
      </c>
      <c r="E169" t="s">
        <v>248</v>
      </c>
      <c r="F169" s="6">
        <v>245967</v>
      </c>
      <c r="G169" s="6">
        <v>188826</v>
      </c>
      <c r="H169" s="6">
        <v>49883</v>
      </c>
      <c r="I169" s="6">
        <v>138943</v>
      </c>
      <c r="J169" s="6">
        <v>57141</v>
      </c>
      <c r="K169">
        <v>0</v>
      </c>
      <c r="L169" s="6">
        <v>196084</v>
      </c>
      <c r="M169">
        <v>0</v>
      </c>
      <c r="N169">
        <v>0</v>
      </c>
      <c r="O169">
        <v>0</v>
      </c>
      <c r="P169" s="6">
        <v>26057</v>
      </c>
      <c r="Q169" s="6">
        <v>3097</v>
      </c>
      <c r="R169" s="6">
        <v>46077</v>
      </c>
      <c r="S169" s="6">
        <v>51612</v>
      </c>
      <c r="T169" s="6">
        <v>322927</v>
      </c>
      <c r="U169" s="6">
        <v>168097</v>
      </c>
      <c r="V169" s="6">
        <v>154830</v>
      </c>
    </row>
    <row r="170" spans="1:22" x14ac:dyDescent="0.25">
      <c r="A170">
        <v>2024</v>
      </c>
      <c r="B170" s="1" t="s">
        <v>19</v>
      </c>
      <c r="C170" t="s">
        <v>55</v>
      </c>
      <c r="D170" s="1" t="s">
        <v>574</v>
      </c>
      <c r="E170" t="s">
        <v>249</v>
      </c>
      <c r="F170" s="6">
        <v>229241</v>
      </c>
      <c r="G170" s="6">
        <v>177727</v>
      </c>
      <c r="H170" s="6">
        <v>55873</v>
      </c>
      <c r="I170" s="6">
        <v>121854</v>
      </c>
      <c r="J170" s="6">
        <v>51514</v>
      </c>
      <c r="K170" s="6">
        <v>6136</v>
      </c>
      <c r="L170" s="6">
        <v>179504</v>
      </c>
      <c r="M170">
        <v>343</v>
      </c>
      <c r="N170">
        <v>100</v>
      </c>
      <c r="O170">
        <v>443</v>
      </c>
      <c r="P170" s="6">
        <v>23098</v>
      </c>
      <c r="Q170" s="6">
        <v>2753</v>
      </c>
      <c r="R170" s="6">
        <v>38906</v>
      </c>
      <c r="S170" s="6">
        <v>43566</v>
      </c>
      <c r="T170" s="6">
        <v>288270</v>
      </c>
      <c r="U170" s="6">
        <v>148049</v>
      </c>
      <c r="V170" s="6">
        <v>140221</v>
      </c>
    </row>
    <row r="171" spans="1:22" x14ac:dyDescent="0.25">
      <c r="A171">
        <v>2024</v>
      </c>
      <c r="B171" s="1" t="s">
        <v>16</v>
      </c>
      <c r="C171" t="s">
        <v>52</v>
      </c>
      <c r="D171" s="1" t="s">
        <v>575</v>
      </c>
      <c r="E171" t="s">
        <v>250</v>
      </c>
      <c r="F171" s="6">
        <v>496422</v>
      </c>
      <c r="G171" s="6">
        <v>391327</v>
      </c>
      <c r="H171" s="6">
        <v>97359</v>
      </c>
      <c r="I171" s="6">
        <v>293968</v>
      </c>
      <c r="J171" s="6">
        <v>105095</v>
      </c>
      <c r="K171" s="6">
        <v>4944</v>
      </c>
      <c r="L171" s="6">
        <v>404007</v>
      </c>
      <c r="M171">
        <v>0</v>
      </c>
      <c r="N171">
        <v>0</v>
      </c>
      <c r="O171">
        <v>0</v>
      </c>
      <c r="P171" s="6">
        <v>45610</v>
      </c>
      <c r="Q171" s="6">
        <v>5351</v>
      </c>
      <c r="R171" s="6">
        <v>82309</v>
      </c>
      <c r="S171" s="6">
        <v>89945</v>
      </c>
      <c r="T171" s="6">
        <v>627222</v>
      </c>
      <c r="U171" s="6">
        <v>344929</v>
      </c>
      <c r="V171" s="6">
        <v>282293</v>
      </c>
    </row>
    <row r="172" spans="1:22" x14ac:dyDescent="0.25">
      <c r="A172">
        <v>2024</v>
      </c>
      <c r="B172" s="1" t="s">
        <v>13</v>
      </c>
      <c r="C172" t="s">
        <v>49</v>
      </c>
      <c r="D172" s="1" t="s">
        <v>576</v>
      </c>
      <c r="E172" t="s">
        <v>251</v>
      </c>
      <c r="F172" s="6">
        <v>259552</v>
      </c>
      <c r="G172" s="6">
        <v>196823</v>
      </c>
      <c r="H172" s="6">
        <v>59234</v>
      </c>
      <c r="I172" s="6">
        <v>137589</v>
      </c>
      <c r="J172" s="6">
        <v>62729</v>
      </c>
      <c r="K172">
        <v>0</v>
      </c>
      <c r="L172" s="6">
        <v>200318</v>
      </c>
      <c r="M172">
        <v>525</v>
      </c>
      <c r="N172">
        <v>168</v>
      </c>
      <c r="O172">
        <v>693</v>
      </c>
      <c r="P172" s="6">
        <v>25699</v>
      </c>
      <c r="Q172" s="6">
        <v>2788</v>
      </c>
      <c r="R172" s="6">
        <v>43521</v>
      </c>
      <c r="S172" s="6">
        <v>48483</v>
      </c>
      <c r="T172" s="6">
        <v>321502</v>
      </c>
      <c r="U172" s="6">
        <v>166601</v>
      </c>
      <c r="V172" s="6">
        <v>154901</v>
      </c>
    </row>
    <row r="173" spans="1:22" x14ac:dyDescent="0.25">
      <c r="A173">
        <v>2024</v>
      </c>
      <c r="B173" s="1" t="s">
        <v>19</v>
      </c>
      <c r="C173" t="s">
        <v>55</v>
      </c>
      <c r="D173" s="1" t="s">
        <v>577</v>
      </c>
      <c r="E173" t="s">
        <v>252</v>
      </c>
      <c r="F173" s="6">
        <v>174118</v>
      </c>
      <c r="G173" s="6">
        <v>134991</v>
      </c>
      <c r="H173" s="6">
        <v>36788</v>
      </c>
      <c r="I173" s="6">
        <v>98203</v>
      </c>
      <c r="J173" s="6">
        <v>39127</v>
      </c>
      <c r="K173">
        <v>0</v>
      </c>
      <c r="L173" s="6">
        <v>137330</v>
      </c>
      <c r="M173">
        <v>259</v>
      </c>
      <c r="N173">
        <v>75</v>
      </c>
      <c r="O173">
        <v>334</v>
      </c>
      <c r="P173" s="6">
        <v>17544</v>
      </c>
      <c r="Q173" s="6">
        <v>2091</v>
      </c>
      <c r="R173" s="6">
        <v>29789</v>
      </c>
      <c r="S173" s="6">
        <v>33357</v>
      </c>
      <c r="T173" s="6">
        <v>220445</v>
      </c>
      <c r="U173" s="6">
        <v>118097</v>
      </c>
      <c r="V173" s="6">
        <v>102348</v>
      </c>
    </row>
    <row r="174" spans="1:22" x14ac:dyDescent="0.25">
      <c r="A174">
        <v>2024</v>
      </c>
      <c r="B174" s="1" t="s">
        <v>17</v>
      </c>
      <c r="C174" t="s">
        <v>53</v>
      </c>
      <c r="D174" s="1" t="s">
        <v>578</v>
      </c>
      <c r="E174" t="s">
        <v>253</v>
      </c>
      <c r="F174" s="6">
        <v>688486</v>
      </c>
      <c r="G174" s="6">
        <v>545860</v>
      </c>
      <c r="H174" s="6">
        <v>105330</v>
      </c>
      <c r="I174" s="6">
        <v>440530</v>
      </c>
      <c r="J174" s="6">
        <v>142626</v>
      </c>
      <c r="K174">
        <v>507</v>
      </c>
      <c r="L174" s="6">
        <v>583663</v>
      </c>
      <c r="M174">
        <v>631</v>
      </c>
      <c r="N174">
        <v>165</v>
      </c>
      <c r="O174">
        <v>796</v>
      </c>
      <c r="P174" s="6">
        <v>65172</v>
      </c>
      <c r="Q174" s="6">
        <v>7588</v>
      </c>
      <c r="R174" s="6">
        <v>117172</v>
      </c>
      <c r="S174" s="6">
        <v>128802</v>
      </c>
      <c r="T174" s="6">
        <v>903193</v>
      </c>
      <c r="U174" s="6">
        <v>513921</v>
      </c>
      <c r="V174" s="6">
        <v>389272</v>
      </c>
    </row>
    <row r="175" spans="1:22" x14ac:dyDescent="0.25">
      <c r="A175">
        <v>2024</v>
      </c>
      <c r="B175" s="1" t="s">
        <v>15</v>
      </c>
      <c r="C175" t="s">
        <v>51</v>
      </c>
      <c r="D175" s="1" t="s">
        <v>579</v>
      </c>
      <c r="E175" t="s">
        <v>254</v>
      </c>
      <c r="F175" s="6">
        <v>2074807</v>
      </c>
      <c r="G175" s="6">
        <v>1624115</v>
      </c>
      <c r="H175" s="6">
        <v>306371</v>
      </c>
      <c r="I175" s="6">
        <v>1317744</v>
      </c>
      <c r="J175" s="6">
        <v>450692</v>
      </c>
      <c r="K175">
        <v>0</v>
      </c>
      <c r="L175" s="6">
        <v>1768436</v>
      </c>
      <c r="M175" s="6">
        <v>2035</v>
      </c>
      <c r="N175">
        <v>565</v>
      </c>
      <c r="O175" s="6">
        <v>2600</v>
      </c>
      <c r="P175" s="6">
        <v>256536</v>
      </c>
      <c r="Q175" s="6">
        <v>29529</v>
      </c>
      <c r="R175" s="6">
        <v>349395</v>
      </c>
      <c r="S175" s="6">
        <v>389552</v>
      </c>
      <c r="T175" s="6">
        <v>2796048</v>
      </c>
      <c r="U175" s="6">
        <v>1605844</v>
      </c>
      <c r="V175" s="6">
        <v>1190204</v>
      </c>
    </row>
    <row r="176" spans="1:22" x14ac:dyDescent="0.25">
      <c r="A176">
        <v>2024</v>
      </c>
      <c r="B176" s="1" t="s">
        <v>18</v>
      </c>
      <c r="C176" t="s">
        <v>54</v>
      </c>
      <c r="D176" s="1" t="s">
        <v>580</v>
      </c>
      <c r="E176" t="s">
        <v>255</v>
      </c>
      <c r="F176" s="6">
        <v>179175</v>
      </c>
      <c r="G176" s="6">
        <v>145152</v>
      </c>
      <c r="H176" s="6">
        <v>30099</v>
      </c>
      <c r="I176" s="6">
        <v>115053</v>
      </c>
      <c r="J176" s="6">
        <v>34023</v>
      </c>
      <c r="K176">
        <v>0</v>
      </c>
      <c r="L176" s="6">
        <v>149076</v>
      </c>
      <c r="M176">
        <v>0</v>
      </c>
      <c r="N176">
        <v>0</v>
      </c>
      <c r="O176">
        <v>0</v>
      </c>
      <c r="P176" s="6">
        <v>15258</v>
      </c>
      <c r="Q176" s="6">
        <v>1913</v>
      </c>
      <c r="R176" s="6">
        <v>33502</v>
      </c>
      <c r="S176" s="6">
        <v>36801</v>
      </c>
      <c r="T176" s="6">
        <v>236550</v>
      </c>
      <c r="U176" s="6">
        <v>132224</v>
      </c>
      <c r="V176" s="6">
        <v>104326</v>
      </c>
    </row>
    <row r="177" spans="1:22" x14ac:dyDescent="0.25">
      <c r="A177">
        <v>2024</v>
      </c>
      <c r="B177" s="1" t="s">
        <v>15</v>
      </c>
      <c r="C177" t="s">
        <v>51</v>
      </c>
      <c r="D177" s="1" t="s">
        <v>581</v>
      </c>
      <c r="E177" t="s">
        <v>256</v>
      </c>
      <c r="F177" s="6">
        <v>1364527</v>
      </c>
      <c r="G177" s="6">
        <v>1068123</v>
      </c>
      <c r="H177" s="6">
        <v>287393</v>
      </c>
      <c r="I177" s="6">
        <v>780730</v>
      </c>
      <c r="J177" s="6">
        <v>296404</v>
      </c>
      <c r="K177">
        <v>0</v>
      </c>
      <c r="L177" s="6">
        <v>1077134</v>
      </c>
      <c r="M177" s="6">
        <v>1346</v>
      </c>
      <c r="N177">
        <v>374</v>
      </c>
      <c r="O177" s="6">
        <v>1720</v>
      </c>
      <c r="P177" s="6">
        <v>168715</v>
      </c>
      <c r="Q177" s="6">
        <v>19420</v>
      </c>
      <c r="R177" s="6">
        <v>245882</v>
      </c>
      <c r="S177" s="6">
        <v>274142</v>
      </c>
      <c r="T177" s="6">
        <v>1787013</v>
      </c>
      <c r="U177" s="6">
        <v>970211</v>
      </c>
      <c r="V177" s="6">
        <v>816802</v>
      </c>
    </row>
    <row r="178" spans="1:22" x14ac:dyDescent="0.25">
      <c r="A178">
        <v>2024</v>
      </c>
      <c r="B178" s="1" t="s">
        <v>21</v>
      </c>
      <c r="C178" t="s">
        <v>57</v>
      </c>
      <c r="D178" s="1" t="s">
        <v>582</v>
      </c>
      <c r="E178" t="s">
        <v>257</v>
      </c>
      <c r="F178" s="6">
        <v>319340</v>
      </c>
      <c r="G178" s="6">
        <v>254470</v>
      </c>
      <c r="H178" s="6">
        <v>54660</v>
      </c>
      <c r="I178" s="6">
        <v>199810</v>
      </c>
      <c r="J178" s="6">
        <v>64870</v>
      </c>
      <c r="K178">
        <v>0</v>
      </c>
      <c r="L178" s="6">
        <v>264680</v>
      </c>
      <c r="M178">
        <v>597</v>
      </c>
      <c r="N178">
        <v>152</v>
      </c>
      <c r="O178">
        <v>749</v>
      </c>
      <c r="P178" s="6">
        <v>32098</v>
      </c>
      <c r="Q178" s="6">
        <v>3518</v>
      </c>
      <c r="R178" s="6">
        <v>54683</v>
      </c>
      <c r="S178" s="6">
        <v>60104</v>
      </c>
      <c r="T178" s="6">
        <v>415832</v>
      </c>
      <c r="U178" s="6">
        <v>236022</v>
      </c>
      <c r="V178" s="6">
        <v>179810</v>
      </c>
    </row>
    <row r="179" spans="1:22" x14ac:dyDescent="0.25">
      <c r="A179">
        <v>2024</v>
      </c>
      <c r="B179" s="1" t="s">
        <v>18</v>
      </c>
      <c r="C179" t="s">
        <v>54</v>
      </c>
      <c r="D179" s="1" t="s">
        <v>583</v>
      </c>
      <c r="E179" t="s">
        <v>258</v>
      </c>
      <c r="F179" s="6">
        <v>111275</v>
      </c>
      <c r="G179" s="6">
        <v>90145</v>
      </c>
      <c r="H179" s="6">
        <v>27349</v>
      </c>
      <c r="I179" s="6">
        <v>62796</v>
      </c>
      <c r="J179" s="6">
        <v>21130</v>
      </c>
      <c r="K179" s="6">
        <v>5630</v>
      </c>
      <c r="L179" s="6">
        <v>89556</v>
      </c>
      <c r="M179">
        <v>0</v>
      </c>
      <c r="N179">
        <v>0</v>
      </c>
      <c r="O179">
        <v>0</v>
      </c>
      <c r="P179" s="6">
        <v>9489</v>
      </c>
      <c r="Q179" s="6">
        <v>1192</v>
      </c>
      <c r="R179" s="6">
        <v>19108</v>
      </c>
      <c r="S179" s="6">
        <v>20990</v>
      </c>
      <c r="T179" s="6">
        <v>140335</v>
      </c>
      <c r="U179" s="6">
        <v>73477</v>
      </c>
      <c r="V179" s="6">
        <v>66858</v>
      </c>
    </row>
    <row r="180" spans="1:22" x14ac:dyDescent="0.25">
      <c r="A180">
        <v>2024</v>
      </c>
      <c r="B180" s="1" t="s">
        <v>13</v>
      </c>
      <c r="C180" t="s">
        <v>49</v>
      </c>
      <c r="D180" s="1" t="s">
        <v>584</v>
      </c>
      <c r="E180" t="s">
        <v>259</v>
      </c>
      <c r="F180" s="6">
        <v>312880</v>
      </c>
      <c r="G180" s="6">
        <v>237262</v>
      </c>
      <c r="H180" s="6">
        <v>64253</v>
      </c>
      <c r="I180" s="6">
        <v>173009</v>
      </c>
      <c r="J180" s="6">
        <v>75618</v>
      </c>
      <c r="K180">
        <v>0</v>
      </c>
      <c r="L180" s="6">
        <v>248627</v>
      </c>
      <c r="M180">
        <v>634</v>
      </c>
      <c r="N180">
        <v>202</v>
      </c>
      <c r="O180">
        <v>836</v>
      </c>
      <c r="P180" s="6">
        <v>30979</v>
      </c>
      <c r="Q180" s="6">
        <v>3361</v>
      </c>
      <c r="R180" s="6">
        <v>50514</v>
      </c>
      <c r="S180" s="6">
        <v>56274</v>
      </c>
      <c r="T180" s="6">
        <v>390591</v>
      </c>
      <c r="U180" s="6">
        <v>207983</v>
      </c>
      <c r="V180" s="6">
        <v>182608</v>
      </c>
    </row>
    <row r="181" spans="1:22" x14ac:dyDescent="0.25">
      <c r="A181">
        <v>2024</v>
      </c>
      <c r="B181" s="1" t="s">
        <v>17</v>
      </c>
      <c r="C181" t="s">
        <v>53</v>
      </c>
      <c r="D181" s="1" t="s">
        <v>585</v>
      </c>
      <c r="E181" t="s">
        <v>260</v>
      </c>
      <c r="F181" s="6">
        <v>458813</v>
      </c>
      <c r="G181" s="6">
        <v>363766</v>
      </c>
      <c r="H181" s="6">
        <v>72443</v>
      </c>
      <c r="I181" s="6">
        <v>291323</v>
      </c>
      <c r="J181" s="6">
        <v>95047</v>
      </c>
      <c r="K181">
        <v>0</v>
      </c>
      <c r="L181" s="6">
        <v>386370</v>
      </c>
      <c r="M181">
        <v>420</v>
      </c>
      <c r="N181">
        <v>109</v>
      </c>
      <c r="O181">
        <v>529</v>
      </c>
      <c r="P181" s="6">
        <v>43431</v>
      </c>
      <c r="Q181" s="6">
        <v>5057</v>
      </c>
      <c r="R181" s="6">
        <v>78135</v>
      </c>
      <c r="S181" s="6">
        <v>85891</v>
      </c>
      <c r="T181" s="6">
        <v>599413</v>
      </c>
      <c r="U181" s="6">
        <v>340230</v>
      </c>
      <c r="V181" s="6">
        <v>259183</v>
      </c>
    </row>
    <row r="182" spans="1:22" x14ac:dyDescent="0.25">
      <c r="A182">
        <v>2024</v>
      </c>
      <c r="B182" s="1" t="s">
        <v>17</v>
      </c>
      <c r="C182" t="s">
        <v>53</v>
      </c>
      <c r="D182" s="1" t="s">
        <v>586</v>
      </c>
      <c r="E182" t="s">
        <v>261</v>
      </c>
      <c r="F182" s="6">
        <v>192376</v>
      </c>
      <c r="G182" s="6">
        <v>152523</v>
      </c>
      <c r="H182" s="6">
        <v>46331</v>
      </c>
      <c r="I182" s="6">
        <v>106192</v>
      </c>
      <c r="J182" s="6">
        <v>39853</v>
      </c>
      <c r="K182">
        <v>921</v>
      </c>
      <c r="L182" s="6">
        <v>146966</v>
      </c>
      <c r="M182">
        <v>177</v>
      </c>
      <c r="N182">
        <v>46</v>
      </c>
      <c r="O182">
        <v>223</v>
      </c>
      <c r="P182" s="6">
        <v>18250</v>
      </c>
      <c r="Q182" s="6">
        <v>2123</v>
      </c>
      <c r="R182" s="6">
        <v>31577</v>
      </c>
      <c r="S182" s="6">
        <v>34712</v>
      </c>
      <c r="T182" s="6">
        <v>233851</v>
      </c>
      <c r="U182" s="6">
        <v>126742</v>
      </c>
      <c r="V182" s="6">
        <v>107109</v>
      </c>
    </row>
    <row r="183" spans="1:22" x14ac:dyDescent="0.25">
      <c r="A183">
        <v>2024</v>
      </c>
      <c r="B183" s="1" t="s">
        <v>20</v>
      </c>
      <c r="C183" t="s">
        <v>56</v>
      </c>
      <c r="D183" s="1" t="s">
        <v>587</v>
      </c>
      <c r="E183" t="s">
        <v>262</v>
      </c>
      <c r="F183" s="6">
        <v>293069</v>
      </c>
      <c r="G183" s="6">
        <v>231689</v>
      </c>
      <c r="H183" s="6">
        <v>58953</v>
      </c>
      <c r="I183" s="6">
        <v>172736</v>
      </c>
      <c r="J183" s="6">
        <v>61380</v>
      </c>
      <c r="K183">
        <v>0</v>
      </c>
      <c r="L183" s="6">
        <v>234116</v>
      </c>
      <c r="M183">
        <v>486</v>
      </c>
      <c r="N183">
        <v>128</v>
      </c>
      <c r="O183">
        <v>614</v>
      </c>
      <c r="P183" s="6">
        <v>30093</v>
      </c>
      <c r="Q183" s="6">
        <v>3247</v>
      </c>
      <c r="R183" s="6">
        <v>47933</v>
      </c>
      <c r="S183" s="6">
        <v>52991</v>
      </c>
      <c r="T183" s="6">
        <v>368994</v>
      </c>
      <c r="U183" s="6">
        <v>206562</v>
      </c>
      <c r="V183" s="6">
        <v>162432</v>
      </c>
    </row>
    <row r="184" spans="1:22" x14ac:dyDescent="0.25">
      <c r="A184">
        <v>2024</v>
      </c>
      <c r="B184" s="1" t="s">
        <v>19</v>
      </c>
      <c r="C184" t="s">
        <v>55</v>
      </c>
      <c r="D184" s="1" t="s">
        <v>588</v>
      </c>
      <c r="E184" t="s">
        <v>263</v>
      </c>
      <c r="F184" s="6">
        <v>587162</v>
      </c>
      <c r="G184" s="6">
        <v>455218</v>
      </c>
      <c r="H184" s="6">
        <v>93463</v>
      </c>
      <c r="I184" s="6">
        <v>361755</v>
      </c>
      <c r="J184" s="6">
        <v>131944</v>
      </c>
      <c r="K184">
        <v>0</v>
      </c>
      <c r="L184" s="6">
        <v>493699</v>
      </c>
      <c r="M184">
        <v>876</v>
      </c>
      <c r="N184">
        <v>255</v>
      </c>
      <c r="O184" s="6">
        <v>1131</v>
      </c>
      <c r="P184" s="6">
        <v>59161</v>
      </c>
      <c r="Q184" s="6">
        <v>7052</v>
      </c>
      <c r="R184" s="6">
        <v>128210</v>
      </c>
      <c r="S184" s="6">
        <v>143566</v>
      </c>
      <c r="T184" s="6">
        <v>832819</v>
      </c>
      <c r="U184" s="6">
        <v>428844</v>
      </c>
      <c r="V184" s="6">
        <v>403975</v>
      </c>
    </row>
    <row r="185" spans="1:22" x14ac:dyDescent="0.25">
      <c r="A185">
        <v>2024</v>
      </c>
      <c r="B185" s="1" t="s">
        <v>15</v>
      </c>
      <c r="C185" t="s">
        <v>51</v>
      </c>
      <c r="D185" s="1" t="s">
        <v>589</v>
      </c>
      <c r="E185" t="s">
        <v>264</v>
      </c>
      <c r="F185" s="6">
        <v>176839</v>
      </c>
      <c r="G185" s="6">
        <v>138426</v>
      </c>
      <c r="H185" s="6">
        <v>32604</v>
      </c>
      <c r="I185" s="6">
        <v>105822</v>
      </c>
      <c r="J185" s="6">
        <v>38413</v>
      </c>
      <c r="K185" s="6">
        <v>4540</v>
      </c>
      <c r="L185" s="6">
        <v>148775</v>
      </c>
      <c r="M185">
        <v>174</v>
      </c>
      <c r="N185">
        <v>49</v>
      </c>
      <c r="O185">
        <v>223</v>
      </c>
      <c r="P185" s="6">
        <v>22538</v>
      </c>
      <c r="Q185" s="6">
        <v>2592</v>
      </c>
      <c r="R185" s="6">
        <v>29736</v>
      </c>
      <c r="S185" s="6">
        <v>33153</v>
      </c>
      <c r="T185" s="6">
        <v>237017</v>
      </c>
      <c r="U185" s="6">
        <v>131126</v>
      </c>
      <c r="V185" s="6">
        <v>105891</v>
      </c>
    </row>
    <row r="186" spans="1:22" x14ac:dyDescent="0.25">
      <c r="A186">
        <v>2024</v>
      </c>
      <c r="B186" s="1" t="s">
        <v>17</v>
      </c>
      <c r="C186" t="s">
        <v>53</v>
      </c>
      <c r="D186" s="1" t="s">
        <v>590</v>
      </c>
      <c r="E186" t="s">
        <v>265</v>
      </c>
      <c r="F186" s="6">
        <v>363741</v>
      </c>
      <c r="G186" s="6">
        <v>288388</v>
      </c>
      <c r="H186" s="6">
        <v>63278</v>
      </c>
      <c r="I186" s="6">
        <v>225110</v>
      </c>
      <c r="J186" s="6">
        <v>75353</v>
      </c>
      <c r="K186">
        <v>0</v>
      </c>
      <c r="L186" s="6">
        <v>300463</v>
      </c>
      <c r="M186">
        <v>333</v>
      </c>
      <c r="N186">
        <v>87</v>
      </c>
      <c r="O186">
        <v>420</v>
      </c>
      <c r="P186" s="6">
        <v>34432</v>
      </c>
      <c r="Q186" s="6">
        <v>4009</v>
      </c>
      <c r="R186" s="6">
        <v>64771</v>
      </c>
      <c r="S186" s="6">
        <v>71200</v>
      </c>
      <c r="T186" s="6">
        <v>475295</v>
      </c>
      <c r="U186" s="6">
        <v>263884</v>
      </c>
      <c r="V186" s="6">
        <v>211411</v>
      </c>
    </row>
    <row r="187" spans="1:22" x14ac:dyDescent="0.25">
      <c r="A187">
        <v>2024</v>
      </c>
      <c r="B187" s="1" t="s">
        <v>21</v>
      </c>
      <c r="C187" t="s">
        <v>57</v>
      </c>
      <c r="D187" s="1" t="s">
        <v>591</v>
      </c>
      <c r="E187" t="s">
        <v>266</v>
      </c>
      <c r="F187" s="6">
        <v>128564</v>
      </c>
      <c r="G187" s="6">
        <v>102448</v>
      </c>
      <c r="H187" s="6">
        <v>19321</v>
      </c>
      <c r="I187" s="6">
        <v>83127</v>
      </c>
      <c r="J187" s="6">
        <v>26116</v>
      </c>
      <c r="K187">
        <v>0</v>
      </c>
      <c r="L187" s="6">
        <v>109243</v>
      </c>
      <c r="M187">
        <v>240</v>
      </c>
      <c r="N187">
        <v>61</v>
      </c>
      <c r="O187">
        <v>301</v>
      </c>
      <c r="P187" s="6">
        <v>12922</v>
      </c>
      <c r="Q187" s="6">
        <v>1416</v>
      </c>
      <c r="R187" s="6">
        <v>21500</v>
      </c>
      <c r="S187" s="6">
        <v>23632</v>
      </c>
      <c r="T187" s="6">
        <v>169014</v>
      </c>
      <c r="U187" s="6">
        <v>97705</v>
      </c>
      <c r="V187" s="6">
        <v>71309</v>
      </c>
    </row>
    <row r="188" spans="1:22" x14ac:dyDescent="0.25">
      <c r="A188">
        <v>2024</v>
      </c>
      <c r="B188" s="1" t="s">
        <v>20</v>
      </c>
      <c r="C188" t="s">
        <v>56</v>
      </c>
      <c r="D188" s="1" t="s">
        <v>592</v>
      </c>
      <c r="E188" t="s">
        <v>267</v>
      </c>
      <c r="F188" s="6">
        <v>85689</v>
      </c>
      <c r="G188" s="6">
        <v>67742</v>
      </c>
      <c r="H188" s="6">
        <v>19343</v>
      </c>
      <c r="I188" s="6">
        <v>48399</v>
      </c>
      <c r="J188" s="6">
        <v>17947</v>
      </c>
      <c r="K188" s="6">
        <v>7179</v>
      </c>
      <c r="L188" s="6">
        <v>73525</v>
      </c>
      <c r="M188">
        <v>143</v>
      </c>
      <c r="N188">
        <v>37</v>
      </c>
      <c r="O188">
        <v>180</v>
      </c>
      <c r="P188" s="6">
        <v>8955</v>
      </c>
      <c r="Q188">
        <v>963</v>
      </c>
      <c r="R188" s="6">
        <v>13180</v>
      </c>
      <c r="S188" s="6">
        <v>14571</v>
      </c>
      <c r="T188" s="6">
        <v>111374</v>
      </c>
      <c r="U188" s="6">
        <v>58460</v>
      </c>
      <c r="V188" s="6">
        <v>52914</v>
      </c>
    </row>
    <row r="189" spans="1:22" x14ac:dyDescent="0.25">
      <c r="A189">
        <v>2024</v>
      </c>
      <c r="B189" s="1" t="s">
        <v>21</v>
      </c>
      <c r="C189" t="s">
        <v>57</v>
      </c>
      <c r="D189" s="1" t="s">
        <v>593</v>
      </c>
      <c r="E189" t="s">
        <v>268</v>
      </c>
      <c r="F189" s="6">
        <v>70640</v>
      </c>
      <c r="G189" s="6">
        <v>56290</v>
      </c>
      <c r="H189" s="6">
        <v>14356</v>
      </c>
      <c r="I189" s="6">
        <v>41934</v>
      </c>
      <c r="J189" s="6">
        <v>14350</v>
      </c>
      <c r="K189">
        <v>0</v>
      </c>
      <c r="L189" s="6">
        <v>56284</v>
      </c>
      <c r="M189">
        <v>132</v>
      </c>
      <c r="N189">
        <v>34</v>
      </c>
      <c r="O189">
        <v>166</v>
      </c>
      <c r="P189" s="6">
        <v>7100</v>
      </c>
      <c r="Q189">
        <v>778</v>
      </c>
      <c r="R189" s="6">
        <v>12055</v>
      </c>
      <c r="S189" s="6">
        <v>13250</v>
      </c>
      <c r="T189" s="6">
        <v>89633</v>
      </c>
      <c r="U189" s="6">
        <v>49944</v>
      </c>
      <c r="V189" s="6">
        <v>39689</v>
      </c>
    </row>
    <row r="190" spans="1:22" x14ac:dyDescent="0.25">
      <c r="A190">
        <v>2024</v>
      </c>
      <c r="B190" s="1" t="s">
        <v>21</v>
      </c>
      <c r="C190" t="s">
        <v>57</v>
      </c>
      <c r="D190" s="1" t="s">
        <v>594</v>
      </c>
      <c r="E190" t="s">
        <v>269</v>
      </c>
      <c r="F190" s="6">
        <v>66280</v>
      </c>
      <c r="G190" s="6">
        <v>52816</v>
      </c>
      <c r="H190" s="6">
        <v>16953</v>
      </c>
      <c r="I190" s="6">
        <v>35863</v>
      </c>
      <c r="J190" s="6">
        <v>13464</v>
      </c>
      <c r="K190" s="6">
        <v>7867</v>
      </c>
      <c r="L190" s="6">
        <v>57194</v>
      </c>
      <c r="M190">
        <v>124</v>
      </c>
      <c r="N190">
        <v>32</v>
      </c>
      <c r="O190">
        <v>156</v>
      </c>
      <c r="P190" s="6">
        <v>6662</v>
      </c>
      <c r="Q190">
        <v>730</v>
      </c>
      <c r="R190" s="6">
        <v>11496</v>
      </c>
      <c r="S190" s="6">
        <v>12636</v>
      </c>
      <c r="T190" s="6">
        <v>88874</v>
      </c>
      <c r="U190" s="6">
        <v>43379</v>
      </c>
      <c r="V190" s="6">
        <v>45495</v>
      </c>
    </row>
    <row r="191" spans="1:22" x14ac:dyDescent="0.25">
      <c r="A191">
        <v>2024</v>
      </c>
      <c r="B191" s="1" t="s">
        <v>20</v>
      </c>
      <c r="C191" t="s">
        <v>56</v>
      </c>
      <c r="D191" s="1" t="s">
        <v>595</v>
      </c>
      <c r="E191" t="s">
        <v>270</v>
      </c>
      <c r="F191" s="6">
        <v>232793</v>
      </c>
      <c r="G191" s="6">
        <v>184037</v>
      </c>
      <c r="H191" s="6">
        <v>51434</v>
      </c>
      <c r="I191" s="6">
        <v>132603</v>
      </c>
      <c r="J191" s="6">
        <v>48756</v>
      </c>
      <c r="K191">
        <v>0</v>
      </c>
      <c r="L191" s="6">
        <v>181359</v>
      </c>
      <c r="M191">
        <v>385</v>
      </c>
      <c r="N191">
        <v>103</v>
      </c>
      <c r="O191">
        <v>488</v>
      </c>
      <c r="P191" s="6">
        <v>23904</v>
      </c>
      <c r="Q191" s="6">
        <v>2579</v>
      </c>
      <c r="R191" s="6">
        <v>37178</v>
      </c>
      <c r="S191" s="6">
        <v>41101</v>
      </c>
      <c r="T191" s="6">
        <v>286609</v>
      </c>
      <c r="U191" s="6">
        <v>159471</v>
      </c>
      <c r="V191" s="6">
        <v>127138</v>
      </c>
    </row>
    <row r="192" spans="1:22" x14ac:dyDescent="0.25">
      <c r="A192">
        <v>2024</v>
      </c>
      <c r="B192" s="1" t="s">
        <v>21</v>
      </c>
      <c r="C192" t="s">
        <v>57</v>
      </c>
      <c r="D192" s="1" t="s">
        <v>596</v>
      </c>
      <c r="E192" t="s">
        <v>271</v>
      </c>
      <c r="F192" s="6">
        <v>677124</v>
      </c>
      <c r="G192" s="6">
        <v>539574</v>
      </c>
      <c r="H192" s="6">
        <v>122625</v>
      </c>
      <c r="I192" s="6">
        <v>416949</v>
      </c>
      <c r="J192" s="6">
        <v>137550</v>
      </c>
      <c r="K192">
        <v>0</v>
      </c>
      <c r="L192" s="6">
        <v>554499</v>
      </c>
      <c r="M192" s="6">
        <v>1265</v>
      </c>
      <c r="N192">
        <v>322</v>
      </c>
      <c r="O192" s="6">
        <v>1587</v>
      </c>
      <c r="P192" s="6">
        <v>68060</v>
      </c>
      <c r="Q192" s="6">
        <v>7460</v>
      </c>
      <c r="R192" s="6">
        <v>111417</v>
      </c>
      <c r="S192" s="6">
        <v>122462</v>
      </c>
      <c r="T192" s="6">
        <v>865485</v>
      </c>
      <c r="U192" s="6">
        <v>493733</v>
      </c>
      <c r="V192" s="6">
        <v>371752</v>
      </c>
    </row>
    <row r="193" spans="1:22" x14ac:dyDescent="0.25">
      <c r="A193">
        <v>2024</v>
      </c>
      <c r="B193" s="1" t="s">
        <v>17</v>
      </c>
      <c r="C193" t="s">
        <v>53</v>
      </c>
      <c r="D193" s="1" t="s">
        <v>597</v>
      </c>
      <c r="E193" t="s">
        <v>272</v>
      </c>
      <c r="F193" s="6">
        <v>401441</v>
      </c>
      <c r="G193" s="6">
        <v>318278</v>
      </c>
      <c r="H193" s="6">
        <v>60362</v>
      </c>
      <c r="I193" s="6">
        <v>257916</v>
      </c>
      <c r="J193" s="6">
        <v>83163</v>
      </c>
      <c r="K193">
        <v>0</v>
      </c>
      <c r="L193" s="6">
        <v>341079</v>
      </c>
      <c r="M193">
        <v>367</v>
      </c>
      <c r="N193">
        <v>96</v>
      </c>
      <c r="O193">
        <v>463</v>
      </c>
      <c r="P193" s="6">
        <v>38001</v>
      </c>
      <c r="Q193" s="6">
        <v>4425</v>
      </c>
      <c r="R193" s="6">
        <v>70676</v>
      </c>
      <c r="S193" s="6">
        <v>77691</v>
      </c>
      <c r="T193" s="6">
        <v>532335</v>
      </c>
      <c r="U193" s="6">
        <v>300709</v>
      </c>
      <c r="V193" s="6">
        <v>231626</v>
      </c>
    </row>
    <row r="194" spans="1:22" x14ac:dyDescent="0.25">
      <c r="A194">
        <v>2024</v>
      </c>
      <c r="B194" s="1" t="s">
        <v>20</v>
      </c>
      <c r="C194" t="s">
        <v>56</v>
      </c>
      <c r="D194" s="1" t="s">
        <v>598</v>
      </c>
      <c r="E194" t="s">
        <v>273</v>
      </c>
      <c r="F194" s="6">
        <v>83011</v>
      </c>
      <c r="G194" s="6">
        <v>65625</v>
      </c>
      <c r="H194" s="6">
        <v>19736</v>
      </c>
      <c r="I194" s="6">
        <v>45889</v>
      </c>
      <c r="J194" s="6">
        <v>17386</v>
      </c>
      <c r="K194" s="6">
        <v>5082</v>
      </c>
      <c r="L194" s="6">
        <v>68357</v>
      </c>
      <c r="M194">
        <v>137</v>
      </c>
      <c r="N194">
        <v>37</v>
      </c>
      <c r="O194">
        <v>174</v>
      </c>
      <c r="P194" s="6">
        <v>8524</v>
      </c>
      <c r="Q194">
        <v>920</v>
      </c>
      <c r="R194" s="6">
        <v>13988</v>
      </c>
      <c r="S194" s="6">
        <v>15464</v>
      </c>
      <c r="T194" s="6">
        <v>107427</v>
      </c>
      <c r="U194" s="6">
        <v>55470</v>
      </c>
      <c r="V194" s="6">
        <v>51957</v>
      </c>
    </row>
    <row r="195" spans="1:22" x14ac:dyDescent="0.25">
      <c r="A195">
        <v>2024</v>
      </c>
      <c r="B195" s="1" t="s">
        <v>16</v>
      </c>
      <c r="C195" t="s">
        <v>52</v>
      </c>
      <c r="D195" s="1" t="s">
        <v>599</v>
      </c>
      <c r="E195" t="s">
        <v>274</v>
      </c>
      <c r="F195" s="6">
        <v>1757682</v>
      </c>
      <c r="G195" s="6">
        <v>1385572</v>
      </c>
      <c r="H195" s="6">
        <v>333204</v>
      </c>
      <c r="I195" s="6">
        <v>1052368</v>
      </c>
      <c r="J195" s="6">
        <v>372110</v>
      </c>
      <c r="K195">
        <v>0</v>
      </c>
      <c r="L195" s="6">
        <v>1424478</v>
      </c>
      <c r="M195">
        <v>0</v>
      </c>
      <c r="N195">
        <v>0</v>
      </c>
      <c r="O195">
        <v>0</v>
      </c>
      <c r="P195" s="6">
        <v>161493</v>
      </c>
      <c r="Q195" s="6">
        <v>18947</v>
      </c>
      <c r="R195" s="6">
        <v>296388</v>
      </c>
      <c r="S195" s="6">
        <v>323885</v>
      </c>
      <c r="T195" s="6">
        <v>2225191</v>
      </c>
      <c r="U195" s="6">
        <v>1232808</v>
      </c>
      <c r="V195" s="6">
        <v>992383</v>
      </c>
    </row>
    <row r="196" spans="1:22" x14ac:dyDescent="0.25">
      <c r="A196">
        <v>2024</v>
      </c>
      <c r="B196" s="1" t="s">
        <v>15</v>
      </c>
      <c r="C196" t="s">
        <v>51</v>
      </c>
      <c r="D196" s="1" t="s">
        <v>600</v>
      </c>
      <c r="E196" t="s">
        <v>275</v>
      </c>
      <c r="F196" s="6">
        <v>222710</v>
      </c>
      <c r="G196" s="6">
        <v>174332</v>
      </c>
      <c r="H196" s="6">
        <v>48545</v>
      </c>
      <c r="I196" s="6">
        <v>125787</v>
      </c>
      <c r="J196" s="6">
        <v>48378</v>
      </c>
      <c r="K196">
        <v>0</v>
      </c>
      <c r="L196" s="6">
        <v>174165</v>
      </c>
      <c r="M196">
        <v>219</v>
      </c>
      <c r="N196">
        <v>61</v>
      </c>
      <c r="O196">
        <v>280</v>
      </c>
      <c r="P196" s="6">
        <v>27537</v>
      </c>
      <c r="Q196" s="6">
        <v>3170</v>
      </c>
      <c r="R196" s="6">
        <v>37295</v>
      </c>
      <c r="S196" s="6">
        <v>41581</v>
      </c>
      <c r="T196" s="6">
        <v>284028</v>
      </c>
      <c r="U196" s="6">
        <v>156714</v>
      </c>
      <c r="V196" s="6">
        <v>127314</v>
      </c>
    </row>
    <row r="197" spans="1:22" x14ac:dyDescent="0.25">
      <c r="A197">
        <v>2024</v>
      </c>
      <c r="B197" s="1" t="s">
        <v>18</v>
      </c>
      <c r="C197" t="s">
        <v>54</v>
      </c>
      <c r="D197" s="1" t="s">
        <v>601</v>
      </c>
      <c r="E197" t="s">
        <v>276</v>
      </c>
      <c r="F197" s="6">
        <v>507705</v>
      </c>
      <c r="G197" s="6">
        <v>411299</v>
      </c>
      <c r="H197" s="6">
        <v>90675</v>
      </c>
      <c r="I197" s="6">
        <v>320624</v>
      </c>
      <c r="J197" s="6">
        <v>96406</v>
      </c>
      <c r="K197">
        <v>0</v>
      </c>
      <c r="L197" s="6">
        <v>417030</v>
      </c>
      <c r="M197">
        <v>0</v>
      </c>
      <c r="N197">
        <v>0</v>
      </c>
      <c r="O197">
        <v>0</v>
      </c>
      <c r="P197" s="6">
        <v>43233</v>
      </c>
      <c r="Q197" s="6">
        <v>5422</v>
      </c>
      <c r="R197" s="6">
        <v>87042</v>
      </c>
      <c r="S197" s="6">
        <v>95614</v>
      </c>
      <c r="T197" s="6">
        <v>648341</v>
      </c>
      <c r="U197" s="6">
        <v>369279</v>
      </c>
      <c r="V197" s="6">
        <v>279062</v>
      </c>
    </row>
    <row r="198" spans="1:22" x14ac:dyDescent="0.25">
      <c r="A198">
        <v>2024</v>
      </c>
      <c r="B198" s="1" t="s">
        <v>13</v>
      </c>
      <c r="C198" t="s">
        <v>49</v>
      </c>
      <c r="D198" s="1" t="s">
        <v>602</v>
      </c>
      <c r="E198" t="s">
        <v>277</v>
      </c>
      <c r="F198" s="6">
        <v>361905</v>
      </c>
      <c r="G198" s="6">
        <v>274439</v>
      </c>
      <c r="H198" s="6">
        <v>76047</v>
      </c>
      <c r="I198" s="6">
        <v>198392</v>
      </c>
      <c r="J198" s="6">
        <v>87466</v>
      </c>
      <c r="K198">
        <v>0</v>
      </c>
      <c r="L198" s="6">
        <v>285858</v>
      </c>
      <c r="M198">
        <v>734</v>
      </c>
      <c r="N198">
        <v>234</v>
      </c>
      <c r="O198">
        <v>968</v>
      </c>
      <c r="P198" s="6">
        <v>35833</v>
      </c>
      <c r="Q198" s="6">
        <v>3888</v>
      </c>
      <c r="R198" s="6">
        <v>63377</v>
      </c>
      <c r="S198" s="6">
        <v>70603</v>
      </c>
      <c r="T198" s="6">
        <v>460527</v>
      </c>
      <c r="U198" s="6">
        <v>238846</v>
      </c>
      <c r="V198" s="6">
        <v>221681</v>
      </c>
    </row>
    <row r="199" spans="1:22" x14ac:dyDescent="0.25">
      <c r="A199">
        <v>2024</v>
      </c>
      <c r="B199" s="1" t="s">
        <v>21</v>
      </c>
      <c r="C199" t="s">
        <v>57</v>
      </c>
      <c r="D199" s="1" t="s">
        <v>603</v>
      </c>
      <c r="E199" t="s">
        <v>278</v>
      </c>
      <c r="F199" s="6">
        <v>201563</v>
      </c>
      <c r="G199" s="6">
        <v>160618</v>
      </c>
      <c r="H199" s="6">
        <v>32899</v>
      </c>
      <c r="I199" s="6">
        <v>127719</v>
      </c>
      <c r="J199" s="6">
        <v>40945</v>
      </c>
      <c r="K199">
        <v>0</v>
      </c>
      <c r="L199" s="6">
        <v>168664</v>
      </c>
      <c r="M199">
        <v>375</v>
      </c>
      <c r="N199">
        <v>95</v>
      </c>
      <c r="O199">
        <v>470</v>
      </c>
      <c r="P199" s="6">
        <v>20260</v>
      </c>
      <c r="Q199" s="6">
        <v>2221</v>
      </c>
      <c r="R199" s="6">
        <v>33866</v>
      </c>
      <c r="S199" s="6">
        <v>37224</v>
      </c>
      <c r="T199" s="6">
        <v>262705</v>
      </c>
      <c r="U199" s="6">
        <v>150574</v>
      </c>
      <c r="V199" s="6">
        <v>112131</v>
      </c>
    </row>
    <row r="200" spans="1:22" x14ac:dyDescent="0.25">
      <c r="A200">
        <v>2024</v>
      </c>
      <c r="B200" s="1" t="s">
        <v>14</v>
      </c>
      <c r="C200" t="s">
        <v>50</v>
      </c>
      <c r="D200" s="1" t="s">
        <v>604</v>
      </c>
      <c r="E200" t="s">
        <v>279</v>
      </c>
      <c r="F200" s="6">
        <v>188142</v>
      </c>
      <c r="G200" s="6">
        <v>144434</v>
      </c>
      <c r="H200" s="6">
        <v>29831</v>
      </c>
      <c r="I200" s="6">
        <v>114603</v>
      </c>
      <c r="J200" s="6">
        <v>43708</v>
      </c>
      <c r="K200">
        <v>0</v>
      </c>
      <c r="L200" s="6">
        <v>158311</v>
      </c>
      <c r="M200">
        <v>0</v>
      </c>
      <c r="N200">
        <v>0</v>
      </c>
      <c r="O200">
        <v>0</v>
      </c>
      <c r="P200" s="6">
        <v>19931</v>
      </c>
      <c r="Q200" s="6">
        <v>2369</v>
      </c>
      <c r="R200" s="6">
        <v>31448</v>
      </c>
      <c r="S200" s="6">
        <v>35225</v>
      </c>
      <c r="T200" s="6">
        <v>247284</v>
      </c>
      <c r="U200" s="6">
        <v>136903</v>
      </c>
      <c r="V200" s="6">
        <v>110381</v>
      </c>
    </row>
    <row r="201" spans="1:22" x14ac:dyDescent="0.25">
      <c r="A201">
        <v>2024</v>
      </c>
      <c r="B201" s="1" t="s">
        <v>18</v>
      </c>
      <c r="C201" t="s">
        <v>54</v>
      </c>
      <c r="D201" s="1" t="s">
        <v>605</v>
      </c>
      <c r="E201" t="s">
        <v>280</v>
      </c>
      <c r="F201" s="6">
        <v>1139276</v>
      </c>
      <c r="G201" s="6">
        <v>922944</v>
      </c>
      <c r="H201" s="6">
        <v>203383</v>
      </c>
      <c r="I201" s="6">
        <v>719561</v>
      </c>
      <c r="J201" s="6">
        <v>216332</v>
      </c>
      <c r="K201">
        <v>0</v>
      </c>
      <c r="L201" s="6">
        <v>935893</v>
      </c>
      <c r="M201">
        <v>0</v>
      </c>
      <c r="N201">
        <v>0</v>
      </c>
      <c r="O201">
        <v>0</v>
      </c>
      <c r="P201" s="6">
        <v>97014</v>
      </c>
      <c r="Q201" s="6">
        <v>12166</v>
      </c>
      <c r="R201" s="6">
        <v>189160</v>
      </c>
      <c r="S201" s="6">
        <v>207789</v>
      </c>
      <c r="T201" s="6">
        <v>1442022</v>
      </c>
      <c r="U201" s="6">
        <v>828741</v>
      </c>
      <c r="V201" s="6">
        <v>613281</v>
      </c>
    </row>
    <row r="202" spans="1:22" x14ac:dyDescent="0.25">
      <c r="A202">
        <v>2024</v>
      </c>
      <c r="B202" s="1" t="s">
        <v>20</v>
      </c>
      <c r="C202" t="s">
        <v>56</v>
      </c>
      <c r="D202" s="1" t="s">
        <v>606</v>
      </c>
      <c r="E202" t="s">
        <v>281</v>
      </c>
      <c r="F202" s="6">
        <v>235394</v>
      </c>
      <c r="G202" s="6">
        <v>186094</v>
      </c>
      <c r="H202" s="6">
        <v>51950</v>
      </c>
      <c r="I202" s="6">
        <v>134144</v>
      </c>
      <c r="J202" s="6">
        <v>49300</v>
      </c>
      <c r="K202">
        <v>0</v>
      </c>
      <c r="L202" s="6">
        <v>183444</v>
      </c>
      <c r="M202">
        <v>391</v>
      </c>
      <c r="N202">
        <v>103</v>
      </c>
      <c r="O202">
        <v>494</v>
      </c>
      <c r="P202" s="6">
        <v>24171</v>
      </c>
      <c r="Q202" s="6">
        <v>2608</v>
      </c>
      <c r="R202" s="6">
        <v>39664</v>
      </c>
      <c r="S202" s="6">
        <v>43850</v>
      </c>
      <c r="T202" s="6">
        <v>294231</v>
      </c>
      <c r="U202" s="6">
        <v>161313</v>
      </c>
      <c r="V202" s="6">
        <v>132918</v>
      </c>
    </row>
    <row r="203" spans="1:22" x14ac:dyDescent="0.25">
      <c r="A203">
        <v>2024</v>
      </c>
      <c r="B203" s="1" t="s">
        <v>15</v>
      </c>
      <c r="C203" t="s">
        <v>51</v>
      </c>
      <c r="D203" s="1" t="s">
        <v>607</v>
      </c>
      <c r="E203" t="s">
        <v>282</v>
      </c>
      <c r="F203" s="6">
        <v>208531</v>
      </c>
      <c r="G203" s="6">
        <v>163234</v>
      </c>
      <c r="H203" s="6">
        <v>42965</v>
      </c>
      <c r="I203" s="6">
        <v>120269</v>
      </c>
      <c r="J203" s="6">
        <v>45297</v>
      </c>
      <c r="K203">
        <v>682</v>
      </c>
      <c r="L203" s="6">
        <v>166248</v>
      </c>
      <c r="M203">
        <v>206</v>
      </c>
      <c r="N203">
        <v>57</v>
      </c>
      <c r="O203">
        <v>263</v>
      </c>
      <c r="P203" s="6">
        <v>25997</v>
      </c>
      <c r="Q203" s="6">
        <v>2989</v>
      </c>
      <c r="R203" s="6">
        <v>33734</v>
      </c>
      <c r="S203" s="6">
        <v>37611</v>
      </c>
      <c r="T203" s="6">
        <v>266842</v>
      </c>
      <c r="U203" s="6">
        <v>149461</v>
      </c>
      <c r="V203" s="6">
        <v>117381</v>
      </c>
    </row>
    <row r="204" spans="1:22" x14ac:dyDescent="0.25">
      <c r="A204">
        <v>2024</v>
      </c>
      <c r="B204" s="1" t="s">
        <v>17</v>
      </c>
      <c r="C204" t="s">
        <v>53</v>
      </c>
      <c r="D204" s="1" t="s">
        <v>608</v>
      </c>
      <c r="E204" t="s">
        <v>283</v>
      </c>
      <c r="F204" s="6">
        <v>280349</v>
      </c>
      <c r="G204" s="6">
        <v>222272</v>
      </c>
      <c r="H204" s="6">
        <v>58463</v>
      </c>
      <c r="I204" s="6">
        <v>163809</v>
      </c>
      <c r="J204" s="6">
        <v>58077</v>
      </c>
      <c r="K204">
        <v>675</v>
      </c>
      <c r="L204" s="6">
        <v>222561</v>
      </c>
      <c r="M204">
        <v>256</v>
      </c>
      <c r="N204">
        <v>67</v>
      </c>
      <c r="O204">
        <v>323</v>
      </c>
      <c r="P204" s="6">
        <v>26538</v>
      </c>
      <c r="Q204" s="6">
        <v>3090</v>
      </c>
      <c r="R204" s="6">
        <v>45190</v>
      </c>
      <c r="S204" s="6">
        <v>49676</v>
      </c>
      <c r="T204" s="6">
        <v>347378</v>
      </c>
      <c r="U204" s="6">
        <v>193693</v>
      </c>
      <c r="V204" s="6">
        <v>153685</v>
      </c>
    </row>
    <row r="205" spans="1:22" x14ac:dyDescent="0.25">
      <c r="A205">
        <v>2024</v>
      </c>
      <c r="B205" s="1" t="s">
        <v>13</v>
      </c>
      <c r="C205" t="s">
        <v>49</v>
      </c>
      <c r="D205" s="1" t="s">
        <v>609</v>
      </c>
      <c r="E205" t="s">
        <v>284</v>
      </c>
      <c r="F205" s="6">
        <v>467284</v>
      </c>
      <c r="G205" s="6">
        <v>354349</v>
      </c>
      <c r="H205" s="6">
        <v>105989</v>
      </c>
      <c r="I205" s="6">
        <v>248360</v>
      </c>
      <c r="J205" s="6">
        <v>112935</v>
      </c>
      <c r="K205">
        <v>0</v>
      </c>
      <c r="L205" s="6">
        <v>361295</v>
      </c>
      <c r="M205">
        <v>948</v>
      </c>
      <c r="N205">
        <v>302</v>
      </c>
      <c r="O205" s="6">
        <v>1250</v>
      </c>
      <c r="P205" s="6">
        <v>46267</v>
      </c>
      <c r="Q205" s="6">
        <v>5020</v>
      </c>
      <c r="R205" s="6">
        <v>71244</v>
      </c>
      <c r="S205" s="6">
        <v>79368</v>
      </c>
      <c r="T205" s="6">
        <v>564444</v>
      </c>
      <c r="U205" s="6">
        <v>300594</v>
      </c>
      <c r="V205" s="6">
        <v>263850</v>
      </c>
    </row>
    <row r="206" spans="1:22" x14ac:dyDescent="0.25">
      <c r="A206">
        <v>2024</v>
      </c>
      <c r="B206" s="1" t="s">
        <v>15</v>
      </c>
      <c r="C206" t="s">
        <v>51</v>
      </c>
      <c r="D206" s="1" t="s">
        <v>610</v>
      </c>
      <c r="E206" t="s">
        <v>285</v>
      </c>
      <c r="F206" s="6">
        <v>184943</v>
      </c>
      <c r="G206" s="6">
        <v>144770</v>
      </c>
      <c r="H206" s="6">
        <v>38909</v>
      </c>
      <c r="I206" s="6">
        <v>105861</v>
      </c>
      <c r="J206" s="6">
        <v>40173</v>
      </c>
      <c r="K206">
        <v>0</v>
      </c>
      <c r="L206" s="6">
        <v>146034</v>
      </c>
      <c r="M206">
        <v>182</v>
      </c>
      <c r="N206">
        <v>51</v>
      </c>
      <c r="O206">
        <v>233</v>
      </c>
      <c r="P206" s="6">
        <v>22867</v>
      </c>
      <c r="Q206" s="6">
        <v>2632</v>
      </c>
      <c r="R206" s="6">
        <v>30235</v>
      </c>
      <c r="S206" s="6">
        <v>33711</v>
      </c>
      <c r="T206" s="6">
        <v>235712</v>
      </c>
      <c r="U206" s="6">
        <v>131542</v>
      </c>
      <c r="V206" s="6">
        <v>104170</v>
      </c>
    </row>
    <row r="207" spans="1:22" x14ac:dyDescent="0.25">
      <c r="A207">
        <v>2024</v>
      </c>
      <c r="B207" s="1" t="s">
        <v>14</v>
      </c>
      <c r="C207" t="s">
        <v>50</v>
      </c>
      <c r="D207" s="1" t="s">
        <v>611</v>
      </c>
      <c r="E207" t="s">
        <v>286</v>
      </c>
      <c r="F207" s="6">
        <v>96159</v>
      </c>
      <c r="G207" s="6">
        <v>73820</v>
      </c>
      <c r="H207" s="6">
        <v>28015</v>
      </c>
      <c r="I207" s="6">
        <v>45805</v>
      </c>
      <c r="J207" s="6">
        <v>22339</v>
      </c>
      <c r="K207" s="6">
        <v>12862</v>
      </c>
      <c r="L207" s="6">
        <v>81006</v>
      </c>
      <c r="M207">
        <v>0</v>
      </c>
      <c r="N207">
        <v>0</v>
      </c>
      <c r="O207">
        <v>0</v>
      </c>
      <c r="P207" s="6">
        <v>10868</v>
      </c>
      <c r="Q207" s="6">
        <v>1291</v>
      </c>
      <c r="R207" s="6">
        <v>16630</v>
      </c>
      <c r="S207" s="6">
        <v>18628</v>
      </c>
      <c r="T207" s="6">
        <v>128423</v>
      </c>
      <c r="U207" s="6">
        <v>57964</v>
      </c>
      <c r="V207" s="6">
        <v>70459</v>
      </c>
    </row>
    <row r="208" spans="1:22" x14ac:dyDescent="0.25">
      <c r="A208">
        <v>2024</v>
      </c>
      <c r="B208" s="1" t="s">
        <v>17</v>
      </c>
      <c r="C208" t="s">
        <v>53</v>
      </c>
      <c r="D208" s="1" t="s">
        <v>612</v>
      </c>
      <c r="E208" t="s">
        <v>287</v>
      </c>
      <c r="F208" s="6">
        <v>199838</v>
      </c>
      <c r="G208" s="6">
        <v>158440</v>
      </c>
      <c r="H208" s="6">
        <v>45650</v>
      </c>
      <c r="I208" s="6">
        <v>112790</v>
      </c>
      <c r="J208" s="6">
        <v>41398</v>
      </c>
      <c r="K208" s="6">
        <v>15931</v>
      </c>
      <c r="L208" s="6">
        <v>170119</v>
      </c>
      <c r="M208">
        <v>182</v>
      </c>
      <c r="N208">
        <v>48</v>
      </c>
      <c r="O208">
        <v>230</v>
      </c>
      <c r="P208" s="6">
        <v>18917</v>
      </c>
      <c r="Q208" s="6">
        <v>2203</v>
      </c>
      <c r="R208" s="6">
        <v>34934</v>
      </c>
      <c r="S208" s="6">
        <v>38401</v>
      </c>
      <c r="T208" s="6">
        <v>264804</v>
      </c>
      <c r="U208" s="6">
        <v>134092</v>
      </c>
      <c r="V208" s="6">
        <v>130712</v>
      </c>
    </row>
    <row r="209" spans="1:22" x14ac:dyDescent="0.25">
      <c r="A209">
        <v>2024</v>
      </c>
      <c r="B209" s="1" t="s">
        <v>21</v>
      </c>
      <c r="C209" t="s">
        <v>57</v>
      </c>
      <c r="D209" s="1" t="s">
        <v>613</v>
      </c>
      <c r="E209" t="s">
        <v>288</v>
      </c>
      <c r="F209" s="6">
        <v>186654</v>
      </c>
      <c r="G209" s="6">
        <v>148738</v>
      </c>
      <c r="H209" s="6">
        <v>33289</v>
      </c>
      <c r="I209" s="6">
        <v>115449</v>
      </c>
      <c r="J209" s="6">
        <v>37916</v>
      </c>
      <c r="K209">
        <v>0</v>
      </c>
      <c r="L209" s="6">
        <v>153365</v>
      </c>
      <c r="M209">
        <v>348</v>
      </c>
      <c r="N209">
        <v>89</v>
      </c>
      <c r="O209">
        <v>437</v>
      </c>
      <c r="P209" s="6">
        <v>18761</v>
      </c>
      <c r="Q209" s="6">
        <v>2056</v>
      </c>
      <c r="R209" s="6">
        <v>32002</v>
      </c>
      <c r="S209" s="6">
        <v>35175</v>
      </c>
      <c r="T209" s="6">
        <v>241796</v>
      </c>
      <c r="U209" s="6">
        <v>136614</v>
      </c>
      <c r="V209" s="6">
        <v>105182</v>
      </c>
    </row>
    <row r="210" spans="1:22" x14ac:dyDescent="0.25">
      <c r="A210">
        <v>2024</v>
      </c>
      <c r="B210" s="1" t="s">
        <v>18</v>
      </c>
      <c r="C210" t="s">
        <v>54</v>
      </c>
      <c r="D210" s="1" t="s">
        <v>614</v>
      </c>
      <c r="E210" t="s">
        <v>289</v>
      </c>
      <c r="F210" s="6">
        <v>732989</v>
      </c>
      <c r="G210" s="6">
        <v>593805</v>
      </c>
      <c r="H210" s="6">
        <v>52568</v>
      </c>
      <c r="I210" s="6">
        <v>541237</v>
      </c>
      <c r="J210" s="6">
        <v>139184</v>
      </c>
      <c r="K210">
        <v>0</v>
      </c>
      <c r="L210" s="6">
        <v>680421</v>
      </c>
      <c r="M210">
        <v>0</v>
      </c>
      <c r="N210">
        <v>0</v>
      </c>
      <c r="O210">
        <v>0</v>
      </c>
      <c r="P210" s="6">
        <v>62417</v>
      </c>
      <c r="Q210" s="6">
        <v>7827</v>
      </c>
      <c r="R210" s="6">
        <v>131649</v>
      </c>
      <c r="S210" s="6">
        <v>144614</v>
      </c>
      <c r="T210" s="6">
        <v>1026928</v>
      </c>
      <c r="U210" s="6">
        <v>611481</v>
      </c>
      <c r="V210" s="6">
        <v>415447</v>
      </c>
    </row>
    <row r="211" spans="1:22" x14ac:dyDescent="0.25">
      <c r="A211">
        <v>2024</v>
      </c>
      <c r="B211" s="1" t="s">
        <v>16</v>
      </c>
      <c r="C211" t="s">
        <v>52</v>
      </c>
      <c r="D211" s="1" t="s">
        <v>615</v>
      </c>
      <c r="E211" t="s">
        <v>290</v>
      </c>
      <c r="F211" s="6">
        <v>1139748</v>
      </c>
      <c r="G211" s="6">
        <v>898458</v>
      </c>
      <c r="H211" s="6">
        <v>171716</v>
      </c>
      <c r="I211" s="6">
        <v>726742</v>
      </c>
      <c r="J211" s="6">
        <v>241290</v>
      </c>
      <c r="K211">
        <v>0</v>
      </c>
      <c r="L211" s="6">
        <v>968032</v>
      </c>
      <c r="M211">
        <v>0</v>
      </c>
      <c r="N211">
        <v>0</v>
      </c>
      <c r="O211">
        <v>0</v>
      </c>
      <c r="P211" s="6">
        <v>104718</v>
      </c>
      <c r="Q211" s="6">
        <v>12286</v>
      </c>
      <c r="R211" s="6">
        <v>194741</v>
      </c>
      <c r="S211" s="6">
        <v>212808</v>
      </c>
      <c r="T211" s="6">
        <v>1492585</v>
      </c>
      <c r="U211" s="6">
        <v>843746</v>
      </c>
      <c r="V211" s="6">
        <v>648839</v>
      </c>
    </row>
    <row r="212" spans="1:22" x14ac:dyDescent="0.25">
      <c r="A212">
        <v>2024</v>
      </c>
      <c r="B212" s="1" t="s">
        <v>15</v>
      </c>
      <c r="C212" t="s">
        <v>51</v>
      </c>
      <c r="D212" s="1" t="s">
        <v>616</v>
      </c>
      <c r="E212" t="s">
        <v>291</v>
      </c>
      <c r="F212" s="6">
        <v>172677</v>
      </c>
      <c r="G212" s="6">
        <v>135168</v>
      </c>
      <c r="H212" s="6">
        <v>31289</v>
      </c>
      <c r="I212" s="6">
        <v>103879</v>
      </c>
      <c r="J212" s="6">
        <v>37509</v>
      </c>
      <c r="K212">
        <v>0</v>
      </c>
      <c r="L212" s="6">
        <v>141388</v>
      </c>
      <c r="M212">
        <v>172</v>
      </c>
      <c r="N212">
        <v>47</v>
      </c>
      <c r="O212">
        <v>219</v>
      </c>
      <c r="P212" s="6">
        <v>21350</v>
      </c>
      <c r="Q212" s="6">
        <v>2458</v>
      </c>
      <c r="R212" s="6">
        <v>28361</v>
      </c>
      <c r="S212" s="6">
        <v>31621</v>
      </c>
      <c r="T212" s="6">
        <v>225397</v>
      </c>
      <c r="U212" s="6">
        <v>127859</v>
      </c>
      <c r="V212" s="6">
        <v>97538</v>
      </c>
    </row>
    <row r="213" spans="1:22" x14ac:dyDescent="0.25">
      <c r="A213">
        <v>2024</v>
      </c>
      <c r="B213" s="1" t="s">
        <v>14</v>
      </c>
      <c r="C213" t="s">
        <v>50</v>
      </c>
      <c r="D213" s="1" t="s">
        <v>617</v>
      </c>
      <c r="E213" t="s">
        <v>292</v>
      </c>
      <c r="F213" s="6">
        <v>156367</v>
      </c>
      <c r="G213" s="6">
        <v>120041</v>
      </c>
      <c r="H213" s="6">
        <v>41097</v>
      </c>
      <c r="I213" s="6">
        <v>78944</v>
      </c>
      <c r="J213" s="6">
        <v>36326</v>
      </c>
      <c r="K213" s="6">
        <v>13868</v>
      </c>
      <c r="L213" s="6">
        <v>129138</v>
      </c>
      <c r="M213">
        <v>0</v>
      </c>
      <c r="N213">
        <v>0</v>
      </c>
      <c r="O213">
        <v>0</v>
      </c>
      <c r="P213" s="6">
        <v>16565</v>
      </c>
      <c r="Q213" s="6">
        <v>1969</v>
      </c>
      <c r="R213" s="6">
        <v>25883</v>
      </c>
      <c r="S213" s="6">
        <v>28992</v>
      </c>
      <c r="T213" s="6">
        <v>202547</v>
      </c>
      <c r="U213" s="6">
        <v>97478</v>
      </c>
      <c r="V213" s="6">
        <v>105069</v>
      </c>
    </row>
    <row r="214" spans="1:22" x14ac:dyDescent="0.25">
      <c r="A214">
        <v>2024</v>
      </c>
      <c r="B214" s="1" t="s">
        <v>16</v>
      </c>
      <c r="C214" t="s">
        <v>52</v>
      </c>
      <c r="D214" s="1" t="s">
        <v>618</v>
      </c>
      <c r="E214" t="s">
        <v>293</v>
      </c>
      <c r="F214" s="6">
        <v>198073</v>
      </c>
      <c r="G214" s="6">
        <v>156140</v>
      </c>
      <c r="H214" s="6">
        <v>40448</v>
      </c>
      <c r="I214" s="6">
        <v>115692</v>
      </c>
      <c r="J214" s="6">
        <v>41933</v>
      </c>
      <c r="K214">
        <v>0</v>
      </c>
      <c r="L214" s="6">
        <v>157625</v>
      </c>
      <c r="M214">
        <v>0</v>
      </c>
      <c r="N214">
        <v>0</v>
      </c>
      <c r="O214">
        <v>0</v>
      </c>
      <c r="P214" s="6">
        <v>18199</v>
      </c>
      <c r="Q214" s="6">
        <v>2135</v>
      </c>
      <c r="R214" s="6">
        <v>32849</v>
      </c>
      <c r="S214" s="6">
        <v>35897</v>
      </c>
      <c r="T214" s="6">
        <v>246705</v>
      </c>
      <c r="U214" s="6">
        <v>136026</v>
      </c>
      <c r="V214" s="6">
        <v>110679</v>
      </c>
    </row>
    <row r="215" spans="1:22" x14ac:dyDescent="0.25">
      <c r="A215">
        <v>2024</v>
      </c>
      <c r="B215" s="1" t="s">
        <v>15</v>
      </c>
      <c r="C215" t="s">
        <v>51</v>
      </c>
      <c r="D215" s="1" t="s">
        <v>619</v>
      </c>
      <c r="E215" t="s">
        <v>294</v>
      </c>
      <c r="F215" s="6">
        <v>196481</v>
      </c>
      <c r="G215" s="6">
        <v>153801</v>
      </c>
      <c r="H215" s="6">
        <v>32927</v>
      </c>
      <c r="I215" s="6">
        <v>120874</v>
      </c>
      <c r="J215" s="6">
        <v>42680</v>
      </c>
      <c r="K215">
        <v>0</v>
      </c>
      <c r="L215" s="6">
        <v>163554</v>
      </c>
      <c r="M215">
        <v>195</v>
      </c>
      <c r="N215">
        <v>55</v>
      </c>
      <c r="O215">
        <v>250</v>
      </c>
      <c r="P215" s="6">
        <v>24294</v>
      </c>
      <c r="Q215" s="6">
        <v>2796</v>
      </c>
      <c r="R215" s="6">
        <v>31922</v>
      </c>
      <c r="S215" s="6">
        <v>35591</v>
      </c>
      <c r="T215" s="6">
        <v>258407</v>
      </c>
      <c r="U215" s="6">
        <v>148159</v>
      </c>
      <c r="V215" s="6">
        <v>110248</v>
      </c>
    </row>
    <row r="216" spans="1:22" x14ac:dyDescent="0.25">
      <c r="A216">
        <v>2024</v>
      </c>
      <c r="B216" s="1" t="s">
        <v>18</v>
      </c>
      <c r="C216" t="s">
        <v>54</v>
      </c>
      <c r="D216" s="1" t="s">
        <v>620</v>
      </c>
      <c r="E216" t="s">
        <v>295</v>
      </c>
      <c r="F216" s="6">
        <v>1248443</v>
      </c>
      <c r="G216" s="6">
        <v>1011381</v>
      </c>
      <c r="H216" s="6">
        <v>125386</v>
      </c>
      <c r="I216" s="6">
        <v>885995</v>
      </c>
      <c r="J216" s="6">
        <v>237062</v>
      </c>
      <c r="K216">
        <v>0</v>
      </c>
      <c r="L216" s="6">
        <v>1123057</v>
      </c>
      <c r="M216">
        <v>0</v>
      </c>
      <c r="N216">
        <v>0</v>
      </c>
      <c r="O216">
        <v>0</v>
      </c>
      <c r="P216" s="6">
        <v>106310</v>
      </c>
      <c r="Q216" s="6">
        <v>13332</v>
      </c>
      <c r="R216" s="6">
        <v>217884</v>
      </c>
      <c r="S216" s="6">
        <v>239343</v>
      </c>
      <c r="T216" s="6">
        <v>1699926</v>
      </c>
      <c r="U216" s="6">
        <v>1005637</v>
      </c>
      <c r="V216" s="6">
        <v>694289</v>
      </c>
    </row>
    <row r="217" spans="1:22" x14ac:dyDescent="0.25">
      <c r="A217">
        <v>2024</v>
      </c>
      <c r="B217" s="1" t="s">
        <v>19</v>
      </c>
      <c r="C217" t="s">
        <v>55</v>
      </c>
      <c r="D217" s="1" t="s">
        <v>621</v>
      </c>
      <c r="E217" t="s">
        <v>296</v>
      </c>
      <c r="F217" s="6">
        <v>357437</v>
      </c>
      <c r="G217" s="6">
        <v>277116</v>
      </c>
      <c r="H217" s="6">
        <v>76129</v>
      </c>
      <c r="I217" s="6">
        <v>200987</v>
      </c>
      <c r="J217" s="6">
        <v>80321</v>
      </c>
      <c r="K217">
        <v>0</v>
      </c>
      <c r="L217" s="6">
        <v>281308</v>
      </c>
      <c r="M217">
        <v>533</v>
      </c>
      <c r="N217">
        <v>155</v>
      </c>
      <c r="O217">
        <v>688</v>
      </c>
      <c r="P217" s="6">
        <v>36015</v>
      </c>
      <c r="Q217" s="6">
        <v>4293</v>
      </c>
      <c r="R217" s="6">
        <v>58641</v>
      </c>
      <c r="S217" s="6">
        <v>65664</v>
      </c>
      <c r="T217" s="6">
        <v>446609</v>
      </c>
      <c r="U217" s="6">
        <v>241828</v>
      </c>
      <c r="V217" s="6">
        <v>204781</v>
      </c>
    </row>
    <row r="218" spans="1:22" x14ac:dyDescent="0.25">
      <c r="A218">
        <v>2024</v>
      </c>
      <c r="B218" s="1" t="s">
        <v>13</v>
      </c>
      <c r="C218" t="s">
        <v>49</v>
      </c>
      <c r="D218" s="1" t="s">
        <v>622</v>
      </c>
      <c r="E218" t="s">
        <v>297</v>
      </c>
      <c r="F218" s="6">
        <v>554510</v>
      </c>
      <c r="G218" s="6">
        <v>420494</v>
      </c>
      <c r="H218" s="6">
        <v>102876</v>
      </c>
      <c r="I218" s="6">
        <v>317618</v>
      </c>
      <c r="J218" s="6">
        <v>134016</v>
      </c>
      <c r="K218">
        <v>0</v>
      </c>
      <c r="L218" s="6">
        <v>451634</v>
      </c>
      <c r="M218" s="6">
        <v>1125</v>
      </c>
      <c r="N218">
        <v>358</v>
      </c>
      <c r="O218" s="6">
        <v>1483</v>
      </c>
      <c r="P218" s="6">
        <v>54903</v>
      </c>
      <c r="Q218" s="6">
        <v>5957</v>
      </c>
      <c r="R218" s="6">
        <v>83233</v>
      </c>
      <c r="S218" s="6">
        <v>92723</v>
      </c>
      <c r="T218" s="6">
        <v>689933</v>
      </c>
      <c r="U218" s="6">
        <v>379603</v>
      </c>
      <c r="V218" s="6">
        <v>310330</v>
      </c>
    </row>
    <row r="219" spans="1:22" x14ac:dyDescent="0.25">
      <c r="A219">
        <v>2024</v>
      </c>
      <c r="B219" s="1" t="s">
        <v>18</v>
      </c>
      <c r="C219" t="s">
        <v>54</v>
      </c>
      <c r="D219" s="1" t="s">
        <v>623</v>
      </c>
      <c r="E219" t="s">
        <v>298</v>
      </c>
      <c r="F219" s="6">
        <v>208188</v>
      </c>
      <c r="G219" s="6">
        <v>168656</v>
      </c>
      <c r="H219" s="6">
        <v>41558</v>
      </c>
      <c r="I219" s="6">
        <v>127098</v>
      </c>
      <c r="J219" s="6">
        <v>39532</v>
      </c>
      <c r="K219">
        <v>0</v>
      </c>
      <c r="L219" s="6">
        <v>166630</v>
      </c>
      <c r="M219">
        <v>0</v>
      </c>
      <c r="N219">
        <v>0</v>
      </c>
      <c r="O219">
        <v>0</v>
      </c>
      <c r="P219" s="6">
        <v>17728</v>
      </c>
      <c r="Q219" s="6">
        <v>2223</v>
      </c>
      <c r="R219" s="6">
        <v>37410</v>
      </c>
      <c r="S219" s="6">
        <v>41094</v>
      </c>
      <c r="T219" s="6">
        <v>265085</v>
      </c>
      <c r="U219" s="6">
        <v>147049</v>
      </c>
      <c r="V219" s="6">
        <v>118036</v>
      </c>
    </row>
    <row r="220" spans="1:22" x14ac:dyDescent="0.25">
      <c r="A220">
        <v>2024</v>
      </c>
      <c r="B220" s="1" t="s">
        <v>14</v>
      </c>
      <c r="C220" t="s">
        <v>50</v>
      </c>
      <c r="D220" s="1" t="s">
        <v>624</v>
      </c>
      <c r="E220" t="s">
        <v>299</v>
      </c>
      <c r="F220" s="6">
        <v>410883</v>
      </c>
      <c r="G220" s="6">
        <v>315430</v>
      </c>
      <c r="H220" s="6">
        <v>60802</v>
      </c>
      <c r="I220" s="6">
        <v>254628</v>
      </c>
      <c r="J220" s="6">
        <v>95453</v>
      </c>
      <c r="K220">
        <v>0</v>
      </c>
      <c r="L220" s="6">
        <v>350081</v>
      </c>
      <c r="M220">
        <v>0</v>
      </c>
      <c r="N220">
        <v>0</v>
      </c>
      <c r="O220">
        <v>0</v>
      </c>
      <c r="P220" s="6">
        <v>43527</v>
      </c>
      <c r="Q220" s="6">
        <v>5174</v>
      </c>
      <c r="R220" s="6">
        <v>67021</v>
      </c>
      <c r="S220" s="6">
        <v>75072</v>
      </c>
      <c r="T220" s="6">
        <v>540875</v>
      </c>
      <c r="U220" s="6">
        <v>303329</v>
      </c>
      <c r="V220" s="6">
        <v>237546</v>
      </c>
    </row>
    <row r="221" spans="1:22" x14ac:dyDescent="0.25">
      <c r="A221">
        <v>2024</v>
      </c>
      <c r="B221" s="1" t="s">
        <v>17</v>
      </c>
      <c r="C221" t="s">
        <v>53</v>
      </c>
      <c r="D221" s="1" t="s">
        <v>625</v>
      </c>
      <c r="E221" t="s">
        <v>300</v>
      </c>
      <c r="F221" s="6">
        <v>79279</v>
      </c>
      <c r="G221" s="6">
        <v>62856</v>
      </c>
      <c r="H221" s="6">
        <v>19148</v>
      </c>
      <c r="I221" s="6">
        <v>43708</v>
      </c>
      <c r="J221" s="6">
        <v>16423</v>
      </c>
      <c r="K221">
        <v>0</v>
      </c>
      <c r="L221" s="6">
        <v>60131</v>
      </c>
      <c r="M221">
        <v>74</v>
      </c>
      <c r="N221">
        <v>19</v>
      </c>
      <c r="O221">
        <v>93</v>
      </c>
      <c r="P221" s="6">
        <v>7505</v>
      </c>
      <c r="Q221">
        <v>874</v>
      </c>
      <c r="R221" s="6">
        <v>13737</v>
      </c>
      <c r="S221" s="6">
        <v>15101</v>
      </c>
      <c r="T221" s="6">
        <v>97441</v>
      </c>
      <c r="U221" s="6">
        <v>52161</v>
      </c>
      <c r="V221" s="6">
        <v>45280</v>
      </c>
    </row>
    <row r="222" spans="1:22" x14ac:dyDescent="0.25">
      <c r="A222">
        <v>2024</v>
      </c>
      <c r="B222" s="1" t="s">
        <v>20</v>
      </c>
      <c r="C222" t="s">
        <v>56</v>
      </c>
      <c r="D222" s="1" t="s">
        <v>626</v>
      </c>
      <c r="E222" t="s">
        <v>301</v>
      </c>
      <c r="F222" s="6">
        <v>72575</v>
      </c>
      <c r="G222" s="6">
        <v>57375</v>
      </c>
      <c r="H222" s="6">
        <v>18609</v>
      </c>
      <c r="I222" s="6">
        <v>38766</v>
      </c>
      <c r="J222" s="6">
        <v>15200</v>
      </c>
      <c r="K222">
        <v>191</v>
      </c>
      <c r="L222" s="6">
        <v>54157</v>
      </c>
      <c r="M222">
        <v>121</v>
      </c>
      <c r="N222">
        <v>33</v>
      </c>
      <c r="O222">
        <v>154</v>
      </c>
      <c r="P222" s="6">
        <v>7452</v>
      </c>
      <c r="Q222">
        <v>804</v>
      </c>
      <c r="R222" s="6">
        <v>11253</v>
      </c>
      <c r="S222" s="6">
        <v>12440</v>
      </c>
      <c r="T222" s="6">
        <v>86260</v>
      </c>
      <c r="U222" s="6">
        <v>47144</v>
      </c>
      <c r="V222" s="6">
        <v>39116</v>
      </c>
    </row>
    <row r="223" spans="1:22" x14ac:dyDescent="0.25">
      <c r="A223">
        <v>2024</v>
      </c>
      <c r="B223" s="1" t="s">
        <v>15</v>
      </c>
      <c r="C223" t="s">
        <v>51</v>
      </c>
      <c r="D223" s="1" t="s">
        <v>627</v>
      </c>
      <c r="E223" t="s">
        <v>302</v>
      </c>
      <c r="F223" s="6">
        <v>329021</v>
      </c>
      <c r="G223" s="6">
        <v>257550</v>
      </c>
      <c r="H223" s="6">
        <v>62418</v>
      </c>
      <c r="I223" s="6">
        <v>195132</v>
      </c>
      <c r="J223" s="6">
        <v>71471</v>
      </c>
      <c r="K223">
        <v>0</v>
      </c>
      <c r="L223" s="6">
        <v>266603</v>
      </c>
      <c r="M223">
        <v>325</v>
      </c>
      <c r="N223">
        <v>90</v>
      </c>
      <c r="O223">
        <v>415</v>
      </c>
      <c r="P223" s="6">
        <v>40681</v>
      </c>
      <c r="Q223" s="6">
        <v>4683</v>
      </c>
      <c r="R223" s="6">
        <v>55911</v>
      </c>
      <c r="S223" s="6">
        <v>62337</v>
      </c>
      <c r="T223" s="6">
        <v>430630</v>
      </c>
      <c r="U223" s="6">
        <v>240821</v>
      </c>
      <c r="V223" s="6">
        <v>189809</v>
      </c>
    </row>
    <row r="224" spans="1:22" x14ac:dyDescent="0.25">
      <c r="A224">
        <v>2024</v>
      </c>
      <c r="B224" s="1" t="s">
        <v>21</v>
      </c>
      <c r="C224" t="s">
        <v>57</v>
      </c>
      <c r="D224" s="1" t="s">
        <v>628</v>
      </c>
      <c r="E224" t="s">
        <v>303</v>
      </c>
      <c r="F224" s="6">
        <v>839726</v>
      </c>
      <c r="G224" s="6">
        <v>669145</v>
      </c>
      <c r="H224" s="6">
        <v>151250</v>
      </c>
      <c r="I224" s="6">
        <v>517895</v>
      </c>
      <c r="J224" s="6">
        <v>170581</v>
      </c>
      <c r="K224">
        <v>0</v>
      </c>
      <c r="L224" s="6">
        <v>688476</v>
      </c>
      <c r="M224" s="6">
        <v>1568</v>
      </c>
      <c r="N224">
        <v>400</v>
      </c>
      <c r="O224" s="6">
        <v>1968</v>
      </c>
      <c r="P224" s="6">
        <v>84404</v>
      </c>
      <c r="Q224" s="6">
        <v>9251</v>
      </c>
      <c r="R224" s="6">
        <v>150752</v>
      </c>
      <c r="S224" s="6">
        <v>165696</v>
      </c>
      <c r="T224" s="6">
        <v>1100547</v>
      </c>
      <c r="U224" s="6">
        <v>613118</v>
      </c>
      <c r="V224" s="6">
        <v>487429</v>
      </c>
    </row>
    <row r="225" spans="1:22" x14ac:dyDescent="0.25">
      <c r="A225">
        <v>2024</v>
      </c>
      <c r="B225" s="1" t="s">
        <v>21</v>
      </c>
      <c r="C225" t="s">
        <v>57</v>
      </c>
      <c r="D225" s="1" t="s">
        <v>629</v>
      </c>
      <c r="E225" t="s">
        <v>304</v>
      </c>
      <c r="F225" s="6">
        <v>1892276</v>
      </c>
      <c r="G225" s="6">
        <v>1507881</v>
      </c>
      <c r="H225" s="6">
        <v>285726</v>
      </c>
      <c r="I225" s="6">
        <v>1222155</v>
      </c>
      <c r="J225" s="6">
        <v>384395</v>
      </c>
      <c r="K225">
        <v>0</v>
      </c>
      <c r="L225" s="6">
        <v>1606550</v>
      </c>
      <c r="M225" s="6">
        <v>3535</v>
      </c>
      <c r="N225">
        <v>901</v>
      </c>
      <c r="O225" s="6">
        <v>4436</v>
      </c>
      <c r="P225" s="6">
        <v>190199</v>
      </c>
      <c r="Q225" s="6">
        <v>20848</v>
      </c>
      <c r="R225" s="6">
        <v>321388</v>
      </c>
      <c r="S225" s="6">
        <v>353248</v>
      </c>
      <c r="T225" s="6">
        <v>2496669</v>
      </c>
      <c r="U225" s="6">
        <v>1436737</v>
      </c>
      <c r="V225" s="6">
        <v>1059932</v>
      </c>
    </row>
    <row r="226" spans="1:22" x14ac:dyDescent="0.25">
      <c r="A226">
        <v>2024</v>
      </c>
      <c r="B226" s="1" t="s">
        <v>18</v>
      </c>
      <c r="C226" t="s">
        <v>54</v>
      </c>
      <c r="D226" s="1" t="s">
        <v>630</v>
      </c>
      <c r="E226" t="s">
        <v>305</v>
      </c>
      <c r="F226" s="6">
        <v>242582</v>
      </c>
      <c r="G226" s="6">
        <v>196519</v>
      </c>
      <c r="H226" s="6">
        <v>42913</v>
      </c>
      <c r="I226" s="6">
        <v>153606</v>
      </c>
      <c r="J226" s="6">
        <v>46063</v>
      </c>
      <c r="K226" s="6">
        <v>3428</v>
      </c>
      <c r="L226" s="6">
        <v>203097</v>
      </c>
      <c r="M226">
        <v>0</v>
      </c>
      <c r="N226">
        <v>0</v>
      </c>
      <c r="O226">
        <v>0</v>
      </c>
      <c r="P226" s="6">
        <v>20815</v>
      </c>
      <c r="Q226" s="6">
        <v>2614</v>
      </c>
      <c r="R226" s="6">
        <v>40078</v>
      </c>
      <c r="S226" s="6">
        <v>44025</v>
      </c>
      <c r="T226" s="6">
        <v>310629</v>
      </c>
      <c r="U226" s="6">
        <v>177035</v>
      </c>
      <c r="V226" s="6">
        <v>133594</v>
      </c>
    </row>
    <row r="227" spans="1:22" x14ac:dyDescent="0.25">
      <c r="A227">
        <v>2024</v>
      </c>
      <c r="B227" s="1" t="s">
        <v>14</v>
      </c>
      <c r="C227" t="s">
        <v>50</v>
      </c>
      <c r="D227" s="1" t="s">
        <v>631</v>
      </c>
      <c r="E227" t="s">
        <v>306</v>
      </c>
      <c r="F227" s="6">
        <v>69583</v>
      </c>
      <c r="G227" s="6">
        <v>53418</v>
      </c>
      <c r="H227" s="6">
        <v>13629</v>
      </c>
      <c r="I227" s="6">
        <v>39789</v>
      </c>
      <c r="J227" s="6">
        <v>16165</v>
      </c>
      <c r="K227" s="6">
        <v>2532</v>
      </c>
      <c r="L227" s="6">
        <v>58486</v>
      </c>
      <c r="M227">
        <v>0</v>
      </c>
      <c r="N227">
        <v>0</v>
      </c>
      <c r="O227">
        <v>0</v>
      </c>
      <c r="P227" s="6">
        <v>7371</v>
      </c>
      <c r="Q227">
        <v>876</v>
      </c>
      <c r="R227" s="6">
        <v>12066</v>
      </c>
      <c r="S227" s="6">
        <v>13516</v>
      </c>
      <c r="T227" s="6">
        <v>92315</v>
      </c>
      <c r="U227" s="6">
        <v>48036</v>
      </c>
      <c r="V227" s="6">
        <v>44279</v>
      </c>
    </row>
    <row r="228" spans="1:22" x14ac:dyDescent="0.25">
      <c r="A228">
        <v>2024</v>
      </c>
      <c r="B228" s="1" t="s">
        <v>18</v>
      </c>
      <c r="C228" t="s">
        <v>54</v>
      </c>
      <c r="D228" s="1" t="s">
        <v>632</v>
      </c>
      <c r="E228" t="s">
        <v>307</v>
      </c>
      <c r="F228" s="6">
        <v>372083</v>
      </c>
      <c r="G228" s="6">
        <v>301430</v>
      </c>
      <c r="H228" s="6">
        <v>58466</v>
      </c>
      <c r="I228" s="6">
        <v>242964</v>
      </c>
      <c r="J228" s="6">
        <v>70653</v>
      </c>
      <c r="K228">
        <v>0</v>
      </c>
      <c r="L228" s="6">
        <v>313617</v>
      </c>
      <c r="M228">
        <v>0</v>
      </c>
      <c r="N228">
        <v>0</v>
      </c>
      <c r="O228">
        <v>0</v>
      </c>
      <c r="P228" s="6">
        <v>31684</v>
      </c>
      <c r="Q228" s="6">
        <v>3973</v>
      </c>
      <c r="R228" s="6">
        <v>65328</v>
      </c>
      <c r="S228" s="6">
        <v>71762</v>
      </c>
      <c r="T228" s="6">
        <v>486364</v>
      </c>
      <c r="U228" s="6">
        <v>278621</v>
      </c>
      <c r="V228" s="6">
        <v>207743</v>
      </c>
    </row>
    <row r="229" spans="1:22" x14ac:dyDescent="0.25">
      <c r="A229">
        <v>2024</v>
      </c>
      <c r="B229" s="1" t="s">
        <v>21</v>
      </c>
      <c r="C229" t="s">
        <v>57</v>
      </c>
      <c r="D229" s="1" t="s">
        <v>633</v>
      </c>
      <c r="E229" t="s">
        <v>308</v>
      </c>
      <c r="F229" s="6">
        <v>203577</v>
      </c>
      <c r="G229" s="6">
        <v>162223</v>
      </c>
      <c r="H229" s="6">
        <v>43569</v>
      </c>
      <c r="I229" s="6">
        <v>118654</v>
      </c>
      <c r="J229" s="6">
        <v>41354</v>
      </c>
      <c r="K229" s="6">
        <v>6153</v>
      </c>
      <c r="L229" s="6">
        <v>166161</v>
      </c>
      <c r="M229">
        <v>380</v>
      </c>
      <c r="N229">
        <v>97</v>
      </c>
      <c r="O229">
        <v>477</v>
      </c>
      <c r="P229" s="6">
        <v>20646</v>
      </c>
      <c r="Q229" s="6">
        <v>2256</v>
      </c>
      <c r="R229" s="6">
        <v>34115</v>
      </c>
      <c r="S229" s="6">
        <v>37497</v>
      </c>
      <c r="T229" s="6">
        <v>261152</v>
      </c>
      <c r="U229" s="6">
        <v>141936</v>
      </c>
      <c r="V229" s="6">
        <v>119216</v>
      </c>
    </row>
    <row r="230" spans="1:22" x14ac:dyDescent="0.25">
      <c r="A230">
        <v>2024</v>
      </c>
      <c r="B230" s="1" t="s">
        <v>18</v>
      </c>
      <c r="C230" t="s">
        <v>54</v>
      </c>
      <c r="D230" s="1" t="s">
        <v>634</v>
      </c>
      <c r="E230" t="s">
        <v>309</v>
      </c>
      <c r="F230" s="6">
        <v>781353</v>
      </c>
      <c r="G230" s="6">
        <v>632985</v>
      </c>
      <c r="H230" s="6">
        <v>124773</v>
      </c>
      <c r="I230" s="6">
        <v>508212</v>
      </c>
      <c r="J230" s="6">
        <v>148368</v>
      </c>
      <c r="K230">
        <v>0</v>
      </c>
      <c r="L230" s="6">
        <v>656580</v>
      </c>
      <c r="M230">
        <v>0</v>
      </c>
      <c r="N230">
        <v>0</v>
      </c>
      <c r="O230">
        <v>0</v>
      </c>
      <c r="P230" s="6">
        <v>66535</v>
      </c>
      <c r="Q230" s="6">
        <v>8344</v>
      </c>
      <c r="R230" s="6">
        <v>169990</v>
      </c>
      <c r="S230" s="6">
        <v>186731</v>
      </c>
      <c r="T230" s="6">
        <v>1088180</v>
      </c>
      <c r="U230" s="6">
        <v>583091</v>
      </c>
      <c r="V230" s="6">
        <v>505089</v>
      </c>
    </row>
    <row r="231" spans="1:22" x14ac:dyDescent="0.25">
      <c r="A231">
        <v>2024</v>
      </c>
      <c r="B231" s="1" t="s">
        <v>18</v>
      </c>
      <c r="C231" t="s">
        <v>54</v>
      </c>
      <c r="D231" s="1" t="s">
        <v>635</v>
      </c>
      <c r="E231" t="s">
        <v>310</v>
      </c>
      <c r="F231" s="6">
        <v>693430</v>
      </c>
      <c r="G231" s="6">
        <v>561758</v>
      </c>
      <c r="H231" s="6">
        <v>105800</v>
      </c>
      <c r="I231" s="6">
        <v>455958</v>
      </c>
      <c r="J231" s="6">
        <v>131672</v>
      </c>
      <c r="K231">
        <v>0</v>
      </c>
      <c r="L231" s="6">
        <v>587630</v>
      </c>
      <c r="M231">
        <v>0</v>
      </c>
      <c r="N231">
        <v>0</v>
      </c>
      <c r="O231">
        <v>0</v>
      </c>
      <c r="P231" s="6">
        <v>59048</v>
      </c>
      <c r="Q231" s="6">
        <v>7405</v>
      </c>
      <c r="R231" s="6">
        <v>119613</v>
      </c>
      <c r="S231" s="6">
        <v>131393</v>
      </c>
      <c r="T231" s="6">
        <v>905089</v>
      </c>
      <c r="U231" s="6">
        <v>522411</v>
      </c>
      <c r="V231" s="6">
        <v>382678</v>
      </c>
    </row>
    <row r="232" spans="1:22" x14ac:dyDescent="0.25">
      <c r="A232">
        <v>2024</v>
      </c>
      <c r="B232" s="1" t="s">
        <v>16</v>
      </c>
      <c r="C232" t="s">
        <v>52</v>
      </c>
      <c r="D232" s="1" t="s">
        <v>636</v>
      </c>
      <c r="E232" t="s">
        <v>311</v>
      </c>
      <c r="F232" s="6">
        <v>2008255</v>
      </c>
      <c r="G232" s="6">
        <v>1583097</v>
      </c>
      <c r="H232" s="6">
        <v>178615</v>
      </c>
      <c r="I232" s="6">
        <v>1404482</v>
      </c>
      <c r="J232" s="6">
        <v>425158</v>
      </c>
      <c r="K232">
        <v>0</v>
      </c>
      <c r="L232" s="6">
        <v>1829640</v>
      </c>
      <c r="M232">
        <v>0</v>
      </c>
      <c r="N232">
        <v>0</v>
      </c>
      <c r="O232">
        <v>0</v>
      </c>
      <c r="P232" s="6">
        <v>184515</v>
      </c>
      <c r="Q232" s="6">
        <v>21648</v>
      </c>
      <c r="R232" s="6">
        <v>352604</v>
      </c>
      <c r="S232" s="6">
        <v>385316</v>
      </c>
      <c r="T232" s="6">
        <v>2773723</v>
      </c>
      <c r="U232" s="6">
        <v>1610645</v>
      </c>
      <c r="V232" s="6">
        <v>1163078</v>
      </c>
    </row>
    <row r="233" spans="1:22" x14ac:dyDescent="0.25">
      <c r="A233">
        <v>2024</v>
      </c>
      <c r="B233" s="1" t="s">
        <v>18</v>
      </c>
      <c r="C233" t="s">
        <v>54</v>
      </c>
      <c r="D233" s="1" t="s">
        <v>637</v>
      </c>
      <c r="E233" t="s">
        <v>312</v>
      </c>
      <c r="F233" s="6">
        <v>264615</v>
      </c>
      <c r="G233" s="6">
        <v>214368</v>
      </c>
      <c r="H233" s="6">
        <v>40018</v>
      </c>
      <c r="I233" s="6">
        <v>174350</v>
      </c>
      <c r="J233" s="6">
        <v>50247</v>
      </c>
      <c r="K233">
        <v>0</v>
      </c>
      <c r="L233" s="6">
        <v>224597</v>
      </c>
      <c r="M233">
        <v>0</v>
      </c>
      <c r="N233">
        <v>0</v>
      </c>
      <c r="O233">
        <v>0</v>
      </c>
      <c r="P233" s="6">
        <v>22533</v>
      </c>
      <c r="Q233" s="6">
        <v>2826</v>
      </c>
      <c r="R233" s="6">
        <v>44235</v>
      </c>
      <c r="S233" s="6">
        <v>48591</v>
      </c>
      <c r="T233" s="6">
        <v>342782</v>
      </c>
      <c r="U233" s="6">
        <v>199709</v>
      </c>
      <c r="V233" s="6">
        <v>143073</v>
      </c>
    </row>
    <row r="234" spans="1:22" x14ac:dyDescent="0.25">
      <c r="A234">
        <v>2024</v>
      </c>
      <c r="B234" s="1" t="s">
        <v>14</v>
      </c>
      <c r="C234" t="s">
        <v>50</v>
      </c>
      <c r="D234" s="1" t="s">
        <v>638</v>
      </c>
      <c r="E234" t="s">
        <v>313</v>
      </c>
      <c r="F234" s="6">
        <v>263237</v>
      </c>
      <c r="G234" s="6">
        <v>202084</v>
      </c>
      <c r="H234" s="6">
        <v>68434</v>
      </c>
      <c r="I234" s="6">
        <v>133650</v>
      </c>
      <c r="J234" s="6">
        <v>61153</v>
      </c>
      <c r="K234" s="6">
        <v>2810</v>
      </c>
      <c r="L234" s="6">
        <v>197613</v>
      </c>
      <c r="M234">
        <v>0</v>
      </c>
      <c r="N234">
        <v>0</v>
      </c>
      <c r="O234">
        <v>0</v>
      </c>
      <c r="P234" s="6">
        <v>27886</v>
      </c>
      <c r="Q234" s="6">
        <v>3314</v>
      </c>
      <c r="R234" s="6">
        <v>46640</v>
      </c>
      <c r="S234" s="6">
        <v>52242</v>
      </c>
      <c r="T234" s="6">
        <v>327695</v>
      </c>
      <c r="U234" s="6">
        <v>164850</v>
      </c>
      <c r="V234" s="6">
        <v>162845</v>
      </c>
    </row>
    <row r="235" spans="1:22" x14ac:dyDescent="0.25">
      <c r="A235">
        <v>2024</v>
      </c>
      <c r="B235" s="1" t="s">
        <v>13</v>
      </c>
      <c r="C235" t="s">
        <v>49</v>
      </c>
      <c r="D235" s="1" t="s">
        <v>639</v>
      </c>
      <c r="E235" t="s">
        <v>314</v>
      </c>
      <c r="F235" s="6">
        <v>271730</v>
      </c>
      <c r="G235" s="6">
        <v>206057</v>
      </c>
      <c r="H235" s="6">
        <v>40336</v>
      </c>
      <c r="I235" s="6">
        <v>165721</v>
      </c>
      <c r="J235" s="6">
        <v>65673</v>
      </c>
      <c r="K235" s="6">
        <v>3692</v>
      </c>
      <c r="L235" s="6">
        <v>235086</v>
      </c>
      <c r="M235">
        <v>552</v>
      </c>
      <c r="N235">
        <v>176</v>
      </c>
      <c r="O235">
        <v>728</v>
      </c>
      <c r="P235" s="6">
        <v>26905</v>
      </c>
      <c r="Q235" s="6">
        <v>2919</v>
      </c>
      <c r="R235" s="6">
        <v>43458</v>
      </c>
      <c r="S235" s="6">
        <v>48414</v>
      </c>
      <c r="T235" s="6">
        <v>357510</v>
      </c>
      <c r="U235" s="6">
        <v>196097</v>
      </c>
      <c r="V235" s="6">
        <v>161413</v>
      </c>
    </row>
    <row r="236" spans="1:22" x14ac:dyDescent="0.25">
      <c r="A236">
        <v>2024</v>
      </c>
      <c r="B236" s="1" t="s">
        <v>20</v>
      </c>
      <c r="C236" t="s">
        <v>56</v>
      </c>
      <c r="D236" s="1" t="s">
        <v>640</v>
      </c>
      <c r="E236" t="s">
        <v>315</v>
      </c>
      <c r="F236" s="6">
        <v>389481</v>
      </c>
      <c r="G236" s="6">
        <v>307908</v>
      </c>
      <c r="H236" s="6">
        <v>81514</v>
      </c>
      <c r="I236" s="6">
        <v>226394</v>
      </c>
      <c r="J236" s="6">
        <v>81573</v>
      </c>
      <c r="K236" s="6">
        <v>5066</v>
      </c>
      <c r="L236" s="6">
        <v>313033</v>
      </c>
      <c r="M236">
        <v>644</v>
      </c>
      <c r="N236">
        <v>171</v>
      </c>
      <c r="O236">
        <v>815</v>
      </c>
      <c r="P236" s="6">
        <v>40511</v>
      </c>
      <c r="Q236" s="6">
        <v>4357</v>
      </c>
      <c r="R236" s="6">
        <v>64346</v>
      </c>
      <c r="S236" s="6">
        <v>71136</v>
      </c>
      <c r="T236" s="6">
        <v>494198</v>
      </c>
      <c r="U236" s="6">
        <v>271907</v>
      </c>
      <c r="V236" s="6">
        <v>222291</v>
      </c>
    </row>
    <row r="237" spans="1:22" x14ac:dyDescent="0.25">
      <c r="A237">
        <v>2024</v>
      </c>
      <c r="B237" s="1" t="s">
        <v>19</v>
      </c>
      <c r="C237" t="s">
        <v>55</v>
      </c>
      <c r="D237" s="1" t="s">
        <v>641</v>
      </c>
      <c r="E237" t="s">
        <v>316</v>
      </c>
      <c r="F237" s="6">
        <v>134410</v>
      </c>
      <c r="G237" s="6">
        <v>104206</v>
      </c>
      <c r="H237" s="6">
        <v>31912</v>
      </c>
      <c r="I237" s="6">
        <v>72294</v>
      </c>
      <c r="J237" s="6">
        <v>30204</v>
      </c>
      <c r="K237">
        <v>0</v>
      </c>
      <c r="L237" s="6">
        <v>102498</v>
      </c>
      <c r="M237">
        <v>201</v>
      </c>
      <c r="N237">
        <v>58</v>
      </c>
      <c r="O237">
        <v>259</v>
      </c>
      <c r="P237" s="6">
        <v>13543</v>
      </c>
      <c r="Q237" s="6">
        <v>1614</v>
      </c>
      <c r="R237" s="6">
        <v>31662</v>
      </c>
      <c r="S237" s="6">
        <v>35455</v>
      </c>
      <c r="T237" s="6">
        <v>185031</v>
      </c>
      <c r="U237" s="6">
        <v>87652</v>
      </c>
      <c r="V237" s="6">
        <v>97379</v>
      </c>
    </row>
    <row r="238" spans="1:22" x14ac:dyDescent="0.25">
      <c r="A238">
        <v>2024</v>
      </c>
      <c r="B238" s="1" t="s">
        <v>13</v>
      </c>
      <c r="C238" t="s">
        <v>49</v>
      </c>
      <c r="D238" s="1" t="s">
        <v>642</v>
      </c>
      <c r="E238" t="s">
        <v>317</v>
      </c>
      <c r="F238" s="6">
        <v>128547</v>
      </c>
      <c r="G238" s="6">
        <v>97479</v>
      </c>
      <c r="H238" s="6">
        <v>27973</v>
      </c>
      <c r="I238" s="6">
        <v>69506</v>
      </c>
      <c r="J238" s="6">
        <v>31068</v>
      </c>
      <c r="K238">
        <v>0</v>
      </c>
      <c r="L238" s="6">
        <v>100574</v>
      </c>
      <c r="M238">
        <v>261</v>
      </c>
      <c r="N238">
        <v>84</v>
      </c>
      <c r="O238">
        <v>345</v>
      </c>
      <c r="P238" s="6">
        <v>12728</v>
      </c>
      <c r="Q238" s="6">
        <v>1381</v>
      </c>
      <c r="R238" s="6">
        <v>20730</v>
      </c>
      <c r="S238" s="6">
        <v>23094</v>
      </c>
      <c r="T238" s="6">
        <v>158852</v>
      </c>
      <c r="U238" s="6">
        <v>83877</v>
      </c>
      <c r="V238" s="6">
        <v>74975</v>
      </c>
    </row>
    <row r="239" spans="1:22" x14ac:dyDescent="0.25">
      <c r="A239">
        <v>2024</v>
      </c>
      <c r="B239" s="1" t="s">
        <v>19</v>
      </c>
      <c r="C239" t="s">
        <v>55</v>
      </c>
      <c r="D239" s="1" t="s">
        <v>643</v>
      </c>
      <c r="E239" t="s">
        <v>318</v>
      </c>
      <c r="F239" s="6">
        <v>149216</v>
      </c>
      <c r="G239" s="6">
        <v>115685</v>
      </c>
      <c r="H239" s="6">
        <v>32591</v>
      </c>
      <c r="I239" s="6">
        <v>83094</v>
      </c>
      <c r="J239" s="6">
        <v>33531</v>
      </c>
      <c r="K239">
        <v>74</v>
      </c>
      <c r="L239" s="6">
        <v>116699</v>
      </c>
      <c r="M239">
        <v>222</v>
      </c>
      <c r="N239">
        <v>64</v>
      </c>
      <c r="O239">
        <v>286</v>
      </c>
      <c r="P239" s="6">
        <v>15035</v>
      </c>
      <c r="Q239" s="6">
        <v>1792</v>
      </c>
      <c r="R239" s="6">
        <v>23419</v>
      </c>
      <c r="S239" s="6">
        <v>26224</v>
      </c>
      <c r="T239" s="6">
        <v>183455</v>
      </c>
      <c r="U239" s="6">
        <v>100143</v>
      </c>
      <c r="V239" s="6">
        <v>83312</v>
      </c>
    </row>
    <row r="240" spans="1:22" x14ac:dyDescent="0.25">
      <c r="A240">
        <v>2024</v>
      </c>
      <c r="B240" s="1" t="s">
        <v>20</v>
      </c>
      <c r="C240" t="s">
        <v>56</v>
      </c>
      <c r="D240" s="1" t="s">
        <v>644</v>
      </c>
      <c r="E240" t="s">
        <v>319</v>
      </c>
      <c r="F240" s="6">
        <v>269994</v>
      </c>
      <c r="G240" s="6">
        <v>213447</v>
      </c>
      <c r="H240" s="6">
        <v>43542</v>
      </c>
      <c r="I240" s="6">
        <v>169905</v>
      </c>
      <c r="J240" s="6">
        <v>56547</v>
      </c>
      <c r="K240">
        <v>0</v>
      </c>
      <c r="L240" s="6">
        <v>226452</v>
      </c>
      <c r="M240">
        <v>446</v>
      </c>
      <c r="N240">
        <v>118</v>
      </c>
      <c r="O240">
        <v>564</v>
      </c>
      <c r="P240" s="6">
        <v>27724</v>
      </c>
      <c r="Q240" s="6">
        <v>2991</v>
      </c>
      <c r="R240" s="6">
        <v>44638</v>
      </c>
      <c r="S240" s="6">
        <v>49348</v>
      </c>
      <c r="T240" s="6">
        <v>351717</v>
      </c>
      <c r="U240" s="6">
        <v>201066</v>
      </c>
      <c r="V240" s="6">
        <v>150651</v>
      </c>
    </row>
    <row r="241" spans="1:22" x14ac:dyDescent="0.25">
      <c r="A241">
        <v>2024</v>
      </c>
      <c r="B241" s="1" t="s">
        <v>19</v>
      </c>
      <c r="C241" t="s">
        <v>55</v>
      </c>
      <c r="D241" s="1" t="s">
        <v>645</v>
      </c>
      <c r="E241" t="s">
        <v>320</v>
      </c>
      <c r="F241" s="6">
        <v>316571</v>
      </c>
      <c r="G241" s="6">
        <v>245433</v>
      </c>
      <c r="H241" s="6">
        <v>37632</v>
      </c>
      <c r="I241" s="6">
        <v>207801</v>
      </c>
      <c r="J241" s="6">
        <v>71138</v>
      </c>
      <c r="K241">
        <v>0</v>
      </c>
      <c r="L241" s="6">
        <v>278939</v>
      </c>
      <c r="M241">
        <v>473</v>
      </c>
      <c r="N241">
        <v>137</v>
      </c>
      <c r="O241">
        <v>610</v>
      </c>
      <c r="P241" s="6">
        <v>31897</v>
      </c>
      <c r="Q241" s="6">
        <v>3802</v>
      </c>
      <c r="R241" s="6">
        <v>80998</v>
      </c>
      <c r="S241" s="6">
        <v>90699</v>
      </c>
      <c r="T241" s="6">
        <v>486945</v>
      </c>
      <c r="U241" s="6">
        <v>243972</v>
      </c>
      <c r="V241" s="6">
        <v>242973</v>
      </c>
    </row>
    <row r="242" spans="1:22" x14ac:dyDescent="0.25">
      <c r="A242">
        <v>2024</v>
      </c>
      <c r="B242" s="1" t="s">
        <v>18</v>
      </c>
      <c r="C242" t="s">
        <v>54</v>
      </c>
      <c r="D242" s="1" t="s">
        <v>646</v>
      </c>
      <c r="E242" t="s">
        <v>321</v>
      </c>
      <c r="F242" s="6">
        <v>355887</v>
      </c>
      <c r="G242" s="6">
        <v>288309</v>
      </c>
      <c r="H242" s="6">
        <v>62065</v>
      </c>
      <c r="I242" s="6">
        <v>226244</v>
      </c>
      <c r="J242" s="6">
        <v>67578</v>
      </c>
      <c r="K242">
        <v>0</v>
      </c>
      <c r="L242" s="6">
        <v>293822</v>
      </c>
      <c r="M242">
        <v>0</v>
      </c>
      <c r="N242">
        <v>0</v>
      </c>
      <c r="O242">
        <v>0</v>
      </c>
      <c r="P242" s="6">
        <v>30305</v>
      </c>
      <c r="Q242" s="6">
        <v>3800</v>
      </c>
      <c r="R242" s="6">
        <v>62474</v>
      </c>
      <c r="S242" s="6">
        <v>68627</v>
      </c>
      <c r="T242" s="6">
        <v>459028</v>
      </c>
      <c r="U242" s="6">
        <v>260349</v>
      </c>
      <c r="V242" s="6">
        <v>198679</v>
      </c>
    </row>
    <row r="243" spans="1:22" x14ac:dyDescent="0.25">
      <c r="A243">
        <v>2024</v>
      </c>
      <c r="B243" s="1" t="s">
        <v>15</v>
      </c>
      <c r="C243" t="s">
        <v>51</v>
      </c>
      <c r="D243" s="1" t="s">
        <v>647</v>
      </c>
      <c r="E243" t="s">
        <v>322</v>
      </c>
      <c r="F243" s="6">
        <v>165696</v>
      </c>
      <c r="G243" s="6">
        <v>129703</v>
      </c>
      <c r="H243" s="6">
        <v>38715</v>
      </c>
      <c r="I243" s="6">
        <v>90988</v>
      </c>
      <c r="J243" s="6">
        <v>35993</v>
      </c>
      <c r="K243">
        <v>0</v>
      </c>
      <c r="L243" s="6">
        <v>126981</v>
      </c>
      <c r="M243">
        <v>164</v>
      </c>
      <c r="N243">
        <v>45</v>
      </c>
      <c r="O243">
        <v>209</v>
      </c>
      <c r="P243" s="6">
        <v>20487</v>
      </c>
      <c r="Q243" s="6">
        <v>2358</v>
      </c>
      <c r="R243" s="6">
        <v>27050</v>
      </c>
      <c r="S243" s="6">
        <v>30158</v>
      </c>
      <c r="T243" s="6">
        <v>207243</v>
      </c>
      <c r="U243" s="6">
        <v>113997</v>
      </c>
      <c r="V243" s="6">
        <v>93246</v>
      </c>
    </row>
    <row r="244" spans="1:22" x14ac:dyDescent="0.25">
      <c r="A244">
        <v>2024</v>
      </c>
      <c r="B244" s="1" t="s">
        <v>14</v>
      </c>
      <c r="C244" t="s">
        <v>50</v>
      </c>
      <c r="D244" s="1" t="s">
        <v>648</v>
      </c>
      <c r="E244" t="s">
        <v>323</v>
      </c>
      <c r="F244" s="6">
        <v>77272</v>
      </c>
      <c r="G244" s="6">
        <v>59321</v>
      </c>
      <c r="H244" s="6">
        <v>17227</v>
      </c>
      <c r="I244" s="6">
        <v>42094</v>
      </c>
      <c r="J244" s="6">
        <v>17951</v>
      </c>
      <c r="K244" s="6">
        <v>9203</v>
      </c>
      <c r="L244" s="6">
        <v>69248</v>
      </c>
      <c r="M244">
        <v>0</v>
      </c>
      <c r="N244">
        <v>0</v>
      </c>
      <c r="O244">
        <v>0</v>
      </c>
      <c r="P244" s="6">
        <v>8332</v>
      </c>
      <c r="Q244">
        <v>990</v>
      </c>
      <c r="R244" s="6">
        <v>12504</v>
      </c>
      <c r="S244" s="6">
        <v>14006</v>
      </c>
      <c r="T244" s="6">
        <v>105080</v>
      </c>
      <c r="U244" s="6">
        <v>51416</v>
      </c>
      <c r="V244" s="6">
        <v>53664</v>
      </c>
    </row>
    <row r="245" spans="1:22" x14ac:dyDescent="0.25">
      <c r="A245">
        <v>2024</v>
      </c>
      <c r="B245" s="1" t="s">
        <v>18</v>
      </c>
      <c r="C245" t="s">
        <v>54</v>
      </c>
      <c r="D245" s="1" t="s">
        <v>649</v>
      </c>
      <c r="E245" t="s">
        <v>324</v>
      </c>
      <c r="F245" s="6">
        <v>391467</v>
      </c>
      <c r="G245" s="6">
        <v>317133</v>
      </c>
      <c r="H245" s="6">
        <v>86996</v>
      </c>
      <c r="I245" s="6">
        <v>230137</v>
      </c>
      <c r="J245" s="6">
        <v>74334</v>
      </c>
      <c r="K245">
        <v>0</v>
      </c>
      <c r="L245" s="6">
        <v>304471</v>
      </c>
      <c r="M245">
        <v>0</v>
      </c>
      <c r="N245">
        <v>0</v>
      </c>
      <c r="O245">
        <v>0</v>
      </c>
      <c r="P245" s="6">
        <v>33335</v>
      </c>
      <c r="Q245" s="6">
        <v>4180</v>
      </c>
      <c r="R245" s="6">
        <v>69919</v>
      </c>
      <c r="S245" s="6">
        <v>76805</v>
      </c>
      <c r="T245" s="6">
        <v>488710</v>
      </c>
      <c r="U245" s="6">
        <v>267652</v>
      </c>
      <c r="V245" s="6">
        <v>221058</v>
      </c>
    </row>
    <row r="246" spans="1:22" x14ac:dyDescent="0.25">
      <c r="A246">
        <v>2024</v>
      </c>
      <c r="B246" s="1" t="s">
        <v>14</v>
      </c>
      <c r="C246" t="s">
        <v>50</v>
      </c>
      <c r="D246" s="1" t="s">
        <v>650</v>
      </c>
      <c r="E246" t="s">
        <v>325</v>
      </c>
      <c r="F246" s="6">
        <v>138275</v>
      </c>
      <c r="G246" s="6">
        <v>106152</v>
      </c>
      <c r="H246" s="6">
        <v>31176</v>
      </c>
      <c r="I246" s="6">
        <v>74976</v>
      </c>
      <c r="J246" s="6">
        <v>32123</v>
      </c>
      <c r="K246" s="6">
        <v>3817</v>
      </c>
      <c r="L246" s="6">
        <v>110916</v>
      </c>
      <c r="M246">
        <v>0</v>
      </c>
      <c r="N246">
        <v>0</v>
      </c>
      <c r="O246">
        <v>0</v>
      </c>
      <c r="P246" s="6">
        <v>15065</v>
      </c>
      <c r="Q246" s="6">
        <v>1790</v>
      </c>
      <c r="R246" s="6">
        <v>23132</v>
      </c>
      <c r="S246" s="6">
        <v>25911</v>
      </c>
      <c r="T246" s="6">
        <v>176814</v>
      </c>
      <c r="U246" s="6">
        <v>91831</v>
      </c>
      <c r="V246" s="6">
        <v>84983</v>
      </c>
    </row>
    <row r="247" spans="1:22" x14ac:dyDescent="0.25">
      <c r="A247">
        <v>2024</v>
      </c>
      <c r="B247" s="1" t="s">
        <v>19</v>
      </c>
      <c r="C247" t="s">
        <v>55</v>
      </c>
      <c r="D247" s="1" t="s">
        <v>651</v>
      </c>
      <c r="E247" t="s">
        <v>326</v>
      </c>
      <c r="F247" s="6">
        <v>85552</v>
      </c>
      <c r="G247" s="6">
        <v>66327</v>
      </c>
      <c r="H247" s="6">
        <v>18327</v>
      </c>
      <c r="I247" s="6">
        <v>48000</v>
      </c>
      <c r="J247" s="6">
        <v>19225</v>
      </c>
      <c r="K247" s="6">
        <v>19407</v>
      </c>
      <c r="L247" s="6">
        <v>86632</v>
      </c>
      <c r="M247">
        <v>127</v>
      </c>
      <c r="N247">
        <v>36</v>
      </c>
      <c r="O247">
        <v>163</v>
      </c>
      <c r="P247" s="6">
        <v>8789</v>
      </c>
      <c r="Q247" s="6">
        <v>1047</v>
      </c>
      <c r="R247" s="6">
        <v>13739</v>
      </c>
      <c r="S247" s="6">
        <v>15385</v>
      </c>
      <c r="T247" s="6">
        <v>125755</v>
      </c>
      <c r="U247" s="6">
        <v>57963</v>
      </c>
      <c r="V247" s="6">
        <v>67792</v>
      </c>
    </row>
    <row r="248" spans="1:22" x14ac:dyDescent="0.25">
      <c r="A248">
        <v>2024</v>
      </c>
      <c r="B248" s="1" t="s">
        <v>19</v>
      </c>
      <c r="C248" t="s">
        <v>55</v>
      </c>
      <c r="D248" s="1" t="s">
        <v>652</v>
      </c>
      <c r="E248" t="s">
        <v>327</v>
      </c>
      <c r="F248" s="6">
        <v>556144</v>
      </c>
      <c r="G248" s="6">
        <v>431170</v>
      </c>
      <c r="H248" s="6">
        <v>74294</v>
      </c>
      <c r="I248" s="6">
        <v>356876</v>
      </c>
      <c r="J248" s="6">
        <v>124974</v>
      </c>
      <c r="K248">
        <v>0</v>
      </c>
      <c r="L248" s="6">
        <v>481850</v>
      </c>
      <c r="M248">
        <v>832</v>
      </c>
      <c r="N248">
        <v>241</v>
      </c>
      <c r="O248" s="6">
        <v>1073</v>
      </c>
      <c r="P248" s="6">
        <v>56036</v>
      </c>
      <c r="Q248" s="6">
        <v>6680</v>
      </c>
      <c r="R248" s="6">
        <v>90740</v>
      </c>
      <c r="S248" s="6">
        <v>101608</v>
      </c>
      <c r="T248" s="6">
        <v>737987</v>
      </c>
      <c r="U248" s="6">
        <v>420424</v>
      </c>
      <c r="V248" s="6">
        <v>317563</v>
      </c>
    </row>
    <row r="249" spans="1:22" x14ac:dyDescent="0.25">
      <c r="A249">
        <v>2024</v>
      </c>
      <c r="B249" s="1" t="s">
        <v>21</v>
      </c>
      <c r="C249" t="s">
        <v>57</v>
      </c>
      <c r="D249" s="1" t="s">
        <v>653</v>
      </c>
      <c r="E249" t="s">
        <v>328</v>
      </c>
      <c r="F249" s="6">
        <v>84014</v>
      </c>
      <c r="G249" s="6">
        <v>66948</v>
      </c>
      <c r="H249" s="6">
        <v>21565</v>
      </c>
      <c r="I249" s="6">
        <v>45383</v>
      </c>
      <c r="J249" s="6">
        <v>17066</v>
      </c>
      <c r="K249" s="6">
        <v>8885</v>
      </c>
      <c r="L249" s="6">
        <v>71334</v>
      </c>
      <c r="M249">
        <v>156</v>
      </c>
      <c r="N249">
        <v>39</v>
      </c>
      <c r="O249">
        <v>195</v>
      </c>
      <c r="P249" s="6">
        <v>9009</v>
      </c>
      <c r="Q249">
        <v>985</v>
      </c>
      <c r="R249" s="6">
        <v>14727</v>
      </c>
      <c r="S249" s="6">
        <v>16187</v>
      </c>
      <c r="T249" s="6">
        <v>112437</v>
      </c>
      <c r="U249" s="6">
        <v>55533</v>
      </c>
      <c r="V249" s="6">
        <v>56904</v>
      </c>
    </row>
    <row r="250" spans="1:22" x14ac:dyDescent="0.25">
      <c r="A250">
        <v>2024</v>
      </c>
      <c r="B250" s="1" t="s">
        <v>19</v>
      </c>
      <c r="C250" t="s">
        <v>55</v>
      </c>
      <c r="D250" s="1" t="s">
        <v>654</v>
      </c>
      <c r="E250" t="s">
        <v>329</v>
      </c>
      <c r="F250" s="6">
        <v>427788</v>
      </c>
      <c r="G250" s="6">
        <v>331658</v>
      </c>
      <c r="H250" s="6">
        <v>69819</v>
      </c>
      <c r="I250" s="6">
        <v>261839</v>
      </c>
      <c r="J250" s="6">
        <v>96130</v>
      </c>
      <c r="K250">
        <v>0</v>
      </c>
      <c r="L250" s="6">
        <v>357969</v>
      </c>
      <c r="M250">
        <v>639</v>
      </c>
      <c r="N250">
        <v>185</v>
      </c>
      <c r="O250">
        <v>824</v>
      </c>
      <c r="P250" s="6">
        <v>43103</v>
      </c>
      <c r="Q250" s="6">
        <v>5138</v>
      </c>
      <c r="R250" s="6">
        <v>79749</v>
      </c>
      <c r="S250" s="6">
        <v>89301</v>
      </c>
      <c r="T250" s="6">
        <v>576084</v>
      </c>
      <c r="U250" s="6">
        <v>310719</v>
      </c>
      <c r="V250" s="6">
        <v>265365</v>
      </c>
    </row>
    <row r="251" spans="1:22" x14ac:dyDescent="0.25">
      <c r="A251">
        <v>2024</v>
      </c>
      <c r="B251" s="1" t="s">
        <v>20</v>
      </c>
      <c r="C251" t="s">
        <v>56</v>
      </c>
      <c r="D251" s="1" t="s">
        <v>655</v>
      </c>
      <c r="E251" t="s">
        <v>330</v>
      </c>
      <c r="F251" s="6">
        <v>394012</v>
      </c>
      <c r="G251" s="6">
        <v>311491</v>
      </c>
      <c r="H251" s="6">
        <v>75256</v>
      </c>
      <c r="I251" s="6">
        <v>236235</v>
      </c>
      <c r="J251" s="6">
        <v>82521</v>
      </c>
      <c r="K251">
        <v>0</v>
      </c>
      <c r="L251" s="6">
        <v>318756</v>
      </c>
      <c r="M251">
        <v>652</v>
      </c>
      <c r="N251">
        <v>173</v>
      </c>
      <c r="O251">
        <v>825</v>
      </c>
      <c r="P251" s="6">
        <v>40458</v>
      </c>
      <c r="Q251" s="6">
        <v>4366</v>
      </c>
      <c r="R251" s="6">
        <v>65838</v>
      </c>
      <c r="S251" s="6">
        <v>72785</v>
      </c>
      <c r="T251" s="6">
        <v>503028</v>
      </c>
      <c r="U251" s="6">
        <v>281711</v>
      </c>
      <c r="V251" s="6">
        <v>221317</v>
      </c>
    </row>
    <row r="252" spans="1:22" x14ac:dyDescent="0.25">
      <c r="A252">
        <v>2024</v>
      </c>
      <c r="B252" s="1" t="s">
        <v>19</v>
      </c>
      <c r="C252" t="s">
        <v>55</v>
      </c>
      <c r="D252" s="1" t="s">
        <v>656</v>
      </c>
      <c r="E252" t="s">
        <v>331</v>
      </c>
      <c r="F252" s="6">
        <v>260709</v>
      </c>
      <c r="G252" s="6">
        <v>202124</v>
      </c>
      <c r="H252" s="6">
        <v>57729</v>
      </c>
      <c r="I252" s="6">
        <v>144395</v>
      </c>
      <c r="J252" s="6">
        <v>58585</v>
      </c>
      <c r="K252">
        <v>0</v>
      </c>
      <c r="L252" s="6">
        <v>202980</v>
      </c>
      <c r="M252">
        <v>388</v>
      </c>
      <c r="N252">
        <v>113</v>
      </c>
      <c r="O252">
        <v>501</v>
      </c>
      <c r="P252" s="6">
        <v>26268</v>
      </c>
      <c r="Q252" s="6">
        <v>3131</v>
      </c>
      <c r="R252" s="6">
        <v>44402</v>
      </c>
      <c r="S252" s="6">
        <v>49720</v>
      </c>
      <c r="T252" s="6">
        <v>327002</v>
      </c>
      <c r="U252" s="6">
        <v>174182</v>
      </c>
      <c r="V252" s="6">
        <v>152820</v>
      </c>
    </row>
    <row r="253" spans="1:22" x14ac:dyDescent="0.25">
      <c r="A253">
        <v>2024</v>
      </c>
      <c r="B253" s="1" t="s">
        <v>20</v>
      </c>
      <c r="C253" t="s">
        <v>56</v>
      </c>
      <c r="D253" s="1" t="s">
        <v>657</v>
      </c>
      <c r="E253" t="s">
        <v>332</v>
      </c>
      <c r="F253" s="6">
        <v>148510</v>
      </c>
      <c r="G253" s="6">
        <v>117406</v>
      </c>
      <c r="H253" s="6">
        <v>29473</v>
      </c>
      <c r="I253" s="6">
        <v>87933</v>
      </c>
      <c r="J253" s="6">
        <v>31104</v>
      </c>
      <c r="K253">
        <v>0</v>
      </c>
      <c r="L253" s="6">
        <v>119037</v>
      </c>
      <c r="M253">
        <v>246</v>
      </c>
      <c r="N253">
        <v>65</v>
      </c>
      <c r="O253">
        <v>311</v>
      </c>
      <c r="P253" s="6">
        <v>15249</v>
      </c>
      <c r="Q253" s="6">
        <v>1645</v>
      </c>
      <c r="R253" s="6">
        <v>23998</v>
      </c>
      <c r="S253" s="6">
        <v>26530</v>
      </c>
      <c r="T253" s="6">
        <v>186770</v>
      </c>
      <c r="U253" s="6">
        <v>105073</v>
      </c>
      <c r="V253" s="6">
        <v>81697</v>
      </c>
    </row>
    <row r="254" spans="1:22" x14ac:dyDescent="0.25">
      <c r="A254">
        <v>2024</v>
      </c>
      <c r="B254" s="1" t="s">
        <v>21</v>
      </c>
      <c r="C254" t="s">
        <v>57</v>
      </c>
      <c r="D254" s="1" t="s">
        <v>658</v>
      </c>
      <c r="E254" t="s">
        <v>333</v>
      </c>
      <c r="F254" s="6">
        <v>201951</v>
      </c>
      <c r="G254" s="6">
        <v>160926</v>
      </c>
      <c r="H254" s="6">
        <v>42887</v>
      </c>
      <c r="I254" s="6">
        <v>118039</v>
      </c>
      <c r="J254" s="6">
        <v>41025</v>
      </c>
      <c r="K254">
        <v>0</v>
      </c>
      <c r="L254" s="6">
        <v>159064</v>
      </c>
      <c r="M254">
        <v>378</v>
      </c>
      <c r="N254">
        <v>96</v>
      </c>
      <c r="O254">
        <v>474</v>
      </c>
      <c r="P254" s="6">
        <v>20299</v>
      </c>
      <c r="Q254" s="6">
        <v>2225</v>
      </c>
      <c r="R254" s="6">
        <v>34301</v>
      </c>
      <c r="S254" s="6">
        <v>37702</v>
      </c>
      <c r="T254" s="6">
        <v>254065</v>
      </c>
      <c r="U254" s="6">
        <v>140941</v>
      </c>
      <c r="V254" s="6">
        <v>113124</v>
      </c>
    </row>
    <row r="255" spans="1:22" x14ac:dyDescent="0.25">
      <c r="A255">
        <v>2024</v>
      </c>
      <c r="B255" s="1" t="s">
        <v>19</v>
      </c>
      <c r="C255" t="s">
        <v>55</v>
      </c>
      <c r="D255" s="1" t="s">
        <v>659</v>
      </c>
      <c r="E255" t="s">
        <v>334</v>
      </c>
      <c r="F255" s="6">
        <v>574709</v>
      </c>
      <c r="G255" s="6">
        <v>445563</v>
      </c>
      <c r="H255" s="6">
        <v>63519</v>
      </c>
      <c r="I255" s="6">
        <v>382044</v>
      </c>
      <c r="J255" s="6">
        <v>129146</v>
      </c>
      <c r="K255">
        <v>0</v>
      </c>
      <c r="L255" s="6">
        <v>511190</v>
      </c>
      <c r="M255">
        <v>858</v>
      </c>
      <c r="N255">
        <v>249</v>
      </c>
      <c r="O255" s="6">
        <v>1107</v>
      </c>
      <c r="P255" s="6">
        <v>57906</v>
      </c>
      <c r="Q255" s="6">
        <v>6903</v>
      </c>
      <c r="R255" s="6">
        <v>138327</v>
      </c>
      <c r="S255" s="6">
        <v>154895</v>
      </c>
      <c r="T255" s="6">
        <v>870328</v>
      </c>
      <c r="U255" s="6">
        <v>447711</v>
      </c>
      <c r="V255" s="6">
        <v>422617</v>
      </c>
    </row>
    <row r="256" spans="1:22" x14ac:dyDescent="0.25">
      <c r="A256">
        <v>2024</v>
      </c>
      <c r="B256" s="1" t="s">
        <v>14</v>
      </c>
      <c r="C256" t="s">
        <v>50</v>
      </c>
      <c r="D256" s="1" t="s">
        <v>660</v>
      </c>
      <c r="E256" t="s">
        <v>335</v>
      </c>
      <c r="F256" s="6">
        <v>174576</v>
      </c>
      <c r="G256" s="6">
        <v>134020</v>
      </c>
      <c r="H256" s="6">
        <v>38279</v>
      </c>
      <c r="I256" s="6">
        <v>95741</v>
      </c>
      <c r="J256" s="6">
        <v>40556</v>
      </c>
      <c r="K256">
        <v>0</v>
      </c>
      <c r="L256" s="6">
        <v>136297</v>
      </c>
      <c r="M256">
        <v>0</v>
      </c>
      <c r="N256">
        <v>0</v>
      </c>
      <c r="O256">
        <v>0</v>
      </c>
      <c r="P256" s="6">
        <v>18494</v>
      </c>
      <c r="Q256" s="6">
        <v>2198</v>
      </c>
      <c r="R256" s="6">
        <v>28009</v>
      </c>
      <c r="S256" s="6">
        <v>31373</v>
      </c>
      <c r="T256" s="6">
        <v>216371</v>
      </c>
      <c r="U256" s="6">
        <v>116433</v>
      </c>
      <c r="V256" s="6">
        <v>99938</v>
      </c>
    </row>
    <row r="257" spans="1:22" x14ac:dyDescent="0.25">
      <c r="A257">
        <v>2024</v>
      </c>
      <c r="B257" s="1" t="s">
        <v>19</v>
      </c>
      <c r="C257" t="s">
        <v>55</v>
      </c>
      <c r="D257" s="1" t="s">
        <v>661</v>
      </c>
      <c r="E257" t="s">
        <v>336</v>
      </c>
      <c r="F257" s="6">
        <v>5872594</v>
      </c>
      <c r="G257" s="6">
        <v>4552933</v>
      </c>
      <c r="H257" s="6">
        <v>892151</v>
      </c>
      <c r="I257" s="6">
        <v>3660782</v>
      </c>
      <c r="J257" s="6">
        <v>1319661</v>
      </c>
      <c r="K257">
        <v>0</v>
      </c>
      <c r="L257" s="6">
        <v>4980443</v>
      </c>
      <c r="M257" s="6">
        <v>8767</v>
      </c>
      <c r="N257" s="6">
        <v>2542</v>
      </c>
      <c r="O257" s="6">
        <v>11309</v>
      </c>
      <c r="P257" s="6">
        <v>591709</v>
      </c>
      <c r="Q257" s="6">
        <v>70536</v>
      </c>
      <c r="R257" s="6">
        <v>1021869</v>
      </c>
      <c r="S257" s="6">
        <v>1144265</v>
      </c>
      <c r="T257" s="6">
        <v>7820131</v>
      </c>
      <c r="U257" s="6">
        <v>4331795</v>
      </c>
      <c r="V257" s="6">
        <v>3488336</v>
      </c>
    </row>
    <row r="258" spans="1:22" x14ac:dyDescent="0.25">
      <c r="A258">
        <v>2024</v>
      </c>
      <c r="B258" s="1" t="s">
        <v>17</v>
      </c>
      <c r="C258" t="s">
        <v>53</v>
      </c>
      <c r="D258" s="1" t="s">
        <v>662</v>
      </c>
      <c r="E258" t="s">
        <v>337</v>
      </c>
      <c r="F258" s="6">
        <v>519039</v>
      </c>
      <c r="G258" s="6">
        <v>411515</v>
      </c>
      <c r="H258" s="6">
        <v>64457</v>
      </c>
      <c r="I258" s="6">
        <v>347058</v>
      </c>
      <c r="J258" s="6">
        <v>107524</v>
      </c>
      <c r="K258">
        <v>0</v>
      </c>
      <c r="L258" s="6">
        <v>454582</v>
      </c>
      <c r="M258">
        <v>475</v>
      </c>
      <c r="N258">
        <v>124</v>
      </c>
      <c r="O258">
        <v>599</v>
      </c>
      <c r="P258" s="6">
        <v>49132</v>
      </c>
      <c r="Q258" s="6">
        <v>5721</v>
      </c>
      <c r="R258" s="6">
        <v>91127</v>
      </c>
      <c r="S258" s="6">
        <v>100172</v>
      </c>
      <c r="T258" s="6">
        <v>701333</v>
      </c>
      <c r="U258" s="6">
        <v>402386</v>
      </c>
      <c r="V258" s="6">
        <v>298947</v>
      </c>
    </row>
    <row r="259" spans="1:22" x14ac:dyDescent="0.25">
      <c r="A259">
        <v>2024</v>
      </c>
      <c r="B259" s="1" t="s">
        <v>14</v>
      </c>
      <c r="C259" t="s">
        <v>50</v>
      </c>
      <c r="D259" s="1" t="s">
        <v>663</v>
      </c>
      <c r="E259" t="s">
        <v>338</v>
      </c>
      <c r="F259" s="6">
        <v>356284</v>
      </c>
      <c r="G259" s="6">
        <v>273515</v>
      </c>
      <c r="H259" s="6">
        <v>72346</v>
      </c>
      <c r="I259" s="6">
        <v>201169</v>
      </c>
      <c r="J259" s="6">
        <v>82769</v>
      </c>
      <c r="K259">
        <v>0</v>
      </c>
      <c r="L259" s="6">
        <v>283938</v>
      </c>
      <c r="M259">
        <v>0</v>
      </c>
      <c r="N259">
        <v>0</v>
      </c>
      <c r="O259">
        <v>0</v>
      </c>
      <c r="P259" s="6">
        <v>37743</v>
      </c>
      <c r="Q259" s="6">
        <v>4486</v>
      </c>
      <c r="R259" s="6">
        <v>60144</v>
      </c>
      <c r="S259" s="6">
        <v>67369</v>
      </c>
      <c r="T259" s="6">
        <v>453680</v>
      </c>
      <c r="U259" s="6">
        <v>243398</v>
      </c>
      <c r="V259" s="6">
        <v>210282</v>
      </c>
    </row>
    <row r="260" spans="1:22" x14ac:dyDescent="0.25">
      <c r="A260">
        <v>2024</v>
      </c>
      <c r="B260" s="1" t="s">
        <v>14</v>
      </c>
      <c r="C260" t="s">
        <v>50</v>
      </c>
      <c r="D260" s="1" t="s">
        <v>664</v>
      </c>
      <c r="E260" t="s">
        <v>339</v>
      </c>
      <c r="F260" s="6">
        <v>236975</v>
      </c>
      <c r="G260" s="6">
        <v>181922</v>
      </c>
      <c r="H260" s="6">
        <v>46153</v>
      </c>
      <c r="I260" s="6">
        <v>135769</v>
      </c>
      <c r="J260" s="6">
        <v>55053</v>
      </c>
      <c r="K260">
        <v>0</v>
      </c>
      <c r="L260" s="6">
        <v>190822</v>
      </c>
      <c r="M260">
        <v>0</v>
      </c>
      <c r="N260">
        <v>0</v>
      </c>
      <c r="O260">
        <v>0</v>
      </c>
      <c r="P260" s="6">
        <v>25104</v>
      </c>
      <c r="Q260" s="6">
        <v>2984</v>
      </c>
      <c r="R260" s="6">
        <v>39200</v>
      </c>
      <c r="S260" s="6">
        <v>43909</v>
      </c>
      <c r="T260" s="6">
        <v>302019</v>
      </c>
      <c r="U260" s="6">
        <v>163857</v>
      </c>
      <c r="V260" s="6">
        <v>138162</v>
      </c>
    </row>
    <row r="261" spans="1:22" x14ac:dyDescent="0.25">
      <c r="A261">
        <v>2024</v>
      </c>
      <c r="B261" s="1" t="s">
        <v>19</v>
      </c>
      <c r="C261" t="s">
        <v>55</v>
      </c>
      <c r="D261" s="1" t="s">
        <v>665</v>
      </c>
      <c r="E261" t="s">
        <v>340</v>
      </c>
      <c r="F261" s="6">
        <v>234165</v>
      </c>
      <c r="G261" s="6">
        <v>181545</v>
      </c>
      <c r="H261" s="6">
        <v>51982</v>
      </c>
      <c r="I261" s="6">
        <v>129563</v>
      </c>
      <c r="J261" s="6">
        <v>52620</v>
      </c>
      <c r="K261">
        <v>0</v>
      </c>
      <c r="L261" s="6">
        <v>182183</v>
      </c>
      <c r="M261">
        <v>351</v>
      </c>
      <c r="N261">
        <v>102</v>
      </c>
      <c r="O261">
        <v>453</v>
      </c>
      <c r="P261" s="6">
        <v>23594</v>
      </c>
      <c r="Q261" s="6">
        <v>2813</v>
      </c>
      <c r="R261" s="6">
        <v>39219</v>
      </c>
      <c r="S261" s="6">
        <v>43916</v>
      </c>
      <c r="T261" s="6">
        <v>292178</v>
      </c>
      <c r="U261" s="6">
        <v>156321</v>
      </c>
      <c r="V261" s="6">
        <v>135857</v>
      </c>
    </row>
    <row r="262" spans="1:22" x14ac:dyDescent="0.25">
      <c r="A262">
        <v>2024</v>
      </c>
      <c r="B262" s="1" t="s">
        <v>20</v>
      </c>
      <c r="C262" t="s">
        <v>56</v>
      </c>
      <c r="D262" s="1" t="s">
        <v>666</v>
      </c>
      <c r="E262" t="s">
        <v>341</v>
      </c>
      <c r="F262" s="6">
        <v>75297</v>
      </c>
      <c r="G262" s="6">
        <v>59527</v>
      </c>
      <c r="H262" s="6">
        <v>20519</v>
      </c>
      <c r="I262" s="6">
        <v>39008</v>
      </c>
      <c r="J262" s="6">
        <v>15770</v>
      </c>
      <c r="K262" s="6">
        <v>4479</v>
      </c>
      <c r="L262" s="6">
        <v>59257</v>
      </c>
      <c r="M262">
        <v>124</v>
      </c>
      <c r="N262">
        <v>33</v>
      </c>
      <c r="O262">
        <v>157</v>
      </c>
      <c r="P262" s="6">
        <v>7958</v>
      </c>
      <c r="Q262">
        <v>856</v>
      </c>
      <c r="R262" s="6">
        <v>12123</v>
      </c>
      <c r="S262" s="6">
        <v>13402</v>
      </c>
      <c r="T262" s="6">
        <v>93753</v>
      </c>
      <c r="U262" s="6">
        <v>47946</v>
      </c>
      <c r="V262" s="6">
        <v>45807</v>
      </c>
    </row>
    <row r="263" spans="1:22" x14ac:dyDescent="0.25">
      <c r="A263">
        <v>2024</v>
      </c>
      <c r="B263" s="1" t="s">
        <v>15</v>
      </c>
      <c r="C263" t="s">
        <v>51</v>
      </c>
      <c r="D263" s="1" t="s">
        <v>667</v>
      </c>
      <c r="E263" t="s">
        <v>342</v>
      </c>
      <c r="F263" s="6">
        <v>566175</v>
      </c>
      <c r="G263" s="6">
        <v>443190</v>
      </c>
      <c r="H263" s="6">
        <v>99339</v>
      </c>
      <c r="I263" s="6">
        <v>343851</v>
      </c>
      <c r="J263" s="6">
        <v>122985</v>
      </c>
      <c r="K263">
        <v>0</v>
      </c>
      <c r="L263" s="6">
        <v>466836</v>
      </c>
      <c r="M263">
        <v>557</v>
      </c>
      <c r="N263">
        <v>155</v>
      </c>
      <c r="O263">
        <v>712</v>
      </c>
      <c r="P263" s="6">
        <v>70004</v>
      </c>
      <c r="Q263" s="6">
        <v>8058</v>
      </c>
      <c r="R263" s="6">
        <v>90457</v>
      </c>
      <c r="S263" s="6">
        <v>100853</v>
      </c>
      <c r="T263" s="6">
        <v>736920</v>
      </c>
      <c r="U263" s="6">
        <v>422470</v>
      </c>
      <c r="V263" s="6">
        <v>314450</v>
      </c>
    </row>
    <row r="264" spans="1:22" x14ac:dyDescent="0.25">
      <c r="A264">
        <v>2024</v>
      </c>
      <c r="B264" s="1" t="s">
        <v>13</v>
      </c>
      <c r="C264" t="s">
        <v>49</v>
      </c>
      <c r="D264" s="1" t="s">
        <v>668</v>
      </c>
      <c r="E264" t="s">
        <v>343</v>
      </c>
      <c r="F264" s="6">
        <v>210158</v>
      </c>
      <c r="G264" s="6">
        <v>159366</v>
      </c>
      <c r="H264" s="6">
        <v>49402</v>
      </c>
      <c r="I264" s="6">
        <v>109964</v>
      </c>
      <c r="J264" s="6">
        <v>50792</v>
      </c>
      <c r="K264">
        <v>0</v>
      </c>
      <c r="L264" s="6">
        <v>160756</v>
      </c>
      <c r="M264">
        <v>425</v>
      </c>
      <c r="N264">
        <v>136</v>
      </c>
      <c r="O264">
        <v>561</v>
      </c>
      <c r="P264" s="6">
        <v>20808</v>
      </c>
      <c r="Q264" s="6">
        <v>2258</v>
      </c>
      <c r="R264" s="6">
        <v>42709</v>
      </c>
      <c r="S264" s="6">
        <v>47579</v>
      </c>
      <c r="T264" s="6">
        <v>274671</v>
      </c>
      <c r="U264" s="6">
        <v>133455</v>
      </c>
      <c r="V264" s="6">
        <v>141216</v>
      </c>
    </row>
    <row r="265" spans="1:22" x14ac:dyDescent="0.25">
      <c r="A265">
        <v>2024</v>
      </c>
      <c r="B265" s="1" t="s">
        <v>18</v>
      </c>
      <c r="C265" t="s">
        <v>54</v>
      </c>
      <c r="D265" s="1" t="s">
        <v>669</v>
      </c>
      <c r="E265" t="s">
        <v>344</v>
      </c>
      <c r="F265" s="6">
        <v>2696227</v>
      </c>
      <c r="G265" s="6">
        <v>2184252</v>
      </c>
      <c r="H265" s="6">
        <v>261652</v>
      </c>
      <c r="I265" s="6">
        <v>1922600</v>
      </c>
      <c r="J265" s="6">
        <v>511975</v>
      </c>
      <c r="K265">
        <v>0</v>
      </c>
      <c r="L265" s="6">
        <v>2434575</v>
      </c>
      <c r="M265">
        <v>0</v>
      </c>
      <c r="N265">
        <v>0</v>
      </c>
      <c r="O265">
        <v>0</v>
      </c>
      <c r="P265" s="6">
        <v>229595</v>
      </c>
      <c r="Q265" s="6">
        <v>28792</v>
      </c>
      <c r="R265" s="6">
        <v>470946</v>
      </c>
      <c r="S265" s="6">
        <v>517327</v>
      </c>
      <c r="T265" s="6">
        <v>3681235</v>
      </c>
      <c r="U265" s="6">
        <v>2180987</v>
      </c>
      <c r="V265" s="6">
        <v>1500248</v>
      </c>
    </row>
    <row r="266" spans="1:22" x14ac:dyDescent="0.25">
      <c r="A266">
        <v>2024</v>
      </c>
      <c r="B266" s="1" t="s">
        <v>14</v>
      </c>
      <c r="C266" t="s">
        <v>50</v>
      </c>
      <c r="D266" s="1" t="s">
        <v>670</v>
      </c>
      <c r="E266" t="s">
        <v>345</v>
      </c>
      <c r="F266" s="6">
        <v>422018</v>
      </c>
      <c r="G266" s="6">
        <v>323978</v>
      </c>
      <c r="H266" s="6">
        <v>93556</v>
      </c>
      <c r="I266" s="6">
        <v>230422</v>
      </c>
      <c r="J266" s="6">
        <v>98040</v>
      </c>
      <c r="K266">
        <v>0</v>
      </c>
      <c r="L266" s="6">
        <v>328462</v>
      </c>
      <c r="M266">
        <v>0</v>
      </c>
      <c r="N266">
        <v>0</v>
      </c>
      <c r="O266">
        <v>0</v>
      </c>
      <c r="P266" s="6">
        <v>44707</v>
      </c>
      <c r="Q266" s="6">
        <v>5314</v>
      </c>
      <c r="R266" s="6">
        <v>69897</v>
      </c>
      <c r="S266" s="6">
        <v>78294</v>
      </c>
      <c r="T266" s="6">
        <v>526674</v>
      </c>
      <c r="U266" s="6">
        <v>280443</v>
      </c>
      <c r="V266" s="6">
        <v>246231</v>
      </c>
    </row>
    <row r="267" spans="1:22" x14ac:dyDescent="0.25">
      <c r="A267">
        <v>2024</v>
      </c>
      <c r="B267" s="1" t="s">
        <v>18</v>
      </c>
      <c r="C267" t="s">
        <v>54</v>
      </c>
      <c r="D267" s="1" t="s">
        <v>671</v>
      </c>
      <c r="E267" t="s">
        <v>346</v>
      </c>
      <c r="F267" s="6">
        <v>184409</v>
      </c>
      <c r="G267" s="6">
        <v>149392</v>
      </c>
      <c r="H267" s="6">
        <v>35040</v>
      </c>
      <c r="I267" s="6">
        <v>114352</v>
      </c>
      <c r="J267" s="6">
        <v>35017</v>
      </c>
      <c r="K267" s="6">
        <v>6147</v>
      </c>
      <c r="L267" s="6">
        <v>155516</v>
      </c>
      <c r="M267">
        <v>0</v>
      </c>
      <c r="N267">
        <v>0</v>
      </c>
      <c r="O267">
        <v>0</v>
      </c>
      <c r="P267" s="6">
        <v>16123</v>
      </c>
      <c r="Q267" s="6">
        <v>2025</v>
      </c>
      <c r="R267" s="6">
        <v>31392</v>
      </c>
      <c r="S267" s="6">
        <v>34484</v>
      </c>
      <c r="T267" s="6">
        <v>239540</v>
      </c>
      <c r="U267" s="6">
        <v>132500</v>
      </c>
      <c r="V267" s="6">
        <v>107040</v>
      </c>
    </row>
    <row r="268" spans="1:22" x14ac:dyDescent="0.25">
      <c r="A268">
        <v>2024</v>
      </c>
      <c r="B268" s="1" t="s">
        <v>14</v>
      </c>
      <c r="C268" t="s">
        <v>50</v>
      </c>
      <c r="D268" s="1" t="s">
        <v>672</v>
      </c>
      <c r="E268" t="s">
        <v>347</v>
      </c>
      <c r="F268" s="6">
        <v>828517</v>
      </c>
      <c r="G268" s="6">
        <v>636042</v>
      </c>
      <c r="H268" s="6">
        <v>132688</v>
      </c>
      <c r="I268" s="6">
        <v>503354</v>
      </c>
      <c r="J268" s="6">
        <v>192475</v>
      </c>
      <c r="K268">
        <v>0</v>
      </c>
      <c r="L268" s="6">
        <v>695829</v>
      </c>
      <c r="M268">
        <v>0</v>
      </c>
      <c r="N268">
        <v>0</v>
      </c>
      <c r="O268">
        <v>0</v>
      </c>
      <c r="P268" s="6">
        <v>87769</v>
      </c>
      <c r="Q268" s="6">
        <v>10432</v>
      </c>
      <c r="R268" s="6">
        <v>139170</v>
      </c>
      <c r="S268" s="6">
        <v>155887</v>
      </c>
      <c r="T268" s="6">
        <v>1089087</v>
      </c>
      <c r="U268" s="6">
        <v>601555</v>
      </c>
      <c r="V268" s="6">
        <v>487532</v>
      </c>
    </row>
    <row r="269" spans="1:22" x14ac:dyDescent="0.25">
      <c r="A269">
        <v>2024</v>
      </c>
      <c r="B269" s="1" t="s">
        <v>14</v>
      </c>
      <c r="C269" t="s">
        <v>50</v>
      </c>
      <c r="D269" s="1" t="s">
        <v>673</v>
      </c>
      <c r="E269" t="s">
        <v>348</v>
      </c>
      <c r="F269" s="6">
        <v>442961</v>
      </c>
      <c r="G269" s="6">
        <v>340056</v>
      </c>
      <c r="H269" s="6">
        <v>73552</v>
      </c>
      <c r="I269" s="6">
        <v>266504</v>
      </c>
      <c r="J269" s="6">
        <v>102905</v>
      </c>
      <c r="K269">
        <v>0</v>
      </c>
      <c r="L269" s="6">
        <v>369409</v>
      </c>
      <c r="M269">
        <v>0</v>
      </c>
      <c r="N269">
        <v>0</v>
      </c>
      <c r="O269">
        <v>0</v>
      </c>
      <c r="P269" s="6">
        <v>46925</v>
      </c>
      <c r="Q269" s="6">
        <v>5577</v>
      </c>
      <c r="R269" s="6">
        <v>73023</v>
      </c>
      <c r="S269" s="6">
        <v>81795</v>
      </c>
      <c r="T269" s="6">
        <v>576729</v>
      </c>
      <c r="U269" s="6">
        <v>319006</v>
      </c>
      <c r="V269" s="6">
        <v>257723</v>
      </c>
    </row>
    <row r="270" spans="1:22" x14ac:dyDescent="0.25">
      <c r="A270">
        <v>2024</v>
      </c>
      <c r="B270" s="1" t="s">
        <v>17</v>
      </c>
      <c r="C270" t="s">
        <v>53</v>
      </c>
      <c r="D270" s="1" t="s">
        <v>674</v>
      </c>
      <c r="E270" t="s">
        <v>349</v>
      </c>
      <c r="F270" s="6">
        <v>147930</v>
      </c>
      <c r="G270" s="6">
        <v>117285</v>
      </c>
      <c r="H270" s="6">
        <v>28692</v>
      </c>
      <c r="I270" s="6">
        <v>88593</v>
      </c>
      <c r="J270" s="6">
        <v>30645</v>
      </c>
      <c r="K270">
        <v>0</v>
      </c>
      <c r="L270" s="6">
        <v>119238</v>
      </c>
      <c r="M270">
        <v>135</v>
      </c>
      <c r="N270">
        <v>35</v>
      </c>
      <c r="O270">
        <v>170</v>
      </c>
      <c r="P270" s="6">
        <v>14003</v>
      </c>
      <c r="Q270" s="6">
        <v>1630</v>
      </c>
      <c r="R270" s="6">
        <v>25983</v>
      </c>
      <c r="S270" s="6">
        <v>28562</v>
      </c>
      <c r="T270" s="6">
        <v>189586</v>
      </c>
      <c r="U270" s="6">
        <v>104360</v>
      </c>
      <c r="V270" s="6">
        <v>85226</v>
      </c>
    </row>
    <row r="271" spans="1:22" x14ac:dyDescent="0.25">
      <c r="A271">
        <v>2024</v>
      </c>
      <c r="B271" s="1" t="s">
        <v>15</v>
      </c>
      <c r="C271" t="s">
        <v>51</v>
      </c>
      <c r="D271" s="1" t="s">
        <v>675</v>
      </c>
      <c r="E271" t="s">
        <v>350</v>
      </c>
      <c r="F271" s="6">
        <v>212686</v>
      </c>
      <c r="G271" s="6">
        <v>166486</v>
      </c>
      <c r="H271" s="6">
        <v>45825</v>
      </c>
      <c r="I271" s="6">
        <v>120661</v>
      </c>
      <c r="J271" s="6">
        <v>46200</v>
      </c>
      <c r="K271">
        <v>0</v>
      </c>
      <c r="L271" s="6">
        <v>166861</v>
      </c>
      <c r="M271">
        <v>209</v>
      </c>
      <c r="N271">
        <v>57</v>
      </c>
      <c r="O271">
        <v>266</v>
      </c>
      <c r="P271" s="6">
        <v>26297</v>
      </c>
      <c r="Q271" s="6">
        <v>3027</v>
      </c>
      <c r="R271" s="6">
        <v>35670</v>
      </c>
      <c r="S271" s="6">
        <v>39770</v>
      </c>
      <c r="T271" s="6">
        <v>271891</v>
      </c>
      <c r="U271" s="6">
        <v>150194</v>
      </c>
      <c r="V271" s="6">
        <v>121697</v>
      </c>
    </row>
    <row r="272" spans="1:22" x14ac:dyDescent="0.25">
      <c r="A272">
        <v>2024</v>
      </c>
      <c r="B272" s="1" t="s">
        <v>20</v>
      </c>
      <c r="C272" t="s">
        <v>56</v>
      </c>
      <c r="D272" s="1" t="s">
        <v>676</v>
      </c>
      <c r="E272" t="s">
        <v>351</v>
      </c>
      <c r="F272" s="6">
        <v>71857</v>
      </c>
      <c r="G272" s="6">
        <v>56808</v>
      </c>
      <c r="H272" s="6">
        <v>15810</v>
      </c>
      <c r="I272" s="6">
        <v>40998</v>
      </c>
      <c r="J272" s="6">
        <v>15049</v>
      </c>
      <c r="K272">
        <v>0</v>
      </c>
      <c r="L272" s="6">
        <v>56047</v>
      </c>
      <c r="M272">
        <v>119</v>
      </c>
      <c r="N272">
        <v>31</v>
      </c>
      <c r="O272">
        <v>150</v>
      </c>
      <c r="P272" s="6">
        <v>7379</v>
      </c>
      <c r="Q272">
        <v>796</v>
      </c>
      <c r="R272" s="6">
        <v>12247</v>
      </c>
      <c r="S272" s="6">
        <v>13540</v>
      </c>
      <c r="T272" s="6">
        <v>90159</v>
      </c>
      <c r="U272" s="6">
        <v>49291</v>
      </c>
      <c r="V272" s="6">
        <v>40868</v>
      </c>
    </row>
    <row r="273" spans="1:22" x14ac:dyDescent="0.25">
      <c r="A273">
        <v>2024</v>
      </c>
      <c r="B273" s="1" t="s">
        <v>13</v>
      </c>
      <c r="C273" t="s">
        <v>49</v>
      </c>
      <c r="D273" s="1" t="s">
        <v>677</v>
      </c>
      <c r="E273" t="s">
        <v>352</v>
      </c>
      <c r="F273" s="6">
        <v>240641</v>
      </c>
      <c r="G273" s="6">
        <v>182482</v>
      </c>
      <c r="H273" s="6">
        <v>54715</v>
      </c>
      <c r="I273" s="6">
        <v>127767</v>
      </c>
      <c r="J273" s="6">
        <v>58159</v>
      </c>
      <c r="K273">
        <v>598</v>
      </c>
      <c r="L273" s="6">
        <v>186524</v>
      </c>
      <c r="M273">
        <v>488</v>
      </c>
      <c r="N273">
        <v>156</v>
      </c>
      <c r="O273">
        <v>644</v>
      </c>
      <c r="P273" s="6">
        <v>23859</v>
      </c>
      <c r="Q273" s="6">
        <v>2585</v>
      </c>
      <c r="R273" s="6">
        <v>36652</v>
      </c>
      <c r="S273" s="6">
        <v>40832</v>
      </c>
      <c r="T273" s="6">
        <v>291096</v>
      </c>
      <c r="U273" s="6">
        <v>154699</v>
      </c>
      <c r="V273" s="6">
        <v>136397</v>
      </c>
    </row>
    <row r="274" spans="1:22" x14ac:dyDescent="0.25">
      <c r="A274">
        <v>2024</v>
      </c>
      <c r="B274" s="1" t="s">
        <v>14</v>
      </c>
      <c r="C274" t="s">
        <v>50</v>
      </c>
      <c r="D274" s="1" t="s">
        <v>678</v>
      </c>
      <c r="E274" t="s">
        <v>353</v>
      </c>
      <c r="F274" s="6">
        <v>993051</v>
      </c>
      <c r="G274" s="6">
        <v>762353</v>
      </c>
      <c r="H274" s="6">
        <v>117168</v>
      </c>
      <c r="I274" s="6">
        <v>645185</v>
      </c>
      <c r="J274" s="6">
        <v>230698</v>
      </c>
      <c r="K274">
        <v>0</v>
      </c>
      <c r="L274" s="6">
        <v>875883</v>
      </c>
      <c r="M274">
        <v>0</v>
      </c>
      <c r="N274">
        <v>0</v>
      </c>
      <c r="O274">
        <v>0</v>
      </c>
      <c r="P274" s="6">
        <v>105199</v>
      </c>
      <c r="Q274" s="6">
        <v>12504</v>
      </c>
      <c r="R274" s="6">
        <v>168929</v>
      </c>
      <c r="S274" s="6">
        <v>189221</v>
      </c>
      <c r="T274" s="6">
        <v>1351736</v>
      </c>
      <c r="U274" s="6">
        <v>762888</v>
      </c>
      <c r="V274" s="6">
        <v>588848</v>
      </c>
    </row>
    <row r="275" spans="1:22" x14ac:dyDescent="0.25">
      <c r="A275">
        <v>2024</v>
      </c>
      <c r="B275" s="1" t="s">
        <v>14</v>
      </c>
      <c r="C275" t="s">
        <v>50</v>
      </c>
      <c r="D275" s="1" t="s">
        <v>679</v>
      </c>
      <c r="E275" t="s">
        <v>354</v>
      </c>
      <c r="F275" s="6">
        <v>53695</v>
      </c>
      <c r="G275" s="6">
        <v>41221</v>
      </c>
      <c r="H275" s="6">
        <v>13144</v>
      </c>
      <c r="I275" s="6">
        <v>28077</v>
      </c>
      <c r="J275" s="6">
        <v>12474</v>
      </c>
      <c r="K275" s="6">
        <v>9816</v>
      </c>
      <c r="L275" s="6">
        <v>50367</v>
      </c>
      <c r="M275">
        <v>0</v>
      </c>
      <c r="N275">
        <v>0</v>
      </c>
      <c r="O275">
        <v>0</v>
      </c>
      <c r="P275" s="6">
        <v>5688</v>
      </c>
      <c r="Q275">
        <v>676</v>
      </c>
      <c r="R275" s="6">
        <v>8565</v>
      </c>
      <c r="S275" s="6">
        <v>9594</v>
      </c>
      <c r="T275" s="6">
        <v>74890</v>
      </c>
      <c r="U275" s="6">
        <v>34441</v>
      </c>
      <c r="V275" s="6">
        <v>40449</v>
      </c>
    </row>
    <row r="276" spans="1:22" x14ac:dyDescent="0.25">
      <c r="A276">
        <v>2024</v>
      </c>
      <c r="B276" s="1" t="s">
        <v>15</v>
      </c>
      <c r="C276" t="s">
        <v>51</v>
      </c>
      <c r="D276" s="1" t="s">
        <v>680</v>
      </c>
      <c r="E276" t="s">
        <v>355</v>
      </c>
      <c r="F276" s="6">
        <v>300033</v>
      </c>
      <c r="G276" s="6">
        <v>234860</v>
      </c>
      <c r="H276" s="6">
        <v>63141</v>
      </c>
      <c r="I276" s="6">
        <v>171719</v>
      </c>
      <c r="J276" s="6">
        <v>65173</v>
      </c>
      <c r="K276">
        <v>0</v>
      </c>
      <c r="L276" s="6">
        <v>236892</v>
      </c>
      <c r="M276">
        <v>296</v>
      </c>
      <c r="N276">
        <v>82</v>
      </c>
      <c r="O276">
        <v>378</v>
      </c>
      <c r="P276" s="6">
        <v>37097</v>
      </c>
      <c r="Q276" s="6">
        <v>4270</v>
      </c>
      <c r="R276" s="6">
        <v>48289</v>
      </c>
      <c r="S276" s="6">
        <v>53839</v>
      </c>
      <c r="T276" s="6">
        <v>380765</v>
      </c>
      <c r="U276" s="6">
        <v>213381</v>
      </c>
      <c r="V276" s="6">
        <v>167384</v>
      </c>
    </row>
    <row r="277" spans="1:22" x14ac:dyDescent="0.25">
      <c r="A277">
        <v>2024</v>
      </c>
      <c r="B277" s="1" t="s">
        <v>17</v>
      </c>
      <c r="C277" t="s">
        <v>53</v>
      </c>
      <c r="D277" s="1" t="s">
        <v>681</v>
      </c>
      <c r="E277" t="s">
        <v>356</v>
      </c>
      <c r="F277" s="6">
        <v>320034</v>
      </c>
      <c r="G277" s="6">
        <v>253736</v>
      </c>
      <c r="H277" s="6">
        <v>50518</v>
      </c>
      <c r="I277" s="6">
        <v>203218</v>
      </c>
      <c r="J277" s="6">
        <v>66298</v>
      </c>
      <c r="K277">
        <v>0</v>
      </c>
      <c r="L277" s="6">
        <v>269516</v>
      </c>
      <c r="M277">
        <v>293</v>
      </c>
      <c r="N277">
        <v>77</v>
      </c>
      <c r="O277">
        <v>370</v>
      </c>
      <c r="P277" s="6">
        <v>30295</v>
      </c>
      <c r="Q277" s="6">
        <v>3527</v>
      </c>
      <c r="R277" s="6">
        <v>51655</v>
      </c>
      <c r="S277" s="6">
        <v>56782</v>
      </c>
      <c r="T277" s="6">
        <v>412145</v>
      </c>
      <c r="U277" s="6">
        <v>237333</v>
      </c>
      <c r="V277" s="6">
        <v>174812</v>
      </c>
    </row>
    <row r="278" spans="1:22" x14ac:dyDescent="0.25">
      <c r="A278">
        <v>2024</v>
      </c>
      <c r="B278" s="1" t="s">
        <v>20</v>
      </c>
      <c r="C278" t="s">
        <v>56</v>
      </c>
      <c r="D278" s="1" t="s">
        <v>682</v>
      </c>
      <c r="E278" t="s">
        <v>357</v>
      </c>
      <c r="F278" s="6">
        <v>204158</v>
      </c>
      <c r="G278" s="6">
        <v>161399</v>
      </c>
      <c r="H278" s="6">
        <v>29815</v>
      </c>
      <c r="I278" s="6">
        <v>131584</v>
      </c>
      <c r="J278" s="6">
        <v>42759</v>
      </c>
      <c r="K278" s="6">
        <v>1613</v>
      </c>
      <c r="L278" s="6">
        <v>175956</v>
      </c>
      <c r="M278">
        <v>338</v>
      </c>
      <c r="N278">
        <v>89</v>
      </c>
      <c r="O278">
        <v>427</v>
      </c>
      <c r="P278" s="6">
        <v>21099</v>
      </c>
      <c r="Q278" s="6">
        <v>2269</v>
      </c>
      <c r="R278" s="6">
        <v>38110</v>
      </c>
      <c r="S278" s="6">
        <v>42131</v>
      </c>
      <c r="T278" s="6">
        <v>279992</v>
      </c>
      <c r="U278" s="6">
        <v>155290</v>
      </c>
      <c r="V278" s="6">
        <v>124702</v>
      </c>
    </row>
    <row r="279" spans="1:22" x14ac:dyDescent="0.25">
      <c r="A279">
        <v>2024</v>
      </c>
      <c r="B279" s="1" t="s">
        <v>20</v>
      </c>
      <c r="C279" t="s">
        <v>56</v>
      </c>
      <c r="D279" s="1" t="s">
        <v>683</v>
      </c>
      <c r="E279" t="s">
        <v>358</v>
      </c>
      <c r="F279" s="6">
        <v>243512</v>
      </c>
      <c r="G279" s="6">
        <v>192511</v>
      </c>
      <c r="H279" s="6">
        <v>43760</v>
      </c>
      <c r="I279" s="6">
        <v>148751</v>
      </c>
      <c r="J279" s="6">
        <v>51001</v>
      </c>
      <c r="K279">
        <v>0</v>
      </c>
      <c r="L279" s="6">
        <v>199752</v>
      </c>
      <c r="M279">
        <v>404</v>
      </c>
      <c r="N279">
        <v>107</v>
      </c>
      <c r="O279">
        <v>511</v>
      </c>
      <c r="P279" s="6">
        <v>25005</v>
      </c>
      <c r="Q279" s="6">
        <v>2698</v>
      </c>
      <c r="R279" s="6">
        <v>40846</v>
      </c>
      <c r="S279" s="6">
        <v>45156</v>
      </c>
      <c r="T279" s="6">
        <v>313968</v>
      </c>
      <c r="U279" s="6">
        <v>176858</v>
      </c>
      <c r="V279" s="6">
        <v>137110</v>
      </c>
    </row>
    <row r="280" spans="1:22" x14ac:dyDescent="0.25">
      <c r="A280">
        <v>2024</v>
      </c>
      <c r="B280" s="1" t="s">
        <v>21</v>
      </c>
      <c r="C280" t="s">
        <v>57</v>
      </c>
      <c r="D280" s="1" t="s">
        <v>684</v>
      </c>
      <c r="E280" t="s">
        <v>359</v>
      </c>
      <c r="F280" s="6">
        <v>97823</v>
      </c>
      <c r="G280" s="6">
        <v>77951</v>
      </c>
      <c r="H280" s="6">
        <v>22679</v>
      </c>
      <c r="I280" s="6">
        <v>55272</v>
      </c>
      <c r="J280" s="6">
        <v>19872</v>
      </c>
      <c r="K280">
        <v>704</v>
      </c>
      <c r="L280" s="6">
        <v>75848</v>
      </c>
      <c r="M280">
        <v>182</v>
      </c>
      <c r="N280">
        <v>47</v>
      </c>
      <c r="O280">
        <v>229</v>
      </c>
      <c r="P280" s="6">
        <v>9832</v>
      </c>
      <c r="Q280" s="6">
        <v>1078</v>
      </c>
      <c r="R280" s="6">
        <v>16964</v>
      </c>
      <c r="S280" s="6">
        <v>18646</v>
      </c>
      <c r="T280" s="6">
        <v>122597</v>
      </c>
      <c r="U280" s="6">
        <v>66364</v>
      </c>
      <c r="V280" s="6">
        <v>56233</v>
      </c>
    </row>
    <row r="281" spans="1:22" x14ac:dyDescent="0.25">
      <c r="A281">
        <v>2024</v>
      </c>
      <c r="B281" s="1" t="s">
        <v>15</v>
      </c>
      <c r="C281" t="s">
        <v>51</v>
      </c>
      <c r="D281" s="1" t="s">
        <v>685</v>
      </c>
      <c r="E281" t="s">
        <v>360</v>
      </c>
      <c r="F281" s="6">
        <v>150158</v>
      </c>
      <c r="G281" s="6">
        <v>117541</v>
      </c>
      <c r="H281" s="6">
        <v>29808</v>
      </c>
      <c r="I281" s="6">
        <v>87733</v>
      </c>
      <c r="J281" s="6">
        <v>32617</v>
      </c>
      <c r="K281" s="6">
        <v>2166</v>
      </c>
      <c r="L281" s="6">
        <v>122516</v>
      </c>
      <c r="M281">
        <v>148</v>
      </c>
      <c r="N281">
        <v>41</v>
      </c>
      <c r="O281">
        <v>189</v>
      </c>
      <c r="P281" s="6">
        <v>18566</v>
      </c>
      <c r="Q281" s="6">
        <v>2137</v>
      </c>
      <c r="R281" s="6">
        <v>23864</v>
      </c>
      <c r="S281" s="6">
        <v>26606</v>
      </c>
      <c r="T281" s="6">
        <v>193878</v>
      </c>
      <c r="U281" s="6">
        <v>108584</v>
      </c>
      <c r="V281" s="6">
        <v>85294</v>
      </c>
    </row>
    <row r="282" spans="1:22" x14ac:dyDescent="0.25">
      <c r="A282">
        <v>2024</v>
      </c>
      <c r="B282" s="1" t="s">
        <v>13</v>
      </c>
      <c r="C282" t="s">
        <v>49</v>
      </c>
      <c r="D282" s="1" t="s">
        <v>686</v>
      </c>
      <c r="E282" t="s">
        <v>361</v>
      </c>
      <c r="F282" s="6">
        <v>140492</v>
      </c>
      <c r="G282" s="6">
        <v>106537</v>
      </c>
      <c r="H282" s="6">
        <v>38770</v>
      </c>
      <c r="I282" s="6">
        <v>67767</v>
      </c>
      <c r="J282" s="6">
        <v>33955</v>
      </c>
      <c r="K282" s="6">
        <v>6262</v>
      </c>
      <c r="L282" s="6">
        <v>107984</v>
      </c>
      <c r="M282">
        <v>285</v>
      </c>
      <c r="N282">
        <v>91</v>
      </c>
      <c r="O282">
        <v>376</v>
      </c>
      <c r="P282" s="6">
        <v>13910</v>
      </c>
      <c r="Q282" s="6">
        <v>1509</v>
      </c>
      <c r="R282" s="6">
        <v>25288</v>
      </c>
      <c r="S282" s="6">
        <v>28172</v>
      </c>
      <c r="T282" s="6">
        <v>177239</v>
      </c>
      <c r="U282" s="6">
        <v>83471</v>
      </c>
      <c r="V282" s="6">
        <v>93768</v>
      </c>
    </row>
    <row r="283" spans="1:22" x14ac:dyDescent="0.25">
      <c r="A283">
        <v>2024</v>
      </c>
      <c r="B283" s="1" t="s">
        <v>18</v>
      </c>
      <c r="C283" t="s">
        <v>54</v>
      </c>
      <c r="D283" s="1" t="s">
        <v>687</v>
      </c>
      <c r="E283" t="s">
        <v>362</v>
      </c>
      <c r="F283" s="6">
        <v>128234</v>
      </c>
      <c r="G283" s="6">
        <v>103884</v>
      </c>
      <c r="H283" s="6">
        <v>27523</v>
      </c>
      <c r="I283" s="6">
        <v>76361</v>
      </c>
      <c r="J283" s="6">
        <v>24350</v>
      </c>
      <c r="K283">
        <v>0</v>
      </c>
      <c r="L283" s="6">
        <v>100711</v>
      </c>
      <c r="M283">
        <v>0</v>
      </c>
      <c r="N283">
        <v>0</v>
      </c>
      <c r="O283">
        <v>0</v>
      </c>
      <c r="P283" s="6">
        <v>10920</v>
      </c>
      <c r="Q283" s="6">
        <v>1369</v>
      </c>
      <c r="R283" s="6">
        <v>20845</v>
      </c>
      <c r="S283" s="6">
        <v>22898</v>
      </c>
      <c r="T283" s="6">
        <v>156743</v>
      </c>
      <c r="U283" s="6">
        <v>88650</v>
      </c>
      <c r="V283" s="6">
        <v>68093</v>
      </c>
    </row>
    <row r="284" spans="1:22" x14ac:dyDescent="0.25">
      <c r="A284">
        <v>2024</v>
      </c>
      <c r="B284" s="1" t="s">
        <v>14</v>
      </c>
      <c r="C284" t="s">
        <v>50</v>
      </c>
      <c r="D284" s="1" t="s">
        <v>688</v>
      </c>
      <c r="E284" t="s">
        <v>363</v>
      </c>
      <c r="F284" s="6">
        <v>66130</v>
      </c>
      <c r="G284" s="6">
        <v>50767</v>
      </c>
      <c r="H284" s="6">
        <v>15146</v>
      </c>
      <c r="I284" s="6">
        <v>35621</v>
      </c>
      <c r="J284" s="6">
        <v>15363</v>
      </c>
      <c r="K284">
        <v>0</v>
      </c>
      <c r="L284" s="6">
        <v>50984</v>
      </c>
      <c r="M284">
        <v>0</v>
      </c>
      <c r="N284">
        <v>0</v>
      </c>
      <c r="O284">
        <v>0</v>
      </c>
      <c r="P284" s="6">
        <v>7005</v>
      </c>
      <c r="Q284">
        <v>833</v>
      </c>
      <c r="R284" s="6">
        <v>11004</v>
      </c>
      <c r="S284" s="6">
        <v>12325</v>
      </c>
      <c r="T284" s="6">
        <v>82151</v>
      </c>
      <c r="U284" s="6">
        <v>43459</v>
      </c>
      <c r="V284" s="6">
        <v>38692</v>
      </c>
    </row>
    <row r="285" spans="1:22" x14ac:dyDescent="0.25">
      <c r="A285">
        <v>2024</v>
      </c>
      <c r="B285" s="1" t="s">
        <v>20</v>
      </c>
      <c r="C285" t="s">
        <v>56</v>
      </c>
      <c r="D285" s="1" t="s">
        <v>689</v>
      </c>
      <c r="E285" t="s">
        <v>364</v>
      </c>
      <c r="F285" s="6">
        <v>281238</v>
      </c>
      <c r="G285" s="6">
        <v>222336</v>
      </c>
      <c r="H285" s="6">
        <v>40458</v>
      </c>
      <c r="I285" s="6">
        <v>181878</v>
      </c>
      <c r="J285" s="6">
        <v>58902</v>
      </c>
      <c r="K285">
        <v>0</v>
      </c>
      <c r="L285" s="6">
        <v>240780</v>
      </c>
      <c r="M285">
        <v>467</v>
      </c>
      <c r="N285">
        <v>124</v>
      </c>
      <c r="O285">
        <v>591</v>
      </c>
      <c r="P285" s="6">
        <v>28878</v>
      </c>
      <c r="Q285" s="6">
        <v>3116</v>
      </c>
      <c r="R285" s="6">
        <v>48803</v>
      </c>
      <c r="S285" s="6">
        <v>53953</v>
      </c>
      <c r="T285" s="6">
        <v>376121</v>
      </c>
      <c r="U285" s="6">
        <v>214339</v>
      </c>
      <c r="V285" s="6">
        <v>161782</v>
      </c>
    </row>
    <row r="286" spans="1:22" x14ac:dyDescent="0.25">
      <c r="A286">
        <v>2024</v>
      </c>
      <c r="B286" s="1" t="s">
        <v>15</v>
      </c>
      <c r="C286" t="s">
        <v>51</v>
      </c>
      <c r="D286" s="1" t="s">
        <v>690</v>
      </c>
      <c r="E286" t="s">
        <v>365</v>
      </c>
      <c r="F286" s="6">
        <v>380048</v>
      </c>
      <c r="G286" s="6">
        <v>297494</v>
      </c>
      <c r="H286" s="6">
        <v>71518</v>
      </c>
      <c r="I286" s="6">
        <v>225976</v>
      </c>
      <c r="J286" s="6">
        <v>82554</v>
      </c>
      <c r="K286" s="6">
        <v>9822</v>
      </c>
      <c r="L286" s="6">
        <v>318352</v>
      </c>
      <c r="M286">
        <v>375</v>
      </c>
      <c r="N286">
        <v>104</v>
      </c>
      <c r="O286">
        <v>479</v>
      </c>
      <c r="P286" s="6">
        <v>46990</v>
      </c>
      <c r="Q286" s="6">
        <v>5409</v>
      </c>
      <c r="R286" s="6">
        <v>62158</v>
      </c>
      <c r="S286" s="6">
        <v>69302</v>
      </c>
      <c r="T286" s="6">
        <v>502690</v>
      </c>
      <c r="U286" s="6">
        <v>278750</v>
      </c>
      <c r="V286" s="6">
        <v>223940</v>
      </c>
    </row>
    <row r="287" spans="1:22" x14ac:dyDescent="0.25">
      <c r="A287">
        <v>2024</v>
      </c>
      <c r="B287" s="1" t="s">
        <v>18</v>
      </c>
      <c r="C287" t="s">
        <v>54</v>
      </c>
      <c r="D287" s="1" t="s">
        <v>691</v>
      </c>
      <c r="E287" t="s">
        <v>366</v>
      </c>
      <c r="F287" s="6">
        <v>138248</v>
      </c>
      <c r="G287" s="6">
        <v>111997</v>
      </c>
      <c r="H287" s="6">
        <v>25843</v>
      </c>
      <c r="I287" s="6">
        <v>86154</v>
      </c>
      <c r="J287" s="6">
        <v>26251</v>
      </c>
      <c r="K287">
        <v>0</v>
      </c>
      <c r="L287" s="6">
        <v>112405</v>
      </c>
      <c r="M287">
        <v>0</v>
      </c>
      <c r="N287">
        <v>0</v>
      </c>
      <c r="O287">
        <v>0</v>
      </c>
      <c r="P287" s="6">
        <v>11772</v>
      </c>
      <c r="Q287" s="6">
        <v>1476</v>
      </c>
      <c r="R287" s="6">
        <v>24506</v>
      </c>
      <c r="S287" s="6">
        <v>26919</v>
      </c>
      <c r="T287" s="6">
        <v>177078</v>
      </c>
      <c r="U287" s="6">
        <v>99402</v>
      </c>
      <c r="V287" s="6">
        <v>77676</v>
      </c>
    </row>
    <row r="288" spans="1:22" x14ac:dyDescent="0.25">
      <c r="A288">
        <v>2024</v>
      </c>
      <c r="B288" s="1" t="s">
        <v>18</v>
      </c>
      <c r="C288" t="s">
        <v>54</v>
      </c>
      <c r="D288" s="1" t="s">
        <v>692</v>
      </c>
      <c r="E288" t="s">
        <v>367</v>
      </c>
      <c r="F288" s="6">
        <v>1267963</v>
      </c>
      <c r="G288" s="6">
        <v>1027195</v>
      </c>
      <c r="H288" s="6">
        <v>181636</v>
      </c>
      <c r="I288" s="6">
        <v>845559</v>
      </c>
      <c r="J288" s="6">
        <v>240768</v>
      </c>
      <c r="K288">
        <v>0</v>
      </c>
      <c r="L288" s="6">
        <v>1086327</v>
      </c>
      <c r="M288">
        <v>0</v>
      </c>
      <c r="N288">
        <v>0</v>
      </c>
      <c r="O288">
        <v>0</v>
      </c>
      <c r="P288" s="6">
        <v>107972</v>
      </c>
      <c r="Q288" s="6">
        <v>13540</v>
      </c>
      <c r="R288" s="6">
        <v>241398</v>
      </c>
      <c r="S288" s="6">
        <v>265172</v>
      </c>
      <c r="T288" s="6">
        <v>1714409</v>
      </c>
      <c r="U288" s="6">
        <v>967071</v>
      </c>
      <c r="V288" s="6">
        <v>747338</v>
      </c>
    </row>
    <row r="289" spans="1:22" x14ac:dyDescent="0.25">
      <c r="A289">
        <v>2024</v>
      </c>
      <c r="B289" s="1" t="s">
        <v>21</v>
      </c>
      <c r="C289" t="s">
        <v>57</v>
      </c>
      <c r="D289" s="1" t="s">
        <v>693</v>
      </c>
      <c r="E289" t="s">
        <v>368</v>
      </c>
      <c r="F289" s="6">
        <v>368677</v>
      </c>
      <c r="G289" s="6">
        <v>293784</v>
      </c>
      <c r="H289" s="6">
        <v>80727</v>
      </c>
      <c r="I289" s="6">
        <v>213057</v>
      </c>
      <c r="J289" s="6">
        <v>74893</v>
      </c>
      <c r="K289">
        <v>0</v>
      </c>
      <c r="L289" s="6">
        <v>287950</v>
      </c>
      <c r="M289">
        <v>689</v>
      </c>
      <c r="N289">
        <v>176</v>
      </c>
      <c r="O289">
        <v>865</v>
      </c>
      <c r="P289" s="6">
        <v>37057</v>
      </c>
      <c r="Q289" s="6">
        <v>4062</v>
      </c>
      <c r="R289" s="6">
        <v>60089</v>
      </c>
      <c r="S289" s="6">
        <v>66046</v>
      </c>
      <c r="T289" s="6">
        <v>456069</v>
      </c>
      <c r="U289" s="6">
        <v>254866</v>
      </c>
      <c r="V289" s="6">
        <v>201203</v>
      </c>
    </row>
    <row r="290" spans="1:22" x14ac:dyDescent="0.25">
      <c r="A290">
        <v>2024</v>
      </c>
      <c r="B290" s="1" t="s">
        <v>18</v>
      </c>
      <c r="C290" t="s">
        <v>54</v>
      </c>
      <c r="D290" s="1" t="s">
        <v>694</v>
      </c>
      <c r="E290" t="s">
        <v>369</v>
      </c>
      <c r="F290" s="6">
        <v>308543</v>
      </c>
      <c r="G290" s="6">
        <v>249955</v>
      </c>
      <c r="H290" s="6">
        <v>29267</v>
      </c>
      <c r="I290" s="6">
        <v>220688</v>
      </c>
      <c r="J290" s="6">
        <v>58588</v>
      </c>
      <c r="K290">
        <v>0</v>
      </c>
      <c r="L290" s="6">
        <v>279276</v>
      </c>
      <c r="M290">
        <v>0</v>
      </c>
      <c r="N290">
        <v>0</v>
      </c>
      <c r="O290">
        <v>0</v>
      </c>
      <c r="P290" s="6">
        <v>26274</v>
      </c>
      <c r="Q290" s="6">
        <v>3295</v>
      </c>
      <c r="R290" s="6">
        <v>57263</v>
      </c>
      <c r="S290" s="6">
        <v>62902</v>
      </c>
      <c r="T290" s="6">
        <v>429010</v>
      </c>
      <c r="U290" s="6">
        <v>250257</v>
      </c>
      <c r="V290" s="6">
        <v>178753</v>
      </c>
    </row>
    <row r="291" spans="1:22" x14ac:dyDescent="0.25">
      <c r="A291">
        <v>2024</v>
      </c>
      <c r="B291" s="1" t="s">
        <v>20</v>
      </c>
      <c r="C291" t="s">
        <v>56</v>
      </c>
      <c r="D291" s="1" t="s">
        <v>695</v>
      </c>
      <c r="E291" t="s">
        <v>370</v>
      </c>
      <c r="F291" s="6">
        <v>117103</v>
      </c>
      <c r="G291" s="6">
        <v>92577</v>
      </c>
      <c r="H291" s="6">
        <v>27073</v>
      </c>
      <c r="I291" s="6">
        <v>65504</v>
      </c>
      <c r="J291" s="6">
        <v>24526</v>
      </c>
      <c r="K291">
        <v>0</v>
      </c>
      <c r="L291" s="6">
        <v>90030</v>
      </c>
      <c r="M291">
        <v>193</v>
      </c>
      <c r="N291">
        <v>51</v>
      </c>
      <c r="O291">
        <v>244</v>
      </c>
      <c r="P291" s="6">
        <v>12024</v>
      </c>
      <c r="Q291" s="6">
        <v>1297</v>
      </c>
      <c r="R291" s="6">
        <v>19335</v>
      </c>
      <c r="S291" s="6">
        <v>21375</v>
      </c>
      <c r="T291" s="6">
        <v>144305</v>
      </c>
      <c r="U291" s="6">
        <v>79018</v>
      </c>
      <c r="V291" s="6">
        <v>65287</v>
      </c>
    </row>
    <row r="292" spans="1:22" x14ac:dyDescent="0.25">
      <c r="A292">
        <v>2024</v>
      </c>
      <c r="B292" s="1" t="s">
        <v>17</v>
      </c>
      <c r="C292" t="s">
        <v>53</v>
      </c>
      <c r="D292" s="1" t="s">
        <v>696</v>
      </c>
      <c r="E292" t="s">
        <v>371</v>
      </c>
      <c r="F292" s="6">
        <v>616502</v>
      </c>
      <c r="G292" s="6">
        <v>488788</v>
      </c>
      <c r="H292" s="6">
        <v>116097</v>
      </c>
      <c r="I292" s="6">
        <v>372691</v>
      </c>
      <c r="J292" s="6">
        <v>127714</v>
      </c>
      <c r="K292">
        <v>0</v>
      </c>
      <c r="L292" s="6">
        <v>500405</v>
      </c>
      <c r="M292">
        <v>565</v>
      </c>
      <c r="N292">
        <v>148</v>
      </c>
      <c r="O292">
        <v>713</v>
      </c>
      <c r="P292" s="6">
        <v>58358</v>
      </c>
      <c r="Q292" s="6">
        <v>6795</v>
      </c>
      <c r="R292" s="6">
        <v>101445</v>
      </c>
      <c r="S292" s="6">
        <v>111515</v>
      </c>
      <c r="T292" s="6">
        <v>779231</v>
      </c>
      <c r="U292" s="6">
        <v>438409</v>
      </c>
      <c r="V292" s="6">
        <v>340822</v>
      </c>
    </row>
    <row r="293" spans="1:22" x14ac:dyDescent="0.25">
      <c r="A293">
        <v>2024</v>
      </c>
      <c r="B293" s="1" t="s">
        <v>21</v>
      </c>
      <c r="C293" t="s">
        <v>57</v>
      </c>
      <c r="D293" s="1" t="s">
        <v>697</v>
      </c>
      <c r="E293" t="s">
        <v>372</v>
      </c>
      <c r="F293" s="6">
        <v>186065</v>
      </c>
      <c r="G293" s="6">
        <v>148268</v>
      </c>
      <c r="H293" s="6">
        <v>34809</v>
      </c>
      <c r="I293" s="6">
        <v>113459</v>
      </c>
      <c r="J293" s="6">
        <v>37797</v>
      </c>
      <c r="K293">
        <v>0</v>
      </c>
      <c r="L293" s="6">
        <v>151256</v>
      </c>
      <c r="M293">
        <v>348</v>
      </c>
      <c r="N293">
        <v>89</v>
      </c>
      <c r="O293">
        <v>437</v>
      </c>
      <c r="P293" s="6">
        <v>18702</v>
      </c>
      <c r="Q293" s="6">
        <v>2050</v>
      </c>
      <c r="R293" s="6">
        <v>30511</v>
      </c>
      <c r="S293" s="6">
        <v>33535</v>
      </c>
      <c r="T293" s="6">
        <v>236491</v>
      </c>
      <c r="U293" s="6">
        <v>134559</v>
      </c>
      <c r="V293" s="6">
        <v>101932</v>
      </c>
    </row>
    <row r="294" spans="1:22" x14ac:dyDescent="0.25">
      <c r="A294">
        <v>2024</v>
      </c>
      <c r="B294" s="1" t="s">
        <v>21</v>
      </c>
      <c r="C294" t="s">
        <v>57</v>
      </c>
      <c r="D294" s="1" t="s">
        <v>698</v>
      </c>
      <c r="E294" t="s">
        <v>373</v>
      </c>
      <c r="F294" s="6">
        <v>201609</v>
      </c>
      <c r="G294" s="6">
        <v>160655</v>
      </c>
      <c r="H294" s="6">
        <v>45941</v>
      </c>
      <c r="I294" s="6">
        <v>114714</v>
      </c>
      <c r="J294" s="6">
        <v>40954</v>
      </c>
      <c r="K294" s="6">
        <v>27397</v>
      </c>
      <c r="L294" s="6">
        <v>183065</v>
      </c>
      <c r="M294">
        <v>378</v>
      </c>
      <c r="N294">
        <v>96</v>
      </c>
      <c r="O294">
        <v>474</v>
      </c>
      <c r="P294" s="6">
        <v>20264</v>
      </c>
      <c r="Q294" s="6">
        <v>2221</v>
      </c>
      <c r="R294" s="6">
        <v>33245</v>
      </c>
      <c r="S294" s="6">
        <v>36541</v>
      </c>
      <c r="T294" s="6">
        <v>275810</v>
      </c>
      <c r="U294" s="6">
        <v>137576</v>
      </c>
      <c r="V294" s="6">
        <v>138234</v>
      </c>
    </row>
    <row r="295" spans="1:22" x14ac:dyDescent="0.25">
      <c r="A295">
        <v>2024</v>
      </c>
      <c r="B295" s="1" t="s">
        <v>15</v>
      </c>
      <c r="C295" t="s">
        <v>51</v>
      </c>
      <c r="D295" s="1" t="s">
        <v>699</v>
      </c>
      <c r="E295" t="s">
        <v>374</v>
      </c>
      <c r="F295" s="6">
        <v>250004</v>
      </c>
      <c r="G295" s="6">
        <v>195698</v>
      </c>
      <c r="H295" s="6">
        <v>44032</v>
      </c>
      <c r="I295" s="6">
        <v>151666</v>
      </c>
      <c r="J295" s="6">
        <v>54306</v>
      </c>
      <c r="K295">
        <v>0</v>
      </c>
      <c r="L295" s="6">
        <v>205972</v>
      </c>
      <c r="M295">
        <v>246</v>
      </c>
      <c r="N295">
        <v>68</v>
      </c>
      <c r="O295">
        <v>314</v>
      </c>
      <c r="P295" s="6">
        <v>30911</v>
      </c>
      <c r="Q295" s="6">
        <v>3558</v>
      </c>
      <c r="R295" s="6">
        <v>42417</v>
      </c>
      <c r="S295" s="6">
        <v>47292</v>
      </c>
      <c r="T295" s="6">
        <v>330464</v>
      </c>
      <c r="U295" s="6">
        <v>186380</v>
      </c>
      <c r="V295" s="6">
        <v>144084</v>
      </c>
    </row>
    <row r="296" spans="1:22" x14ac:dyDescent="0.25">
      <c r="A296">
        <v>2024</v>
      </c>
      <c r="B296" s="1" t="s">
        <v>17</v>
      </c>
      <c r="C296" t="s">
        <v>53</v>
      </c>
      <c r="D296" s="1" t="s">
        <v>700</v>
      </c>
      <c r="E296" t="s">
        <v>375</v>
      </c>
      <c r="F296" s="6">
        <v>613156</v>
      </c>
      <c r="G296" s="6">
        <v>486135</v>
      </c>
      <c r="H296" s="6">
        <v>105969</v>
      </c>
      <c r="I296" s="6">
        <v>380166</v>
      </c>
      <c r="J296" s="6">
        <v>127021</v>
      </c>
      <c r="K296">
        <v>0</v>
      </c>
      <c r="L296" s="6">
        <v>507187</v>
      </c>
      <c r="M296">
        <v>562</v>
      </c>
      <c r="N296">
        <v>147</v>
      </c>
      <c r="O296">
        <v>709</v>
      </c>
      <c r="P296" s="6">
        <v>58042</v>
      </c>
      <c r="Q296" s="6">
        <v>6758</v>
      </c>
      <c r="R296" s="6">
        <v>105858</v>
      </c>
      <c r="S296" s="6">
        <v>116366</v>
      </c>
      <c r="T296" s="6">
        <v>794920</v>
      </c>
      <c r="U296" s="6">
        <v>445528</v>
      </c>
      <c r="V296" s="6">
        <v>349392</v>
      </c>
    </row>
    <row r="297" spans="1:22" x14ac:dyDescent="0.25">
      <c r="A297">
        <v>2024</v>
      </c>
      <c r="B297" s="1" t="s">
        <v>15</v>
      </c>
      <c r="C297" t="s">
        <v>51</v>
      </c>
      <c r="D297" s="1" t="s">
        <v>701</v>
      </c>
      <c r="E297" t="s">
        <v>376</v>
      </c>
      <c r="F297" s="6">
        <v>4372552</v>
      </c>
      <c r="G297" s="6">
        <v>3422742</v>
      </c>
      <c r="H297" s="6">
        <v>711482</v>
      </c>
      <c r="I297" s="6">
        <v>2711260</v>
      </c>
      <c r="J297" s="6">
        <v>949810</v>
      </c>
      <c r="K297">
        <v>0</v>
      </c>
      <c r="L297" s="6">
        <v>3661070</v>
      </c>
      <c r="M297" s="6">
        <v>4311</v>
      </c>
      <c r="N297" s="6">
        <v>1196</v>
      </c>
      <c r="O297" s="6">
        <v>5507</v>
      </c>
      <c r="P297" s="6">
        <v>540638</v>
      </c>
      <c r="Q297" s="6">
        <v>62232</v>
      </c>
      <c r="R297" s="6">
        <v>736209</v>
      </c>
      <c r="S297" s="6">
        <v>820825</v>
      </c>
      <c r="T297" s="6">
        <v>5826481</v>
      </c>
      <c r="U297" s="6">
        <v>3318441</v>
      </c>
      <c r="V297" s="6">
        <v>2508040</v>
      </c>
    </row>
    <row r="298" spans="1:22" x14ac:dyDescent="0.25">
      <c r="A298">
        <v>2024</v>
      </c>
      <c r="B298" s="1" t="s">
        <v>18</v>
      </c>
      <c r="C298" t="s">
        <v>54</v>
      </c>
      <c r="D298" s="1" t="s">
        <v>702</v>
      </c>
      <c r="E298" t="s">
        <v>377</v>
      </c>
      <c r="F298" s="6">
        <v>4737950</v>
      </c>
      <c r="G298" s="6">
        <v>3838280</v>
      </c>
      <c r="H298" s="6">
        <v>153289</v>
      </c>
      <c r="I298" s="6">
        <v>3684991</v>
      </c>
      <c r="J298" s="6">
        <v>899670</v>
      </c>
      <c r="K298">
        <v>0</v>
      </c>
      <c r="L298" s="6">
        <v>4584661</v>
      </c>
      <c r="M298">
        <v>0</v>
      </c>
      <c r="N298">
        <v>0</v>
      </c>
      <c r="O298">
        <v>0</v>
      </c>
      <c r="P298" s="6">
        <v>403456</v>
      </c>
      <c r="Q298" s="6">
        <v>50596</v>
      </c>
      <c r="R298" s="6">
        <v>894307</v>
      </c>
      <c r="S298" s="6">
        <v>982382</v>
      </c>
      <c r="T298" s="6">
        <v>6915402</v>
      </c>
      <c r="U298" s="6">
        <v>4139043</v>
      </c>
      <c r="V298" s="6">
        <v>2776359</v>
      </c>
    </row>
    <row r="299" spans="1:22" x14ac:dyDescent="0.25">
      <c r="A299">
        <v>2024</v>
      </c>
      <c r="B299" s="1" t="s">
        <v>15</v>
      </c>
      <c r="C299" t="s">
        <v>51</v>
      </c>
      <c r="D299" s="1" t="s">
        <v>703</v>
      </c>
      <c r="E299" t="s">
        <v>378</v>
      </c>
      <c r="F299" s="6">
        <v>835019</v>
      </c>
      <c r="G299" s="6">
        <v>653635</v>
      </c>
      <c r="H299" s="6">
        <v>116224</v>
      </c>
      <c r="I299" s="6">
        <v>537411</v>
      </c>
      <c r="J299" s="6">
        <v>181384</v>
      </c>
      <c r="K299">
        <v>0</v>
      </c>
      <c r="L299" s="6">
        <v>718795</v>
      </c>
      <c r="M299">
        <v>824</v>
      </c>
      <c r="N299">
        <v>228</v>
      </c>
      <c r="O299" s="6">
        <v>1052</v>
      </c>
      <c r="P299" s="6">
        <v>103245</v>
      </c>
      <c r="Q299" s="6">
        <v>11884</v>
      </c>
      <c r="R299" s="6">
        <v>144493</v>
      </c>
      <c r="S299" s="6">
        <v>161100</v>
      </c>
      <c r="T299" s="6">
        <v>1140569</v>
      </c>
      <c r="U299" s="6">
        <v>653364</v>
      </c>
      <c r="V299" s="6">
        <v>487205</v>
      </c>
    </row>
    <row r="300" spans="1:22" x14ac:dyDescent="0.25">
      <c r="A300">
        <v>2024</v>
      </c>
      <c r="B300" s="1" t="s">
        <v>21</v>
      </c>
      <c r="C300" t="s">
        <v>57</v>
      </c>
      <c r="D300" s="1" t="s">
        <v>704</v>
      </c>
      <c r="E300" t="s">
        <v>379</v>
      </c>
      <c r="F300" s="6">
        <v>216975</v>
      </c>
      <c r="G300" s="6">
        <v>172899</v>
      </c>
      <c r="H300" s="6">
        <v>45988</v>
      </c>
      <c r="I300" s="6">
        <v>126911</v>
      </c>
      <c r="J300" s="6">
        <v>44076</v>
      </c>
      <c r="K300">
        <v>0</v>
      </c>
      <c r="L300" s="6">
        <v>170987</v>
      </c>
      <c r="M300">
        <v>407</v>
      </c>
      <c r="N300">
        <v>103</v>
      </c>
      <c r="O300">
        <v>510</v>
      </c>
      <c r="P300" s="6">
        <v>21809</v>
      </c>
      <c r="Q300" s="6">
        <v>2390</v>
      </c>
      <c r="R300" s="6">
        <v>35731</v>
      </c>
      <c r="S300" s="6">
        <v>39273</v>
      </c>
      <c r="T300" s="6">
        <v>270700</v>
      </c>
      <c r="U300" s="6">
        <v>151516</v>
      </c>
      <c r="V300" s="6">
        <v>119184</v>
      </c>
    </row>
    <row r="301" spans="1:22" x14ac:dyDescent="0.25">
      <c r="A301">
        <v>2024</v>
      </c>
      <c r="B301" s="1" t="s">
        <v>14</v>
      </c>
      <c r="C301" t="s">
        <v>50</v>
      </c>
      <c r="D301" s="1" t="s">
        <v>705</v>
      </c>
      <c r="E301" t="s">
        <v>380</v>
      </c>
      <c r="F301" s="6">
        <v>659928</v>
      </c>
      <c r="G301" s="6">
        <v>506619</v>
      </c>
      <c r="H301" s="6">
        <v>123421</v>
      </c>
      <c r="I301" s="6">
        <v>383198</v>
      </c>
      <c r="J301" s="6">
        <v>153309</v>
      </c>
      <c r="K301">
        <v>0</v>
      </c>
      <c r="L301" s="6">
        <v>536507</v>
      </c>
      <c r="M301">
        <v>0</v>
      </c>
      <c r="N301">
        <v>0</v>
      </c>
      <c r="O301">
        <v>0</v>
      </c>
      <c r="P301" s="6">
        <v>69910</v>
      </c>
      <c r="Q301" s="6">
        <v>8309</v>
      </c>
      <c r="R301" s="6">
        <v>113724</v>
      </c>
      <c r="S301" s="6">
        <v>127385</v>
      </c>
      <c r="T301" s="6">
        <v>855835</v>
      </c>
      <c r="U301" s="6">
        <v>461417</v>
      </c>
      <c r="V301" s="6">
        <v>394418</v>
      </c>
    </row>
    <row r="302" spans="1:22" x14ac:dyDescent="0.25">
      <c r="A302">
        <v>2024</v>
      </c>
      <c r="B302" s="1" t="s">
        <v>14</v>
      </c>
      <c r="C302" t="s">
        <v>50</v>
      </c>
      <c r="D302" s="1" t="s">
        <v>706</v>
      </c>
      <c r="E302" t="s">
        <v>381</v>
      </c>
      <c r="F302" s="6">
        <v>123144</v>
      </c>
      <c r="G302" s="6">
        <v>94536</v>
      </c>
      <c r="H302" s="6">
        <v>25688</v>
      </c>
      <c r="I302" s="6">
        <v>68848</v>
      </c>
      <c r="J302" s="6">
        <v>28608</v>
      </c>
      <c r="K302">
        <v>0</v>
      </c>
      <c r="L302" s="6">
        <v>97456</v>
      </c>
      <c r="M302">
        <v>0</v>
      </c>
      <c r="N302">
        <v>0</v>
      </c>
      <c r="O302">
        <v>0</v>
      </c>
      <c r="P302" s="6">
        <v>13045</v>
      </c>
      <c r="Q302" s="6">
        <v>1551</v>
      </c>
      <c r="R302" s="6">
        <v>22195</v>
      </c>
      <c r="S302" s="6">
        <v>24861</v>
      </c>
      <c r="T302" s="6">
        <v>159108</v>
      </c>
      <c r="U302" s="6">
        <v>83444</v>
      </c>
      <c r="V302" s="6">
        <v>75664</v>
      </c>
    </row>
    <row r="303" spans="1:22" x14ac:dyDescent="0.25">
      <c r="A303">
        <v>2024</v>
      </c>
      <c r="B303" s="1" t="s">
        <v>17</v>
      </c>
      <c r="C303" t="s">
        <v>53</v>
      </c>
      <c r="D303" s="1" t="s">
        <v>707</v>
      </c>
      <c r="E303" t="s">
        <v>382</v>
      </c>
      <c r="F303" s="6">
        <v>296402</v>
      </c>
      <c r="G303" s="6">
        <v>235000</v>
      </c>
      <c r="H303" s="6">
        <v>46027</v>
      </c>
      <c r="I303" s="6">
        <v>188973</v>
      </c>
      <c r="J303" s="6">
        <v>61402</v>
      </c>
      <c r="K303">
        <v>0</v>
      </c>
      <c r="L303" s="6">
        <v>250375</v>
      </c>
      <c r="M303">
        <v>272</v>
      </c>
      <c r="N303">
        <v>71</v>
      </c>
      <c r="O303">
        <v>343</v>
      </c>
      <c r="P303" s="6">
        <v>28058</v>
      </c>
      <c r="Q303" s="6">
        <v>3267</v>
      </c>
      <c r="R303" s="6">
        <v>49790</v>
      </c>
      <c r="S303" s="6">
        <v>54732</v>
      </c>
      <c r="T303" s="6">
        <v>386565</v>
      </c>
      <c r="U303" s="6">
        <v>220570</v>
      </c>
      <c r="V303" s="6">
        <v>165995</v>
      </c>
    </row>
    <row r="304" spans="1:22" x14ac:dyDescent="0.25">
      <c r="A304">
        <v>2024</v>
      </c>
      <c r="B304" s="1" t="s">
        <v>21</v>
      </c>
      <c r="C304" t="s">
        <v>57</v>
      </c>
      <c r="D304" s="1" t="s">
        <v>708</v>
      </c>
      <c r="E304" t="s">
        <v>383</v>
      </c>
      <c r="F304" s="6">
        <v>148780</v>
      </c>
      <c r="G304" s="6">
        <v>118557</v>
      </c>
      <c r="H304" s="6">
        <v>28867</v>
      </c>
      <c r="I304" s="6">
        <v>89690</v>
      </c>
      <c r="J304" s="6">
        <v>30223</v>
      </c>
      <c r="K304" s="6">
        <v>10096</v>
      </c>
      <c r="L304" s="6">
        <v>130009</v>
      </c>
      <c r="M304">
        <v>277</v>
      </c>
      <c r="N304">
        <v>71</v>
      </c>
      <c r="O304">
        <v>348</v>
      </c>
      <c r="P304" s="6">
        <v>15530</v>
      </c>
      <c r="Q304" s="6">
        <v>1697</v>
      </c>
      <c r="R304" s="6">
        <v>27342</v>
      </c>
      <c r="S304" s="6">
        <v>30052</v>
      </c>
      <c r="T304" s="6">
        <v>204978</v>
      </c>
      <c r="U304" s="6">
        <v>107194</v>
      </c>
      <c r="V304" s="6">
        <v>97784</v>
      </c>
    </row>
    <row r="305" spans="1:22" x14ac:dyDescent="0.25">
      <c r="A305">
        <v>2024</v>
      </c>
      <c r="B305" s="1" t="s">
        <v>13</v>
      </c>
      <c r="C305" t="s">
        <v>49</v>
      </c>
      <c r="D305" s="1" t="s">
        <v>709</v>
      </c>
      <c r="E305" t="s">
        <v>384</v>
      </c>
      <c r="F305" s="6">
        <v>104985</v>
      </c>
      <c r="G305" s="6">
        <v>79612</v>
      </c>
      <c r="H305" s="6">
        <v>22130</v>
      </c>
      <c r="I305" s="6">
        <v>57482</v>
      </c>
      <c r="J305" s="6">
        <v>25373</v>
      </c>
      <c r="K305">
        <v>0</v>
      </c>
      <c r="L305" s="6">
        <v>82855</v>
      </c>
      <c r="M305">
        <v>214</v>
      </c>
      <c r="N305">
        <v>68</v>
      </c>
      <c r="O305">
        <v>282</v>
      </c>
      <c r="P305" s="6">
        <v>10395</v>
      </c>
      <c r="Q305" s="6">
        <v>1128</v>
      </c>
      <c r="R305" s="6">
        <v>16921</v>
      </c>
      <c r="S305" s="6">
        <v>18851</v>
      </c>
      <c r="T305" s="6">
        <v>130432</v>
      </c>
      <c r="U305" s="6">
        <v>69219</v>
      </c>
      <c r="V305" s="6">
        <v>61213</v>
      </c>
    </row>
    <row r="306" spans="1:22" x14ac:dyDescent="0.25">
      <c r="A306">
        <v>2024</v>
      </c>
      <c r="B306" s="1" t="s">
        <v>18</v>
      </c>
      <c r="C306" t="s">
        <v>54</v>
      </c>
      <c r="D306" s="1" t="s">
        <v>710</v>
      </c>
      <c r="E306" t="s">
        <v>385</v>
      </c>
      <c r="F306" s="6">
        <v>356369</v>
      </c>
      <c r="G306" s="6">
        <v>288700</v>
      </c>
      <c r="H306" s="6">
        <v>57717</v>
      </c>
      <c r="I306" s="6">
        <v>230983</v>
      </c>
      <c r="J306" s="6">
        <v>67669</v>
      </c>
      <c r="K306">
        <v>0</v>
      </c>
      <c r="L306" s="6">
        <v>298652</v>
      </c>
      <c r="M306">
        <v>0</v>
      </c>
      <c r="N306">
        <v>0</v>
      </c>
      <c r="O306">
        <v>0</v>
      </c>
      <c r="P306" s="6">
        <v>30346</v>
      </c>
      <c r="Q306" s="6">
        <v>3806</v>
      </c>
      <c r="R306" s="6">
        <v>58752</v>
      </c>
      <c r="S306" s="6">
        <v>64538</v>
      </c>
      <c r="T306" s="6">
        <v>456094</v>
      </c>
      <c r="U306" s="6">
        <v>265135</v>
      </c>
      <c r="V306" s="6">
        <v>190959</v>
      </c>
    </row>
    <row r="307" spans="1:22" x14ac:dyDescent="0.25">
      <c r="A307">
        <v>2024</v>
      </c>
      <c r="B307" s="1" t="s">
        <v>13</v>
      </c>
      <c r="C307" t="s">
        <v>49</v>
      </c>
      <c r="D307" s="1" t="s">
        <v>711</v>
      </c>
      <c r="E307" t="s">
        <v>386</v>
      </c>
      <c r="F307" s="6">
        <v>539095</v>
      </c>
      <c r="G307" s="6">
        <v>408804</v>
      </c>
      <c r="H307" s="6">
        <v>118627</v>
      </c>
      <c r="I307" s="6">
        <v>290177</v>
      </c>
      <c r="J307" s="6">
        <v>130291</v>
      </c>
      <c r="K307">
        <v>0</v>
      </c>
      <c r="L307" s="6">
        <v>420468</v>
      </c>
      <c r="M307" s="6">
        <v>1093</v>
      </c>
      <c r="N307">
        <v>348</v>
      </c>
      <c r="O307" s="6">
        <v>1441</v>
      </c>
      <c r="P307" s="6">
        <v>53377</v>
      </c>
      <c r="Q307" s="6">
        <v>5791</v>
      </c>
      <c r="R307" s="6">
        <v>97094</v>
      </c>
      <c r="S307" s="6">
        <v>108166</v>
      </c>
      <c r="T307" s="6">
        <v>686337</v>
      </c>
      <c r="U307" s="6">
        <v>350438</v>
      </c>
      <c r="V307" s="6">
        <v>335899</v>
      </c>
    </row>
    <row r="308" spans="1:22" x14ac:dyDescent="0.25">
      <c r="A308">
        <v>2024</v>
      </c>
      <c r="B308" s="1" t="s">
        <v>18</v>
      </c>
      <c r="C308" t="s">
        <v>54</v>
      </c>
      <c r="D308" s="1" t="s">
        <v>712</v>
      </c>
      <c r="E308" t="s">
        <v>387</v>
      </c>
      <c r="F308" s="6">
        <v>3183779</v>
      </c>
      <c r="G308" s="6">
        <v>2579225</v>
      </c>
      <c r="H308" s="6">
        <v>513663</v>
      </c>
      <c r="I308" s="6">
        <v>2065562</v>
      </c>
      <c r="J308" s="6">
        <v>604554</v>
      </c>
      <c r="K308">
        <v>0</v>
      </c>
      <c r="L308" s="6">
        <v>2670116</v>
      </c>
      <c r="M308">
        <v>0</v>
      </c>
      <c r="N308">
        <v>0</v>
      </c>
      <c r="O308">
        <v>0</v>
      </c>
      <c r="P308" s="6">
        <v>271112</v>
      </c>
      <c r="Q308" s="6">
        <v>33999</v>
      </c>
      <c r="R308" s="6">
        <v>612645</v>
      </c>
      <c r="S308" s="6">
        <v>672981</v>
      </c>
      <c r="T308" s="6">
        <v>4260853</v>
      </c>
      <c r="U308" s="6">
        <v>2370673</v>
      </c>
      <c r="V308" s="6">
        <v>1890180</v>
      </c>
    </row>
    <row r="309" spans="1:22" x14ac:dyDescent="0.25">
      <c r="A309">
        <v>2024</v>
      </c>
      <c r="B309" s="1" t="s">
        <v>15</v>
      </c>
      <c r="C309" t="s">
        <v>51</v>
      </c>
      <c r="D309" s="1" t="s">
        <v>713</v>
      </c>
      <c r="E309" t="s">
        <v>388</v>
      </c>
      <c r="F309" s="6">
        <v>294074</v>
      </c>
      <c r="G309" s="6">
        <v>230195</v>
      </c>
      <c r="H309" s="6">
        <v>58114</v>
      </c>
      <c r="I309" s="6">
        <v>172081</v>
      </c>
      <c r="J309" s="6">
        <v>63879</v>
      </c>
      <c r="K309">
        <v>0</v>
      </c>
      <c r="L309" s="6">
        <v>235960</v>
      </c>
      <c r="M309">
        <v>290</v>
      </c>
      <c r="N309">
        <v>81</v>
      </c>
      <c r="O309">
        <v>371</v>
      </c>
      <c r="P309" s="6">
        <v>36360</v>
      </c>
      <c r="Q309" s="6">
        <v>4185</v>
      </c>
      <c r="R309" s="6">
        <v>51038</v>
      </c>
      <c r="S309" s="6">
        <v>56904</v>
      </c>
      <c r="T309" s="6">
        <v>384818</v>
      </c>
      <c r="U309" s="6">
        <v>212916</v>
      </c>
      <c r="V309" s="6">
        <v>171902</v>
      </c>
    </row>
    <row r="310" spans="1:22" x14ac:dyDescent="0.25">
      <c r="A310">
        <v>2024</v>
      </c>
      <c r="B310" s="1" t="s">
        <v>15</v>
      </c>
      <c r="C310" t="s">
        <v>51</v>
      </c>
      <c r="D310" s="1" t="s">
        <v>714</v>
      </c>
      <c r="E310" t="s">
        <v>389</v>
      </c>
      <c r="F310" s="6">
        <v>202703</v>
      </c>
      <c r="G310" s="6">
        <v>158672</v>
      </c>
      <c r="H310" s="6">
        <v>42031</v>
      </c>
      <c r="I310" s="6">
        <v>116641</v>
      </c>
      <c r="J310" s="6">
        <v>44031</v>
      </c>
      <c r="K310">
        <v>0</v>
      </c>
      <c r="L310" s="6">
        <v>160672</v>
      </c>
      <c r="M310">
        <v>201</v>
      </c>
      <c r="N310">
        <v>55</v>
      </c>
      <c r="O310">
        <v>256</v>
      </c>
      <c r="P310" s="6">
        <v>25063</v>
      </c>
      <c r="Q310" s="6">
        <v>2885</v>
      </c>
      <c r="R310" s="6">
        <v>35420</v>
      </c>
      <c r="S310" s="6">
        <v>39492</v>
      </c>
      <c r="T310" s="6">
        <v>263788</v>
      </c>
      <c r="U310" s="6">
        <v>144790</v>
      </c>
      <c r="V310" s="6">
        <v>118998</v>
      </c>
    </row>
    <row r="311" spans="1:22" x14ac:dyDescent="0.25">
      <c r="A311">
        <v>2024</v>
      </c>
      <c r="B311" s="1" t="s">
        <v>20</v>
      </c>
      <c r="C311" t="s">
        <v>56</v>
      </c>
      <c r="D311" s="1" t="s">
        <v>715</v>
      </c>
      <c r="E311" t="s">
        <v>390</v>
      </c>
      <c r="F311" s="6">
        <v>137834</v>
      </c>
      <c r="G311" s="6">
        <v>108966</v>
      </c>
      <c r="H311" s="6">
        <v>33342</v>
      </c>
      <c r="I311" s="6">
        <v>75624</v>
      </c>
      <c r="J311" s="6">
        <v>28868</v>
      </c>
      <c r="K311" s="6">
        <v>10126</v>
      </c>
      <c r="L311" s="6">
        <v>114618</v>
      </c>
      <c r="M311">
        <v>230</v>
      </c>
      <c r="N311">
        <v>61</v>
      </c>
      <c r="O311">
        <v>291</v>
      </c>
      <c r="P311" s="6">
        <v>14153</v>
      </c>
      <c r="Q311" s="6">
        <v>1527</v>
      </c>
      <c r="R311" s="6">
        <v>22133</v>
      </c>
      <c r="S311" s="6">
        <v>24468</v>
      </c>
      <c r="T311" s="6">
        <v>177190</v>
      </c>
      <c r="U311" s="6">
        <v>91534</v>
      </c>
      <c r="V311" s="6">
        <v>85656</v>
      </c>
    </row>
    <row r="312" spans="1:22" x14ac:dyDescent="0.25">
      <c r="A312">
        <v>2024</v>
      </c>
      <c r="B312" s="1" t="s">
        <v>16</v>
      </c>
      <c r="C312" t="s">
        <v>52</v>
      </c>
      <c r="D312" s="1" t="s">
        <v>716</v>
      </c>
      <c r="E312" t="s">
        <v>391</v>
      </c>
      <c r="F312" s="6">
        <v>456877</v>
      </c>
      <c r="G312" s="6">
        <v>360154</v>
      </c>
      <c r="H312" s="6">
        <v>67734</v>
      </c>
      <c r="I312" s="6">
        <v>292420</v>
      </c>
      <c r="J312" s="6">
        <v>96723</v>
      </c>
      <c r="K312">
        <v>0</v>
      </c>
      <c r="L312" s="6">
        <v>389143</v>
      </c>
      <c r="M312">
        <v>0</v>
      </c>
      <c r="N312">
        <v>0</v>
      </c>
      <c r="O312">
        <v>0</v>
      </c>
      <c r="P312" s="6">
        <v>41977</v>
      </c>
      <c r="Q312" s="6">
        <v>4925</v>
      </c>
      <c r="R312" s="6">
        <v>76855</v>
      </c>
      <c r="S312" s="6">
        <v>83985</v>
      </c>
      <c r="T312" s="6">
        <v>596885</v>
      </c>
      <c r="U312" s="6">
        <v>339322</v>
      </c>
      <c r="V312" s="6">
        <v>257563</v>
      </c>
    </row>
    <row r="313" spans="1:22" x14ac:dyDescent="0.25">
      <c r="A313">
        <v>2024</v>
      </c>
      <c r="B313" s="1" t="s">
        <v>19</v>
      </c>
      <c r="C313" t="s">
        <v>55</v>
      </c>
      <c r="D313" s="1" t="s">
        <v>717</v>
      </c>
      <c r="E313" t="s">
        <v>392</v>
      </c>
      <c r="F313" s="6">
        <v>349033</v>
      </c>
      <c r="G313" s="6">
        <v>270600</v>
      </c>
      <c r="H313" s="6">
        <v>51172</v>
      </c>
      <c r="I313" s="6">
        <v>219428</v>
      </c>
      <c r="J313" s="6">
        <v>78433</v>
      </c>
      <c r="K313">
        <v>0</v>
      </c>
      <c r="L313" s="6">
        <v>297861</v>
      </c>
      <c r="M313">
        <v>520</v>
      </c>
      <c r="N313">
        <v>151</v>
      </c>
      <c r="O313">
        <v>671</v>
      </c>
      <c r="P313" s="6">
        <v>35168</v>
      </c>
      <c r="Q313" s="6">
        <v>4192</v>
      </c>
      <c r="R313" s="6">
        <v>67696</v>
      </c>
      <c r="S313" s="6">
        <v>75804</v>
      </c>
      <c r="T313" s="6">
        <v>481392</v>
      </c>
      <c r="U313" s="6">
        <v>259308</v>
      </c>
      <c r="V313" s="6">
        <v>222084</v>
      </c>
    </row>
    <row r="314" spans="1:22" x14ac:dyDescent="0.25">
      <c r="A314">
        <v>2024</v>
      </c>
      <c r="B314" s="1" t="s">
        <v>15</v>
      </c>
      <c r="C314" t="s">
        <v>51</v>
      </c>
      <c r="D314" s="1" t="s">
        <v>718</v>
      </c>
      <c r="E314" t="s">
        <v>393</v>
      </c>
      <c r="F314" s="6">
        <v>290479</v>
      </c>
      <c r="G314" s="6">
        <v>227381</v>
      </c>
      <c r="H314" s="6">
        <v>51207</v>
      </c>
      <c r="I314" s="6">
        <v>176174</v>
      </c>
      <c r="J314" s="6">
        <v>63098</v>
      </c>
      <c r="K314" s="6">
        <v>4284</v>
      </c>
      <c r="L314" s="6">
        <v>243556</v>
      </c>
      <c r="M314">
        <v>288</v>
      </c>
      <c r="N314">
        <v>80</v>
      </c>
      <c r="O314">
        <v>368</v>
      </c>
      <c r="P314" s="6">
        <v>36435</v>
      </c>
      <c r="Q314" s="6">
        <v>4190</v>
      </c>
      <c r="R314" s="6">
        <v>49289</v>
      </c>
      <c r="S314" s="6">
        <v>54954</v>
      </c>
      <c r="T314" s="6">
        <v>388792</v>
      </c>
      <c r="U314" s="6">
        <v>217086</v>
      </c>
      <c r="V314" s="6">
        <v>171706</v>
      </c>
    </row>
    <row r="315" spans="1:22" x14ac:dyDescent="0.25">
      <c r="A315">
        <v>2024</v>
      </c>
      <c r="B315" s="1" t="s">
        <v>19</v>
      </c>
      <c r="C315" t="s">
        <v>55</v>
      </c>
      <c r="D315" s="1" t="s">
        <v>719</v>
      </c>
      <c r="E315" t="s">
        <v>394</v>
      </c>
      <c r="F315" s="6">
        <v>242222</v>
      </c>
      <c r="G315" s="6">
        <v>187791</v>
      </c>
      <c r="H315" s="6">
        <v>44237</v>
      </c>
      <c r="I315" s="6">
        <v>143554</v>
      </c>
      <c r="J315" s="6">
        <v>54431</v>
      </c>
      <c r="K315">
        <v>0</v>
      </c>
      <c r="L315" s="6">
        <v>197985</v>
      </c>
      <c r="M315">
        <v>362</v>
      </c>
      <c r="N315">
        <v>105</v>
      </c>
      <c r="O315">
        <v>467</v>
      </c>
      <c r="P315" s="6">
        <v>24406</v>
      </c>
      <c r="Q315" s="6">
        <v>2909</v>
      </c>
      <c r="R315" s="6">
        <v>37845</v>
      </c>
      <c r="S315" s="6">
        <v>42378</v>
      </c>
      <c r="T315" s="6">
        <v>305990</v>
      </c>
      <c r="U315" s="6">
        <v>171231</v>
      </c>
      <c r="V315" s="6">
        <v>134759</v>
      </c>
    </row>
    <row r="316" spans="1:22" x14ac:dyDescent="0.25">
      <c r="A316">
        <v>2024</v>
      </c>
      <c r="B316" s="1" t="s">
        <v>19</v>
      </c>
      <c r="C316" t="s">
        <v>55</v>
      </c>
      <c r="D316" s="1" t="s">
        <v>720</v>
      </c>
      <c r="E316" t="s">
        <v>395</v>
      </c>
      <c r="F316" s="6">
        <v>312550</v>
      </c>
      <c r="G316" s="6">
        <v>242315</v>
      </c>
      <c r="H316" s="6">
        <v>48756</v>
      </c>
      <c r="I316" s="6">
        <v>193559</v>
      </c>
      <c r="J316" s="6">
        <v>70235</v>
      </c>
      <c r="K316" s="6">
        <v>2883</v>
      </c>
      <c r="L316" s="6">
        <v>266677</v>
      </c>
      <c r="M316">
        <v>467</v>
      </c>
      <c r="N316">
        <v>136</v>
      </c>
      <c r="O316">
        <v>603</v>
      </c>
      <c r="P316" s="6">
        <v>31513</v>
      </c>
      <c r="Q316" s="6">
        <v>3756</v>
      </c>
      <c r="R316" s="6">
        <v>54394</v>
      </c>
      <c r="S316" s="6">
        <v>60909</v>
      </c>
      <c r="T316" s="6">
        <v>417852</v>
      </c>
      <c r="U316" s="6">
        <v>229295</v>
      </c>
      <c r="V316" s="6">
        <v>188557</v>
      </c>
    </row>
    <row r="317" spans="1:22" x14ac:dyDescent="0.25">
      <c r="A317">
        <v>2024</v>
      </c>
      <c r="B317" s="1" t="s">
        <v>13</v>
      </c>
      <c r="C317" t="s">
        <v>49</v>
      </c>
      <c r="D317" s="1" t="s">
        <v>721</v>
      </c>
      <c r="E317" t="s">
        <v>396</v>
      </c>
      <c r="F317" s="6">
        <v>1252507</v>
      </c>
      <c r="G317" s="6">
        <v>949795</v>
      </c>
      <c r="H317" s="6">
        <v>184387</v>
      </c>
      <c r="I317" s="6">
        <v>765408</v>
      </c>
      <c r="J317" s="6">
        <v>302712</v>
      </c>
      <c r="K317">
        <v>0</v>
      </c>
      <c r="L317" s="6">
        <v>1068120</v>
      </c>
      <c r="M317" s="6">
        <v>2540</v>
      </c>
      <c r="N317">
        <v>809</v>
      </c>
      <c r="O317" s="6">
        <v>3349</v>
      </c>
      <c r="P317" s="6">
        <v>124013</v>
      </c>
      <c r="Q317" s="6">
        <v>13455</v>
      </c>
      <c r="R317" s="6">
        <v>263309</v>
      </c>
      <c r="S317" s="6">
        <v>293335</v>
      </c>
      <c r="T317" s="6">
        <v>1765581</v>
      </c>
      <c r="U317" s="6">
        <v>905416</v>
      </c>
      <c r="V317" s="6">
        <v>860165</v>
      </c>
    </row>
    <row r="318" spans="1:22" x14ac:dyDescent="0.25">
      <c r="A318">
        <v>2024</v>
      </c>
      <c r="B318" s="1" t="s">
        <v>19</v>
      </c>
      <c r="C318" t="s">
        <v>55</v>
      </c>
      <c r="D318" s="1" t="s">
        <v>722</v>
      </c>
      <c r="E318" t="s">
        <v>397</v>
      </c>
      <c r="F318" s="6">
        <v>206205</v>
      </c>
      <c r="G318" s="6">
        <v>159868</v>
      </c>
      <c r="H318" s="6">
        <v>41952</v>
      </c>
      <c r="I318" s="6">
        <v>117916</v>
      </c>
      <c r="J318" s="6">
        <v>46337</v>
      </c>
      <c r="K318">
        <v>0</v>
      </c>
      <c r="L318" s="6">
        <v>164253</v>
      </c>
      <c r="M318">
        <v>309</v>
      </c>
      <c r="N318">
        <v>89</v>
      </c>
      <c r="O318">
        <v>398</v>
      </c>
      <c r="P318" s="6">
        <v>20777</v>
      </c>
      <c r="Q318" s="6">
        <v>2477</v>
      </c>
      <c r="R318" s="6">
        <v>33661</v>
      </c>
      <c r="S318" s="6">
        <v>37692</v>
      </c>
      <c r="T318" s="6">
        <v>259258</v>
      </c>
      <c r="U318" s="6">
        <v>141479</v>
      </c>
      <c r="V318" s="6">
        <v>117779</v>
      </c>
    </row>
    <row r="319" spans="1:22" x14ac:dyDescent="0.25">
      <c r="A319">
        <v>2024</v>
      </c>
      <c r="B319" s="1" t="s">
        <v>19</v>
      </c>
      <c r="C319" t="s">
        <v>55</v>
      </c>
      <c r="D319" s="1" t="s">
        <v>723</v>
      </c>
      <c r="E319" t="s">
        <v>398</v>
      </c>
      <c r="F319" s="6">
        <v>70593</v>
      </c>
      <c r="G319" s="6">
        <v>54730</v>
      </c>
      <c r="H319" s="6">
        <v>14447</v>
      </c>
      <c r="I319" s="6">
        <v>40283</v>
      </c>
      <c r="J319" s="6">
        <v>15863</v>
      </c>
      <c r="K319" s="6">
        <v>2339</v>
      </c>
      <c r="L319" s="6">
        <v>58485</v>
      </c>
      <c r="M319">
        <v>106</v>
      </c>
      <c r="N319">
        <v>30</v>
      </c>
      <c r="O319">
        <v>136</v>
      </c>
      <c r="P319" s="6">
        <v>7289</v>
      </c>
      <c r="Q319">
        <v>869</v>
      </c>
      <c r="R319" s="6">
        <v>11491</v>
      </c>
      <c r="S319" s="6">
        <v>12867</v>
      </c>
      <c r="T319" s="6">
        <v>91137</v>
      </c>
      <c r="U319" s="6">
        <v>48546</v>
      </c>
      <c r="V319" s="6">
        <v>42591</v>
      </c>
    </row>
    <row r="320" spans="1:22" x14ac:dyDescent="0.25">
      <c r="A320">
        <v>2024</v>
      </c>
      <c r="B320" s="1" t="s">
        <v>17</v>
      </c>
      <c r="C320" t="s">
        <v>53</v>
      </c>
      <c r="D320" s="1" t="s">
        <v>724</v>
      </c>
      <c r="E320" t="s">
        <v>399</v>
      </c>
      <c r="F320" s="6">
        <v>422698</v>
      </c>
      <c r="G320" s="6">
        <v>335132</v>
      </c>
      <c r="H320" s="6">
        <v>67186</v>
      </c>
      <c r="I320" s="6">
        <v>267946</v>
      </c>
      <c r="J320" s="6">
        <v>87566</v>
      </c>
      <c r="K320">
        <v>0</v>
      </c>
      <c r="L320" s="6">
        <v>355512</v>
      </c>
      <c r="M320">
        <v>388</v>
      </c>
      <c r="N320">
        <v>101</v>
      </c>
      <c r="O320">
        <v>489</v>
      </c>
      <c r="P320" s="6">
        <v>40013</v>
      </c>
      <c r="Q320" s="6">
        <v>4659</v>
      </c>
      <c r="R320" s="6">
        <v>76830</v>
      </c>
      <c r="S320" s="6">
        <v>84456</v>
      </c>
      <c r="T320" s="6">
        <v>561959</v>
      </c>
      <c r="U320" s="6">
        <v>313006</v>
      </c>
      <c r="V320" s="6">
        <v>248953</v>
      </c>
    </row>
    <row r="321" spans="1:22" x14ac:dyDescent="0.25">
      <c r="A321">
        <v>2024</v>
      </c>
      <c r="B321" s="1" t="s">
        <v>16</v>
      </c>
      <c r="C321" t="s">
        <v>52</v>
      </c>
      <c r="D321" s="1" t="s">
        <v>725</v>
      </c>
      <c r="E321" t="s">
        <v>400</v>
      </c>
      <c r="F321" s="6">
        <v>316377</v>
      </c>
      <c r="G321" s="6">
        <v>249398</v>
      </c>
      <c r="H321" s="6">
        <v>53251</v>
      </c>
      <c r="I321" s="6">
        <v>196147</v>
      </c>
      <c r="J321" s="6">
        <v>66979</v>
      </c>
      <c r="K321">
        <v>0</v>
      </c>
      <c r="L321" s="6">
        <v>263126</v>
      </c>
      <c r="M321">
        <v>0</v>
      </c>
      <c r="N321">
        <v>0</v>
      </c>
      <c r="O321">
        <v>0</v>
      </c>
      <c r="P321" s="6">
        <v>29068</v>
      </c>
      <c r="Q321" s="6">
        <v>3410</v>
      </c>
      <c r="R321" s="6">
        <v>52807</v>
      </c>
      <c r="S321" s="6">
        <v>57706</v>
      </c>
      <c r="T321" s="6">
        <v>406117</v>
      </c>
      <c r="U321" s="6">
        <v>228625</v>
      </c>
      <c r="V321" s="6">
        <v>177492</v>
      </c>
    </row>
    <row r="322" spans="1:22" x14ac:dyDescent="0.25">
      <c r="A322">
        <v>2024</v>
      </c>
      <c r="B322" s="1" t="s">
        <v>21</v>
      </c>
      <c r="C322" t="s">
        <v>57</v>
      </c>
      <c r="D322" s="1" t="s">
        <v>726</v>
      </c>
      <c r="E322" t="s">
        <v>401</v>
      </c>
      <c r="F322" s="6">
        <v>112841</v>
      </c>
      <c r="G322" s="6">
        <v>89918</v>
      </c>
      <c r="H322" s="6">
        <v>23945</v>
      </c>
      <c r="I322" s="6">
        <v>65973</v>
      </c>
      <c r="J322" s="6">
        <v>22923</v>
      </c>
      <c r="K322" s="6">
        <v>2887</v>
      </c>
      <c r="L322" s="6">
        <v>91783</v>
      </c>
      <c r="M322">
        <v>211</v>
      </c>
      <c r="N322">
        <v>54</v>
      </c>
      <c r="O322">
        <v>265</v>
      </c>
      <c r="P322" s="6">
        <v>11342</v>
      </c>
      <c r="Q322" s="6">
        <v>1243</v>
      </c>
      <c r="R322" s="6">
        <v>19015</v>
      </c>
      <c r="S322" s="6">
        <v>20900</v>
      </c>
      <c r="T322" s="6">
        <v>144548</v>
      </c>
      <c r="U322" s="6">
        <v>78770</v>
      </c>
      <c r="V322" s="6">
        <v>65778</v>
      </c>
    </row>
    <row r="323" spans="1:22" x14ac:dyDescent="0.25">
      <c r="A323">
        <v>2024</v>
      </c>
      <c r="B323" s="1" t="s">
        <v>18</v>
      </c>
      <c r="C323" t="s">
        <v>54</v>
      </c>
      <c r="D323" s="1" t="s">
        <v>727</v>
      </c>
      <c r="E323" t="s">
        <v>402</v>
      </c>
      <c r="F323" s="6">
        <v>609800</v>
      </c>
      <c r="G323" s="6">
        <v>494007</v>
      </c>
      <c r="H323" s="6">
        <v>92409</v>
      </c>
      <c r="I323" s="6">
        <v>401598</v>
      </c>
      <c r="J323" s="6">
        <v>115793</v>
      </c>
      <c r="K323">
        <v>0</v>
      </c>
      <c r="L323" s="6">
        <v>517391</v>
      </c>
      <c r="M323">
        <v>0</v>
      </c>
      <c r="N323">
        <v>0</v>
      </c>
      <c r="O323">
        <v>0</v>
      </c>
      <c r="P323" s="6">
        <v>51927</v>
      </c>
      <c r="Q323" s="6">
        <v>6512</v>
      </c>
      <c r="R323" s="6">
        <v>103917</v>
      </c>
      <c r="S323" s="6">
        <v>114151</v>
      </c>
      <c r="T323" s="6">
        <v>793898</v>
      </c>
      <c r="U323" s="6">
        <v>460037</v>
      </c>
      <c r="V323" s="6">
        <v>333861</v>
      </c>
    </row>
    <row r="324" spans="1:22" x14ac:dyDescent="0.25">
      <c r="A324">
        <v>2024</v>
      </c>
      <c r="B324" s="1" t="s">
        <v>20</v>
      </c>
      <c r="C324" t="s">
        <v>56</v>
      </c>
      <c r="D324" s="1" t="s">
        <v>728</v>
      </c>
      <c r="E324" t="s">
        <v>403</v>
      </c>
      <c r="F324" s="6">
        <v>174166</v>
      </c>
      <c r="G324" s="6">
        <v>137689</v>
      </c>
      <c r="H324" s="6">
        <v>33313</v>
      </c>
      <c r="I324" s="6">
        <v>104376</v>
      </c>
      <c r="J324" s="6">
        <v>36477</v>
      </c>
      <c r="K324">
        <v>0</v>
      </c>
      <c r="L324" s="6">
        <v>140853</v>
      </c>
      <c r="M324">
        <v>288</v>
      </c>
      <c r="N324">
        <v>76</v>
      </c>
      <c r="O324">
        <v>364</v>
      </c>
      <c r="P324" s="6">
        <v>17884</v>
      </c>
      <c r="Q324" s="6">
        <v>1930</v>
      </c>
      <c r="R324" s="6">
        <v>29282</v>
      </c>
      <c r="S324" s="6">
        <v>32372</v>
      </c>
      <c r="T324" s="6">
        <v>222685</v>
      </c>
      <c r="U324" s="6">
        <v>124478</v>
      </c>
      <c r="V324" s="6">
        <v>98207</v>
      </c>
    </row>
    <row r="325" spans="1:22" x14ac:dyDescent="0.25">
      <c r="A325">
        <v>2024</v>
      </c>
      <c r="B325" s="1" t="s">
        <v>19</v>
      </c>
      <c r="C325" t="s">
        <v>55</v>
      </c>
      <c r="D325" s="1" t="s">
        <v>729</v>
      </c>
      <c r="E325" t="s">
        <v>404</v>
      </c>
      <c r="F325" s="6">
        <v>203161</v>
      </c>
      <c r="G325" s="6">
        <v>157508</v>
      </c>
      <c r="H325" s="6">
        <v>36101</v>
      </c>
      <c r="I325" s="6">
        <v>121407</v>
      </c>
      <c r="J325" s="6">
        <v>45653</v>
      </c>
      <c r="K325" s="6">
        <v>1160</v>
      </c>
      <c r="L325" s="6">
        <v>168220</v>
      </c>
      <c r="M325">
        <v>304</v>
      </c>
      <c r="N325">
        <v>88</v>
      </c>
      <c r="O325">
        <v>392</v>
      </c>
      <c r="P325" s="6">
        <v>20470</v>
      </c>
      <c r="Q325" s="6">
        <v>2440</v>
      </c>
      <c r="R325" s="6">
        <v>32349</v>
      </c>
      <c r="S325" s="6">
        <v>36224</v>
      </c>
      <c r="T325" s="6">
        <v>260095</v>
      </c>
      <c r="U325" s="6">
        <v>144620</v>
      </c>
      <c r="V325" s="6">
        <v>115475</v>
      </c>
    </row>
    <row r="326" spans="1:22" x14ac:dyDescent="0.25">
      <c r="A326">
        <v>2024</v>
      </c>
      <c r="B326" s="1" t="s">
        <v>18</v>
      </c>
      <c r="C326" t="s">
        <v>54</v>
      </c>
      <c r="D326" s="1" t="s">
        <v>730</v>
      </c>
      <c r="E326" t="s">
        <v>405</v>
      </c>
      <c r="F326" s="6">
        <v>382844</v>
      </c>
      <c r="G326" s="6">
        <v>310147</v>
      </c>
      <c r="H326" s="6">
        <v>39473</v>
      </c>
      <c r="I326" s="6">
        <v>270674</v>
      </c>
      <c r="J326" s="6">
        <v>72697</v>
      </c>
      <c r="K326">
        <v>0</v>
      </c>
      <c r="L326" s="6">
        <v>343371</v>
      </c>
      <c r="M326">
        <v>0</v>
      </c>
      <c r="N326">
        <v>0</v>
      </c>
      <c r="O326">
        <v>0</v>
      </c>
      <c r="P326" s="6">
        <v>32601</v>
      </c>
      <c r="Q326" s="6">
        <v>4088</v>
      </c>
      <c r="R326" s="6">
        <v>68120</v>
      </c>
      <c r="S326" s="6">
        <v>74829</v>
      </c>
      <c r="T326" s="6">
        <v>523009</v>
      </c>
      <c r="U326" s="6">
        <v>307363</v>
      </c>
      <c r="V326" s="6">
        <v>215646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Data</vt:lpstr>
      <vt:lpstr>Notes</vt:lpstr>
      <vt:lpstr>Payment</vt:lpstr>
      <vt:lpstr>PaymentCodingDetailCheck</vt:lpstr>
      <vt:lpstr>PaymentCodingDetail_June</vt:lpstr>
      <vt:lpstr>PaymentCodingTotal</vt:lpstr>
      <vt:lpstr>PaymentCodingDetail_Sept-May</vt:lpstr>
      <vt:lpstr>Final Total Check</vt:lpstr>
      <vt:lpstr>Data_Detail</vt:lpstr>
      <vt:lpstr>'Final Total Check'!Print_Area</vt:lpstr>
      <vt:lpstr>PaymentCodingDetail_June!Print_Area</vt:lpstr>
      <vt:lpstr>'PaymentCodingDetail_Sept-May'!Print_Area</vt:lpstr>
      <vt:lpstr>PaymentCodingDetailCheck!Print_Area</vt:lpstr>
      <vt:lpstr>PaymentCodingTotal!Print_Area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Albers, Lisa [IDOE]</cp:lastModifiedBy>
  <cp:lastPrinted>2023-09-13T20:45:16Z</cp:lastPrinted>
  <dcterms:created xsi:type="dcterms:W3CDTF">2017-09-06T19:30:28Z</dcterms:created>
  <dcterms:modified xsi:type="dcterms:W3CDTF">2023-09-21T18:16:55Z</dcterms:modified>
</cp:coreProperties>
</file>