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8"/>
  <workbookPr defaultThemeVersion="124226"/>
  <mc:AlternateContent xmlns:mc="http://schemas.openxmlformats.org/markup-compatibility/2006">
    <mc:Choice Requires="x15">
      <x15ac:absPath xmlns:x15ac="http://schemas.microsoft.com/office/spreadsheetml/2010/11/ac" url="H:\My Drive\PAY\FY2023\"/>
    </mc:Choice>
  </mc:AlternateContent>
  <xr:revisionPtr revIDLastSave="0" documentId="13_ncr:1_{C4E60AF3-7ACD-4513-925F-30B7F0EFC757}" xr6:coauthVersionLast="36" xr6:coauthVersionMax="36" xr10:uidLastSave="{00000000-0000-0000-0000-000000000000}"/>
  <bookViews>
    <workbookView xWindow="480" yWindow="60" windowWidth="27795" windowHeight="12075" firstSheet="2" activeTab="2" xr2:uid="{00000000-000D-0000-FFFF-FFFF00000000}"/>
  </bookViews>
  <sheets>
    <sheet name="Data" sheetId="1" state="hidden" r:id="rId1"/>
    <sheet name="Notes" sheetId="3" state="hidden" r:id="rId2"/>
    <sheet name="Payment" sheetId="2" r:id="rId3"/>
  </sheets>
  <calcPr calcId="191029" iterateDelta="0"/>
</workbook>
</file>

<file path=xl/calcChain.xml><?xml version="1.0" encoding="utf-8"?>
<calcChain xmlns="http://schemas.openxmlformats.org/spreadsheetml/2006/main">
  <c r="J13" i="2" l="1"/>
  <c r="K4" i="2" l="1"/>
  <c r="K12" i="2" l="1"/>
  <c r="K11" i="2"/>
  <c r="K10" i="2"/>
  <c r="K9" i="2"/>
  <c r="K8" i="2"/>
  <c r="K7" i="2"/>
  <c r="K6" i="2"/>
  <c r="K5" i="2"/>
  <c r="E2" i="2"/>
  <c r="D2" i="2"/>
  <c r="E3" i="2"/>
  <c r="B3" i="3"/>
  <c r="D3" i="2" s="1"/>
  <c r="C3" i="2"/>
  <c r="A1" i="2"/>
  <c r="B3" i="2"/>
  <c r="A5" i="2"/>
  <c r="A6" i="2"/>
  <c r="A7" i="2"/>
  <c r="A8" i="2"/>
  <c r="A9" i="2"/>
  <c r="A10" i="2"/>
  <c r="A11" i="2"/>
  <c r="A12" i="2"/>
  <c r="A4" i="2"/>
  <c r="C10" i="2" l="1"/>
  <c r="C7" i="2"/>
  <c r="C11" i="2"/>
  <c r="C6" i="2"/>
  <c r="C9" i="2"/>
  <c r="C5" i="2"/>
  <c r="C12" i="2"/>
  <c r="C8" i="2"/>
  <c r="E5" i="2"/>
  <c r="B4" i="2"/>
  <c r="D8" i="2"/>
  <c r="D11" i="2"/>
  <c r="D7" i="2"/>
  <c r="E12" i="2"/>
  <c r="E8" i="2"/>
  <c r="D10" i="2"/>
  <c r="D6" i="2"/>
  <c r="E11" i="2"/>
  <c r="F11" i="2" s="1"/>
  <c r="E7" i="2"/>
  <c r="F7" i="2" s="1"/>
  <c r="D4" i="2"/>
  <c r="L4" i="2" s="1"/>
  <c r="D9" i="2"/>
  <c r="D5" i="2"/>
  <c r="E10" i="2"/>
  <c r="F10" i="2" s="1"/>
  <c r="E6" i="2"/>
  <c r="F6" i="2" s="1"/>
  <c r="D12" i="2"/>
  <c r="E4" i="2"/>
  <c r="E9" i="2"/>
  <c r="B11" i="2"/>
  <c r="B7" i="2"/>
  <c r="C4" i="2"/>
  <c r="B8" i="2"/>
  <c r="B12" i="2"/>
  <c r="B5" i="2"/>
  <c r="B9" i="2"/>
  <c r="B6" i="2"/>
  <c r="B10" i="2"/>
  <c r="F8" i="2" l="1"/>
  <c r="F5" i="2"/>
  <c r="L12" i="2"/>
  <c r="L6" i="2"/>
  <c r="L7" i="2"/>
  <c r="F9" i="2"/>
  <c r="L10" i="2"/>
  <c r="L11" i="2"/>
  <c r="L5" i="2"/>
  <c r="L8" i="2"/>
  <c r="L9" i="2"/>
  <c r="F12" i="2"/>
  <c r="E13" i="2"/>
  <c r="D13" i="2"/>
  <c r="F4" i="2"/>
  <c r="C13" i="2"/>
  <c r="B18" i="3" s="1"/>
  <c r="B17" i="3" l="1"/>
  <c r="B16" i="3"/>
  <c r="F13" i="2"/>
  <c r="B15" i="3" s="1"/>
</calcChain>
</file>

<file path=xl/sharedStrings.xml><?xml version="1.0" encoding="utf-8"?>
<sst xmlns="http://schemas.openxmlformats.org/spreadsheetml/2006/main" count="81" uniqueCount="72">
  <si>
    <t>Original Budget</t>
  </si>
  <si>
    <t>Pay1 - Sept - May</t>
  </si>
  <si>
    <t>Pay 2 Final</t>
  </si>
  <si>
    <t>Paid Thru September</t>
  </si>
  <si>
    <t>Paid Thru October</t>
  </si>
  <si>
    <t>Paid Thru November</t>
  </si>
  <si>
    <t>Paid Thru December</t>
  </si>
  <si>
    <t>Paid Thru January</t>
  </si>
  <si>
    <t>Paid Thru February</t>
  </si>
  <si>
    <t>Paid Thru March</t>
  </si>
  <si>
    <t>Paid Thru April</t>
  </si>
  <si>
    <t>Paid Thru May</t>
  </si>
  <si>
    <t>Paid Thru June</t>
  </si>
  <si>
    <t>01</t>
  </si>
  <si>
    <t>05</t>
  </si>
  <si>
    <t>07</t>
  </si>
  <si>
    <t>09</t>
  </si>
  <si>
    <t>10</t>
  </si>
  <si>
    <t>11</t>
  </si>
  <si>
    <t>12</t>
  </si>
  <si>
    <t>13</t>
  </si>
  <si>
    <t>15</t>
  </si>
  <si>
    <t>Fiscal Year</t>
  </si>
  <si>
    <t>Pick List for Payment Month</t>
  </si>
  <si>
    <t>Payment Month</t>
  </si>
  <si>
    <t>September</t>
  </si>
  <si>
    <t>Pay 1</t>
  </si>
  <si>
    <t>October</t>
  </si>
  <si>
    <t>November</t>
  </si>
  <si>
    <t>December</t>
  </si>
  <si>
    <t>January</t>
  </si>
  <si>
    <t>Pay 2</t>
  </si>
  <si>
    <t>February</t>
  </si>
  <si>
    <t>March</t>
  </si>
  <si>
    <t>April</t>
  </si>
  <si>
    <t>May</t>
  </si>
  <si>
    <t>June</t>
  </si>
  <si>
    <t>Pay Type</t>
  </si>
  <si>
    <t>Original
Budget</t>
  </si>
  <si>
    <t>Amount
Remaining</t>
  </si>
  <si>
    <t>Checks</t>
  </si>
  <si>
    <t>Should Equal zero</t>
  </si>
  <si>
    <t>Amount paid + Remaining - Budget</t>
  </si>
  <si>
    <t>Should equal 0</t>
  </si>
  <si>
    <t>Change To AEA</t>
  </si>
  <si>
    <t>Pay from SAS</t>
  </si>
  <si>
    <t>Payment *Pay - Paid</t>
  </si>
  <si>
    <t>SAS vs SAS</t>
  </si>
  <si>
    <t>Payment Number for Check</t>
  </si>
  <si>
    <t>Will not Equal Zero on the last payment because the final payment is the difference of what has been paid vs what is left, so does not equal the the total amount paid.</t>
  </si>
  <si>
    <t>AEA</t>
  </si>
  <si>
    <t>AEA Name</t>
  </si>
  <si>
    <t>Keystone AEA 1</t>
  </si>
  <si>
    <t>Prairie Lakes AEA 8</t>
  </si>
  <si>
    <t>Central Rivers</t>
  </si>
  <si>
    <t>Mississippi Bend AEA 9</t>
  </si>
  <si>
    <t>Grant Wood AEA 10</t>
  </si>
  <si>
    <t>Heartland AEA 11</t>
  </si>
  <si>
    <t>Northwest AEA</t>
  </si>
  <si>
    <t>Green Hills AEA 13</t>
  </si>
  <si>
    <t>Great Prairie AEA 15</t>
  </si>
  <si>
    <t>Aid and Levy Line 16.9 vs. Total</t>
  </si>
  <si>
    <t>Control</t>
  </si>
  <si>
    <t>92010000</t>
  </si>
  <si>
    <t>92050000</t>
  </si>
  <si>
    <t>92070000</t>
  </si>
  <si>
    <t>92090000</t>
  </si>
  <si>
    <t>92100000</t>
  </si>
  <si>
    <t>92110000</t>
  </si>
  <si>
    <t>92120000</t>
  </si>
  <si>
    <t>92130000</t>
  </si>
  <si>
    <t>92150000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</si>
</sst>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Times New Roman"/>
      <family val="1"/>
    </font>
    <font>
      <sz val="10"/>
      <color theme="1"/>
      <name val="Times New Roman"/>
      <family val="1"/>
    </font>
    <font>
      <b/>
      <sz val="10"/>
      <name val="Times New Roman"/>
      <family val="1"/>
    </font>
    <font>
      <sz val="8"/>
      <color theme="1"/>
      <name val="Courier New"/>
      <family val="2"/>
    </font>
    <font>
      <sz val="8"/>
      <color theme="0"/>
      <name val="Courier New"/>
      <family val="2"/>
    </font>
    <font>
      <sz val="8"/>
      <color rgb="FF9C0006"/>
      <name val="Courier New"/>
      <family val="2"/>
    </font>
    <font>
      <b/>
      <sz val="8"/>
      <color rgb="FFFA7D00"/>
      <name val="Courier New"/>
      <family val="2"/>
    </font>
    <font>
      <b/>
      <sz val="8"/>
      <color theme="0"/>
      <name val="Courier New"/>
      <family val="2"/>
    </font>
    <font>
      <i/>
      <sz val="8"/>
      <color rgb="FF7F7F7F"/>
      <name val="Courier New"/>
      <family val="2"/>
    </font>
    <font>
      <sz val="8"/>
      <color rgb="FF006100"/>
      <name val="Courier New"/>
      <family val="2"/>
    </font>
    <font>
      <b/>
      <sz val="15"/>
      <color theme="3"/>
      <name val="Courier New"/>
      <family val="2"/>
    </font>
    <font>
      <b/>
      <sz val="13"/>
      <color theme="3"/>
      <name val="Courier New"/>
      <family val="2"/>
    </font>
    <font>
      <b/>
      <sz val="11"/>
      <color theme="3"/>
      <name val="Courier New"/>
      <family val="2"/>
    </font>
    <font>
      <sz val="8"/>
      <color rgb="FF3F3F76"/>
      <name val="Courier New"/>
      <family val="2"/>
    </font>
    <font>
      <sz val="8"/>
      <color rgb="FFFA7D00"/>
      <name val="Courier New"/>
      <family val="2"/>
    </font>
    <font>
      <sz val="8"/>
      <color rgb="FF9C6500"/>
      <name val="Courier New"/>
      <family val="2"/>
    </font>
    <font>
      <b/>
      <sz val="8"/>
      <color rgb="FF3F3F3F"/>
      <name val="Courier New"/>
      <family val="2"/>
    </font>
    <font>
      <b/>
      <sz val="8"/>
      <color theme="1"/>
      <name val="Courier New"/>
      <family val="2"/>
    </font>
    <font>
      <sz val="8"/>
      <color rgb="FFFF0000"/>
      <name val="Courier New"/>
      <family val="2"/>
    </font>
    <font>
      <b/>
      <sz val="11"/>
      <name val="Times New Roman"/>
      <family val="1"/>
    </font>
    <font>
      <sz val="11"/>
      <name val="Calibri"/>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5" tint="0.59999389629810485"/>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s>
  <cellStyleXfs count="8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8" fillId="0" borderId="1" applyNumberFormat="0" applyFill="0" applyAlignment="0" applyProtection="0"/>
    <xf numFmtId="0" fontId="27" fillId="2" borderId="0" applyNumberFormat="0" applyBorder="0" applyAlignment="0" applyProtection="0"/>
    <xf numFmtId="0" fontId="26" fillId="0" borderId="0" applyNumberFormat="0" applyFill="0" applyBorder="0" applyAlignment="0" applyProtection="0"/>
    <xf numFmtId="0" fontId="25" fillId="7" borderId="7" applyNumberFormat="0" applyAlignment="0" applyProtection="0"/>
    <xf numFmtId="0" fontId="24" fillId="6" borderId="4" applyNumberFormat="0" applyAlignment="0" applyProtection="0"/>
    <xf numFmtId="0" fontId="23" fillId="3" borderId="0" applyNumberFormat="0" applyBorder="0" applyAlignment="0" applyProtection="0"/>
    <xf numFmtId="0" fontId="22" fillId="29" borderId="0" applyNumberFormat="0" applyBorder="0" applyAlignment="0" applyProtection="0"/>
    <xf numFmtId="0" fontId="22" fillId="25" borderId="0" applyNumberFormat="0" applyBorder="0" applyAlignment="0" applyProtection="0"/>
    <xf numFmtId="0" fontId="22" fillId="21" borderId="0" applyNumberFormat="0" applyBorder="0" applyAlignment="0" applyProtection="0"/>
    <xf numFmtId="0" fontId="22" fillId="17" borderId="0" applyNumberFormat="0" applyBorder="0" applyAlignment="0" applyProtection="0"/>
    <xf numFmtId="0" fontId="22" fillId="13" borderId="0" applyNumberFormat="0" applyBorder="0" applyAlignment="0" applyProtection="0"/>
    <xf numFmtId="0" fontId="22" fillId="9" borderId="0" applyNumberFormat="0" applyBorder="0" applyAlignment="0" applyProtection="0"/>
    <xf numFmtId="0" fontId="22" fillId="32" borderId="0" applyNumberFormat="0" applyBorder="0" applyAlignment="0" applyProtection="0"/>
    <xf numFmtId="0" fontId="22" fillId="28" borderId="0" applyNumberFormat="0" applyBorder="0" applyAlignment="0" applyProtection="0"/>
    <xf numFmtId="0" fontId="22" fillId="24" borderId="0" applyNumberFormat="0" applyBorder="0" applyAlignment="0" applyProtection="0"/>
    <xf numFmtId="0" fontId="22" fillId="20" borderId="0" applyNumberFormat="0" applyBorder="0" applyAlignment="0" applyProtection="0"/>
    <xf numFmtId="0" fontId="22" fillId="16" borderId="0" applyNumberFormat="0" applyBorder="0" applyAlignment="0" applyProtection="0"/>
    <xf numFmtId="0" fontId="22" fillId="12" borderId="0" applyNumberFormat="0" applyBorder="0" applyAlignment="0" applyProtection="0"/>
    <xf numFmtId="0" fontId="21" fillId="31" borderId="0" applyNumberFormat="0" applyBorder="0" applyAlignment="0" applyProtection="0"/>
    <xf numFmtId="0" fontId="21" fillId="27" borderId="0" applyNumberFormat="0" applyBorder="0" applyAlignment="0" applyProtection="0"/>
    <xf numFmtId="0" fontId="21" fillId="23" borderId="0" applyNumberFormat="0" applyBorder="0" applyAlignment="0" applyProtection="0"/>
    <xf numFmtId="0" fontId="21" fillId="19" borderId="0" applyNumberFormat="0" applyBorder="0" applyAlignment="0" applyProtection="0"/>
    <xf numFmtId="0" fontId="21" fillId="15" borderId="0" applyNumberFormat="0" applyBorder="0" applyAlignment="0" applyProtection="0"/>
    <xf numFmtId="0" fontId="21" fillId="11" borderId="0" applyNumberFormat="0" applyBorder="0" applyAlignment="0" applyProtection="0"/>
    <xf numFmtId="0" fontId="21" fillId="30" borderId="0" applyNumberFormat="0" applyBorder="0" applyAlignment="0" applyProtection="0"/>
    <xf numFmtId="0" fontId="21" fillId="26" borderId="0" applyNumberFormat="0" applyBorder="0" applyAlignment="0" applyProtection="0"/>
    <xf numFmtId="0" fontId="21" fillId="22" borderId="0" applyNumberFormat="0" applyBorder="0" applyAlignment="0" applyProtection="0"/>
    <xf numFmtId="0" fontId="21" fillId="18" borderId="0" applyNumberFormat="0" applyBorder="0" applyAlignment="0" applyProtection="0"/>
    <xf numFmtId="0" fontId="21" fillId="14" borderId="0" applyNumberFormat="0" applyBorder="0" applyAlignment="0" applyProtection="0"/>
    <xf numFmtId="0" fontId="21" fillId="10" borderId="0" applyNumberFormat="0" applyBorder="0" applyAlignment="0" applyProtection="0"/>
    <xf numFmtId="0" fontId="21" fillId="0" borderId="0"/>
    <xf numFmtId="0" fontId="29" fillId="0" borderId="2" applyNumberFormat="0" applyFill="0" applyAlignment="0" applyProtection="0"/>
    <xf numFmtId="0" fontId="30" fillId="0" borderId="3" applyNumberFormat="0" applyFill="0" applyAlignment="0" applyProtection="0"/>
    <xf numFmtId="0" fontId="30" fillId="0" borderId="0" applyNumberFormat="0" applyFill="0" applyBorder="0" applyAlignment="0" applyProtection="0"/>
    <xf numFmtId="0" fontId="31" fillId="5" borderId="4" applyNumberFormat="0" applyAlignment="0" applyProtection="0"/>
    <xf numFmtId="0" fontId="32" fillId="0" borderId="6" applyNumberFormat="0" applyFill="0" applyAlignment="0" applyProtection="0"/>
    <xf numFmtId="0" fontId="33" fillId="4" borderId="0" applyNumberFormat="0" applyBorder="0" applyAlignment="0" applyProtection="0"/>
    <xf numFmtId="0" fontId="21" fillId="8" borderId="8" applyNumberFormat="0" applyFont="0" applyAlignment="0" applyProtection="0"/>
    <xf numFmtId="0" fontId="34" fillId="6" borderId="5" applyNumberFormat="0" applyAlignment="0" applyProtection="0"/>
    <xf numFmtId="0" fontId="35" fillId="0" borderId="9" applyNumberFormat="0" applyFill="0" applyAlignment="0" applyProtection="0"/>
    <xf numFmtId="0" fontId="36" fillId="0" borderId="0" applyNumberFormat="0" applyFill="0" applyBorder="0" applyAlignment="0" applyProtection="0"/>
    <xf numFmtId="0" fontId="38" fillId="0" borderId="0"/>
  </cellStyleXfs>
  <cellXfs count="21">
    <xf numFmtId="0" fontId="0" fillId="0" borderId="0" xfId="0"/>
    <xf numFmtId="49" fontId="0" fillId="0" borderId="0" xfId="0" applyNumberFormat="1"/>
    <xf numFmtId="0" fontId="19" fillId="0" borderId="0" xfId="0" applyFont="1"/>
    <xf numFmtId="3" fontId="19" fillId="0" borderId="0" xfId="0" applyNumberFormat="1" applyFont="1"/>
    <xf numFmtId="0" fontId="21" fillId="0" borderId="0" xfId="72"/>
    <xf numFmtId="0" fontId="19" fillId="0" borderId="0" xfId="72" applyFont="1"/>
    <xf numFmtId="0" fontId="19" fillId="33" borderId="0" xfId="72" applyFont="1" applyFill="1"/>
    <xf numFmtId="0" fontId="19" fillId="0" borderId="0" xfId="72" applyFont="1" applyAlignment="1">
      <alignment horizontal="center"/>
    </xf>
    <xf numFmtId="0" fontId="19" fillId="34" borderId="0" xfId="0" applyFont="1" applyFill="1"/>
    <xf numFmtId="3" fontId="0" fillId="0" borderId="0" xfId="0" applyNumberFormat="1"/>
    <xf numFmtId="164" fontId="19" fillId="0" borderId="0" xfId="0" applyNumberFormat="1" applyFont="1" applyProtection="1">
      <protection hidden="1"/>
    </xf>
    <xf numFmtId="0" fontId="19" fillId="0" borderId="0" xfId="0" applyFont="1" applyProtection="1">
      <protection hidden="1"/>
    </xf>
    <xf numFmtId="3" fontId="20" fillId="0" borderId="11" xfId="0" applyNumberFormat="1" applyFont="1" applyBorder="1" applyAlignment="1" applyProtection="1">
      <alignment horizontal="center" vertical="center" wrapText="1"/>
      <protection hidden="1"/>
    </xf>
    <xf numFmtId="164" fontId="19" fillId="34" borderId="0" xfId="0" applyNumberFormat="1" applyFont="1" applyFill="1" applyProtection="1">
      <protection hidden="1"/>
    </xf>
    <xf numFmtId="0" fontId="19" fillId="34" borderId="0" xfId="0" applyFont="1" applyFill="1" applyProtection="1">
      <protection hidden="1"/>
    </xf>
    <xf numFmtId="3" fontId="20" fillId="34" borderId="0" xfId="0" applyNumberFormat="1" applyFont="1" applyFill="1" applyBorder="1" applyAlignment="1" applyProtection="1">
      <alignment horizontal="center" vertical="center"/>
      <protection hidden="1"/>
    </xf>
    <xf numFmtId="49" fontId="19" fillId="0" borderId="0" xfId="0" applyNumberFormat="1" applyFont="1" applyProtection="1">
      <protection hidden="1"/>
    </xf>
    <xf numFmtId="3" fontId="19" fillId="0" borderId="0" xfId="0" applyNumberFormat="1" applyFont="1" applyProtection="1">
      <protection hidden="1"/>
    </xf>
    <xf numFmtId="3" fontId="19" fillId="0" borderId="10" xfId="0" applyNumberFormat="1" applyFont="1" applyBorder="1" applyProtection="1">
      <protection hidden="1"/>
    </xf>
    <xf numFmtId="0" fontId="37" fillId="0" borderId="0" xfId="0" applyFont="1" applyBorder="1" applyAlignment="1" applyProtection="1">
      <alignment horizontal="center" vertical="center" wrapText="1"/>
      <protection hidden="1"/>
    </xf>
    <xf numFmtId="0" fontId="18" fillId="0" borderId="0" xfId="0" applyFont="1" applyAlignment="1" applyProtection="1">
      <alignment horizontal="center" vertical="center" wrapText="1"/>
      <protection hidden="1"/>
    </xf>
  </cellXfs>
  <cellStyles count="84">
    <cellStyle name="20% - Accent1" xfId="19" builtinId="30" customBuiltin="1"/>
    <cellStyle name="20% - Accent1 2" xfId="71" xr:uid="{00000000-0005-0000-0000-000001000000}"/>
    <cellStyle name="20% - Accent2" xfId="23" builtinId="34" customBuiltin="1"/>
    <cellStyle name="20% - Accent2 2" xfId="70" xr:uid="{00000000-0005-0000-0000-000003000000}"/>
    <cellStyle name="20% - Accent3" xfId="27" builtinId="38" customBuiltin="1"/>
    <cellStyle name="20% - Accent3 2" xfId="69" xr:uid="{00000000-0005-0000-0000-000005000000}"/>
    <cellStyle name="20% - Accent4" xfId="31" builtinId="42" customBuiltin="1"/>
    <cellStyle name="20% - Accent4 2" xfId="68" xr:uid="{00000000-0005-0000-0000-000007000000}"/>
    <cellStyle name="20% - Accent5" xfId="35" builtinId="46" customBuiltin="1"/>
    <cellStyle name="20% - Accent5 2" xfId="67" xr:uid="{00000000-0005-0000-0000-000009000000}"/>
    <cellStyle name="20% - Accent6" xfId="39" builtinId="50" customBuiltin="1"/>
    <cellStyle name="20% - Accent6 2" xfId="66" xr:uid="{00000000-0005-0000-0000-00000B000000}"/>
    <cellStyle name="40% - Accent1" xfId="20" builtinId="31" customBuiltin="1"/>
    <cellStyle name="40% - Accent1 2" xfId="65" xr:uid="{00000000-0005-0000-0000-00000D000000}"/>
    <cellStyle name="40% - Accent2" xfId="24" builtinId="35" customBuiltin="1"/>
    <cellStyle name="40% - Accent2 2" xfId="64" xr:uid="{00000000-0005-0000-0000-00000F000000}"/>
    <cellStyle name="40% - Accent3" xfId="28" builtinId="39" customBuiltin="1"/>
    <cellStyle name="40% - Accent3 2" xfId="63" xr:uid="{00000000-0005-0000-0000-000011000000}"/>
    <cellStyle name="40% - Accent4" xfId="32" builtinId="43" customBuiltin="1"/>
    <cellStyle name="40% - Accent4 2" xfId="62" xr:uid="{00000000-0005-0000-0000-000013000000}"/>
    <cellStyle name="40% - Accent5" xfId="36" builtinId="47" customBuiltin="1"/>
    <cellStyle name="40% - Accent5 2" xfId="61" xr:uid="{00000000-0005-0000-0000-000015000000}"/>
    <cellStyle name="40% - Accent6" xfId="40" builtinId="51" customBuiltin="1"/>
    <cellStyle name="40% - Accent6 2" xfId="60" xr:uid="{00000000-0005-0000-0000-000017000000}"/>
    <cellStyle name="60% - Accent1" xfId="21" builtinId="32" customBuiltin="1"/>
    <cellStyle name="60% - Accent1 2" xfId="59" xr:uid="{00000000-0005-0000-0000-000019000000}"/>
    <cellStyle name="60% - Accent2" xfId="25" builtinId="36" customBuiltin="1"/>
    <cellStyle name="60% - Accent2 2" xfId="58" xr:uid="{00000000-0005-0000-0000-00001B000000}"/>
    <cellStyle name="60% - Accent3" xfId="29" builtinId="40" customBuiltin="1"/>
    <cellStyle name="60% - Accent3 2" xfId="57" xr:uid="{00000000-0005-0000-0000-00001D000000}"/>
    <cellStyle name="60% - Accent4" xfId="33" builtinId="44" customBuiltin="1"/>
    <cellStyle name="60% - Accent4 2" xfId="56" xr:uid="{00000000-0005-0000-0000-00001F000000}"/>
    <cellStyle name="60% - Accent5" xfId="37" builtinId="48" customBuiltin="1"/>
    <cellStyle name="60% - Accent5 2" xfId="55" xr:uid="{00000000-0005-0000-0000-000021000000}"/>
    <cellStyle name="60% - Accent6" xfId="41" builtinId="52" customBuiltin="1"/>
    <cellStyle name="60% - Accent6 2" xfId="54" xr:uid="{00000000-0005-0000-0000-000023000000}"/>
    <cellStyle name="Accent1" xfId="18" builtinId="29" customBuiltin="1"/>
    <cellStyle name="Accent1 2" xfId="53" xr:uid="{00000000-0005-0000-0000-000025000000}"/>
    <cellStyle name="Accent2" xfId="22" builtinId="33" customBuiltin="1"/>
    <cellStyle name="Accent2 2" xfId="52" xr:uid="{00000000-0005-0000-0000-000027000000}"/>
    <cellStyle name="Accent3" xfId="26" builtinId="37" customBuiltin="1"/>
    <cellStyle name="Accent3 2" xfId="51" xr:uid="{00000000-0005-0000-0000-000029000000}"/>
    <cellStyle name="Accent4" xfId="30" builtinId="41" customBuiltin="1"/>
    <cellStyle name="Accent4 2" xfId="50" xr:uid="{00000000-0005-0000-0000-00002B000000}"/>
    <cellStyle name="Accent5" xfId="34" builtinId="45" customBuiltin="1"/>
    <cellStyle name="Accent5 2" xfId="49" xr:uid="{00000000-0005-0000-0000-00002D000000}"/>
    <cellStyle name="Accent6" xfId="38" builtinId="49" customBuiltin="1"/>
    <cellStyle name="Accent6 2" xfId="48" xr:uid="{00000000-0005-0000-0000-00002F000000}"/>
    <cellStyle name="Bad" xfId="7" builtinId="27" customBuiltin="1"/>
    <cellStyle name="Bad 2" xfId="47" xr:uid="{00000000-0005-0000-0000-000031000000}"/>
    <cellStyle name="Calculation" xfId="11" builtinId="22" customBuiltin="1"/>
    <cellStyle name="Calculation 2" xfId="46" xr:uid="{00000000-0005-0000-0000-000033000000}"/>
    <cellStyle name="Check Cell" xfId="13" builtinId="23" customBuiltin="1"/>
    <cellStyle name="Check Cell 2" xfId="45" xr:uid="{00000000-0005-0000-0000-000035000000}"/>
    <cellStyle name="Explanatory Text" xfId="16" builtinId="53" customBuiltin="1"/>
    <cellStyle name="Explanatory Text 2" xfId="44" xr:uid="{00000000-0005-0000-0000-000037000000}"/>
    <cellStyle name="Good" xfId="6" builtinId="26" customBuiltin="1"/>
    <cellStyle name="Good 2" xfId="43" xr:uid="{00000000-0005-0000-0000-000039000000}"/>
    <cellStyle name="Heading 1" xfId="2" builtinId="16" customBuiltin="1"/>
    <cellStyle name="Heading 1 2" xfId="42" xr:uid="{00000000-0005-0000-0000-00003B000000}"/>
    <cellStyle name="Heading 2" xfId="3" builtinId="17" customBuiltin="1"/>
    <cellStyle name="Heading 2 2" xfId="73" xr:uid="{00000000-0005-0000-0000-00003D000000}"/>
    <cellStyle name="Heading 3" xfId="4" builtinId="18" customBuiltin="1"/>
    <cellStyle name="Heading 3 2" xfId="74" xr:uid="{00000000-0005-0000-0000-00003F000000}"/>
    <cellStyle name="Heading 4" xfId="5" builtinId="19" customBuiltin="1"/>
    <cellStyle name="Heading 4 2" xfId="75" xr:uid="{00000000-0005-0000-0000-000041000000}"/>
    <cellStyle name="Input" xfId="9" builtinId="20" customBuiltin="1"/>
    <cellStyle name="Input 2" xfId="76" xr:uid="{00000000-0005-0000-0000-000043000000}"/>
    <cellStyle name="Linked Cell" xfId="12" builtinId="24" customBuiltin="1"/>
    <cellStyle name="Linked Cell 2" xfId="77" xr:uid="{00000000-0005-0000-0000-000045000000}"/>
    <cellStyle name="Neutral" xfId="8" builtinId="28" customBuiltin="1"/>
    <cellStyle name="Neutral 2" xfId="78" xr:uid="{00000000-0005-0000-0000-000047000000}"/>
    <cellStyle name="Normal" xfId="0" builtinId="0"/>
    <cellStyle name="Normal 2" xfId="72" xr:uid="{00000000-0005-0000-0000-000049000000}"/>
    <cellStyle name="Normal 3" xfId="83" xr:uid="{00000000-0005-0000-0000-00004A000000}"/>
    <cellStyle name="Note" xfId="15" builtinId="10" customBuiltin="1"/>
    <cellStyle name="Note 2" xfId="79" xr:uid="{00000000-0005-0000-0000-00004C000000}"/>
    <cellStyle name="Output" xfId="10" builtinId="21" customBuiltin="1"/>
    <cellStyle name="Output 2" xfId="80" xr:uid="{00000000-0005-0000-0000-00004E000000}"/>
    <cellStyle name="Title" xfId="1" builtinId="15" customBuiltin="1"/>
    <cellStyle name="Total" xfId="17" builtinId="25" customBuiltin="1"/>
    <cellStyle name="Total 2" xfId="81" xr:uid="{00000000-0005-0000-0000-000051000000}"/>
    <cellStyle name="Warning Text" xfId="14" builtinId="11" customBuiltin="1"/>
    <cellStyle name="Warning Text 2" xfId="82" xr:uid="{00000000-0005-0000-0000-000053000000}"/>
  </cellStyles>
  <dxfs count="2">
    <dxf>
      <numFmt numFmtId="30" formatCode="@"/>
    </dxf>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ata" displayName="Data" ref="A1:O10" totalsRowShown="0">
  <autoFilter ref="A1:O10" xr:uid="{00000000-0009-0000-0100-000001000000}"/>
  <tableColumns count="15">
    <tableColumn id="1" xr3:uid="{00000000-0010-0000-0000-000001000000}" name="AEA" dataDxfId="1"/>
    <tableColumn id="2" xr3:uid="{00000000-0010-0000-0000-000002000000}" name="AEA Name" dataDxfId="0"/>
    <tableColumn id="3" xr3:uid="{00000000-0010-0000-0000-000003000000}" name="Original Budget"/>
    <tableColumn id="4" xr3:uid="{00000000-0010-0000-0000-000004000000}" name="Pay1 - Sept - May"/>
    <tableColumn id="5" xr3:uid="{00000000-0010-0000-0000-000005000000}" name="Pay 2 Final"/>
    <tableColumn id="6" xr3:uid="{00000000-0010-0000-0000-000006000000}" name="Paid Thru September"/>
    <tableColumn id="7" xr3:uid="{00000000-0010-0000-0000-000007000000}" name="Paid Thru October"/>
    <tableColumn id="8" xr3:uid="{00000000-0010-0000-0000-000008000000}" name="Paid Thru November"/>
    <tableColumn id="9" xr3:uid="{00000000-0010-0000-0000-000009000000}" name="Paid Thru December"/>
    <tableColumn id="10" xr3:uid="{00000000-0010-0000-0000-00000A000000}" name="Paid Thru January"/>
    <tableColumn id="11" xr3:uid="{00000000-0010-0000-0000-00000B000000}" name="Paid Thru February"/>
    <tableColumn id="12" xr3:uid="{00000000-0010-0000-0000-00000C000000}" name="Paid Thru March"/>
    <tableColumn id="13" xr3:uid="{00000000-0010-0000-0000-00000D000000}" name="Paid Thru April"/>
    <tableColumn id="14" xr3:uid="{00000000-0010-0000-0000-00000E000000}" name="Paid Thru May"/>
    <tableColumn id="15" xr3:uid="{00000000-0010-0000-0000-00000F000000}" name="Paid Thru Jun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O10"/>
  <sheetViews>
    <sheetView workbookViewId="0">
      <selection activeCell="O2" sqref="O2:O10"/>
    </sheetView>
  </sheetViews>
  <sheetFormatPr defaultRowHeight="15" x14ac:dyDescent="0.25"/>
  <cols>
    <col min="1" max="1" width="9.140625" style="1"/>
    <col min="2" max="2" width="9.42578125" style="1" customWidth="1"/>
    <col min="3" max="3" width="16.85546875" customWidth="1"/>
    <col min="4" max="4" width="18.28515625" customWidth="1"/>
    <col min="5" max="5" width="12.42578125" customWidth="1"/>
    <col min="6" max="6" width="21.7109375" customWidth="1"/>
    <col min="7" max="7" width="19" customWidth="1"/>
    <col min="8" max="8" width="21.28515625" customWidth="1"/>
    <col min="9" max="9" width="21" customWidth="1"/>
    <col min="10" max="10" width="18.5703125" customWidth="1"/>
    <col min="11" max="11" width="19.7109375" customWidth="1"/>
    <col min="12" max="12" width="17.42578125" customWidth="1"/>
    <col min="13" max="13" width="16.140625" customWidth="1"/>
    <col min="14" max="14" width="15.7109375" customWidth="1"/>
    <col min="15" max="15" width="16" customWidth="1"/>
  </cols>
  <sheetData>
    <row r="1" spans="1:15" x14ac:dyDescent="0.25">
      <c r="A1" s="1" t="s">
        <v>50</v>
      </c>
      <c r="B1" s="1" t="s">
        <v>51</v>
      </c>
      <c r="C1" t="s">
        <v>0</v>
      </c>
      <c r="D1" t="s">
        <v>1</v>
      </c>
      <c r="E1" t="s">
        <v>2</v>
      </c>
      <c r="F1" t="s">
        <v>3</v>
      </c>
      <c r="G1" t="s">
        <v>4</v>
      </c>
      <c r="H1" t="s">
        <v>5</v>
      </c>
      <c r="I1" t="s">
        <v>6</v>
      </c>
      <c r="J1" t="s">
        <v>7</v>
      </c>
      <c r="K1" t="s">
        <v>8</v>
      </c>
      <c r="L1" t="s">
        <v>9</v>
      </c>
      <c r="M1" t="s">
        <v>10</v>
      </c>
      <c r="N1" t="s">
        <v>11</v>
      </c>
      <c r="O1" t="s">
        <v>12</v>
      </c>
    </row>
    <row r="2" spans="1:15" x14ac:dyDescent="0.25">
      <c r="A2" s="1" t="s">
        <v>13</v>
      </c>
      <c r="B2" s="1" t="s">
        <v>52</v>
      </c>
      <c r="C2">
        <v>14489650</v>
      </c>
      <c r="D2">
        <v>1448965</v>
      </c>
      <c r="E2">
        <v>1448965</v>
      </c>
      <c r="F2">
        <v>1448965</v>
      </c>
      <c r="G2">
        <v>2897930</v>
      </c>
      <c r="H2">
        <v>4346895</v>
      </c>
      <c r="I2">
        <v>5795860</v>
      </c>
      <c r="J2">
        <v>7244825</v>
      </c>
      <c r="K2">
        <v>8693790</v>
      </c>
      <c r="L2">
        <v>10142755</v>
      </c>
      <c r="M2">
        <v>11591720</v>
      </c>
      <c r="N2">
        <v>13040685</v>
      </c>
      <c r="O2">
        <v>14489650</v>
      </c>
    </row>
    <row r="3" spans="1:15" x14ac:dyDescent="0.25">
      <c r="A3" s="1" t="s">
        <v>14</v>
      </c>
      <c r="B3" s="1" t="s">
        <v>53</v>
      </c>
      <c r="C3">
        <v>15137338</v>
      </c>
      <c r="D3">
        <v>1513738</v>
      </c>
      <c r="E3">
        <v>1513696</v>
      </c>
      <c r="F3">
        <v>1513738</v>
      </c>
      <c r="G3">
        <v>3027476</v>
      </c>
      <c r="H3">
        <v>4541214</v>
      </c>
      <c r="I3">
        <v>6054952</v>
      </c>
      <c r="J3">
        <v>7568690</v>
      </c>
      <c r="K3">
        <v>9082428</v>
      </c>
      <c r="L3">
        <v>10596166</v>
      </c>
      <c r="M3">
        <v>12109904</v>
      </c>
      <c r="N3">
        <v>13623642</v>
      </c>
      <c r="O3">
        <v>15137338</v>
      </c>
    </row>
    <row r="4" spans="1:15" x14ac:dyDescent="0.25">
      <c r="A4" s="1" t="s">
        <v>15</v>
      </c>
      <c r="B4" s="1" t="s">
        <v>54</v>
      </c>
      <c r="C4">
        <v>31415256</v>
      </c>
      <c r="D4">
        <v>3141526</v>
      </c>
      <c r="E4">
        <v>3141522</v>
      </c>
      <c r="F4">
        <v>3141526</v>
      </c>
      <c r="G4">
        <v>6283052</v>
      </c>
      <c r="H4">
        <v>9424578</v>
      </c>
      <c r="I4">
        <v>12566104</v>
      </c>
      <c r="J4">
        <v>15707630</v>
      </c>
      <c r="K4">
        <v>18849156</v>
      </c>
      <c r="L4">
        <v>21990682</v>
      </c>
      <c r="M4">
        <v>25132208</v>
      </c>
      <c r="N4">
        <v>28273734</v>
      </c>
      <c r="O4">
        <v>31415256</v>
      </c>
    </row>
    <row r="5" spans="1:15" x14ac:dyDescent="0.25">
      <c r="A5" s="1" t="s">
        <v>16</v>
      </c>
      <c r="B5" s="1" t="s">
        <v>55</v>
      </c>
      <c r="C5">
        <v>22516116</v>
      </c>
      <c r="D5">
        <v>2251614</v>
      </c>
      <c r="E5">
        <v>2251590</v>
      </c>
      <c r="F5">
        <v>2251614</v>
      </c>
      <c r="G5">
        <v>4503228</v>
      </c>
      <c r="H5">
        <v>6754842</v>
      </c>
      <c r="I5">
        <v>9006456</v>
      </c>
      <c r="J5">
        <v>11258070</v>
      </c>
      <c r="K5">
        <v>13509684</v>
      </c>
      <c r="L5">
        <v>15761298</v>
      </c>
      <c r="M5">
        <v>18012912</v>
      </c>
      <c r="N5">
        <v>20264526</v>
      </c>
      <c r="O5">
        <v>22516116</v>
      </c>
    </row>
    <row r="6" spans="1:15" x14ac:dyDescent="0.25">
      <c r="A6" s="1" t="s">
        <v>17</v>
      </c>
      <c r="B6" s="1" t="s">
        <v>56</v>
      </c>
      <c r="C6">
        <v>34041001</v>
      </c>
      <c r="D6">
        <v>3404103</v>
      </c>
      <c r="E6">
        <v>3404074</v>
      </c>
      <c r="F6">
        <v>3404103</v>
      </c>
      <c r="G6">
        <v>6808206</v>
      </c>
      <c r="H6">
        <v>10212309</v>
      </c>
      <c r="I6">
        <v>13616412</v>
      </c>
      <c r="J6">
        <v>17020515</v>
      </c>
      <c r="K6">
        <v>20424618</v>
      </c>
      <c r="L6">
        <v>23828721</v>
      </c>
      <c r="M6">
        <v>27232824</v>
      </c>
      <c r="N6">
        <v>30636927</v>
      </c>
      <c r="O6">
        <v>34041001</v>
      </c>
    </row>
    <row r="7" spans="1:15" x14ac:dyDescent="0.25">
      <c r="A7" s="1" t="s">
        <v>18</v>
      </c>
      <c r="B7" s="1" t="s">
        <v>57</v>
      </c>
      <c r="C7">
        <v>68697058</v>
      </c>
      <c r="D7">
        <v>6869709</v>
      </c>
      <c r="E7">
        <v>6869677</v>
      </c>
      <c r="F7">
        <v>6869709</v>
      </c>
      <c r="G7">
        <v>13739418</v>
      </c>
      <c r="H7">
        <v>20609127</v>
      </c>
      <c r="I7">
        <v>27478836</v>
      </c>
      <c r="J7">
        <v>34348545</v>
      </c>
      <c r="K7">
        <v>41218254</v>
      </c>
      <c r="L7">
        <v>48087963</v>
      </c>
      <c r="M7">
        <v>54957672</v>
      </c>
      <c r="N7">
        <v>61827381</v>
      </c>
      <c r="O7">
        <v>68697058</v>
      </c>
    </row>
    <row r="8" spans="1:15" x14ac:dyDescent="0.25">
      <c r="A8" s="1" t="s">
        <v>19</v>
      </c>
      <c r="B8" s="1" t="s">
        <v>58</v>
      </c>
      <c r="C8">
        <v>20659632</v>
      </c>
      <c r="D8">
        <v>2065965</v>
      </c>
      <c r="E8">
        <v>2065947</v>
      </c>
      <c r="F8">
        <v>2065965</v>
      </c>
      <c r="G8">
        <v>4131930</v>
      </c>
      <c r="H8">
        <v>6197895</v>
      </c>
      <c r="I8">
        <v>8263860</v>
      </c>
      <c r="J8">
        <v>10329825</v>
      </c>
      <c r="K8">
        <v>12395790</v>
      </c>
      <c r="L8">
        <v>14461755</v>
      </c>
      <c r="M8">
        <v>16527720</v>
      </c>
      <c r="N8">
        <v>18593685</v>
      </c>
      <c r="O8">
        <v>20659632</v>
      </c>
    </row>
    <row r="9" spans="1:15" x14ac:dyDescent="0.25">
      <c r="A9" s="1" t="s">
        <v>20</v>
      </c>
      <c r="B9" s="1" t="s">
        <v>59</v>
      </c>
      <c r="C9">
        <v>18137855</v>
      </c>
      <c r="D9">
        <v>1813787</v>
      </c>
      <c r="E9">
        <v>1813772</v>
      </c>
      <c r="F9">
        <v>1813787</v>
      </c>
      <c r="G9">
        <v>3627574</v>
      </c>
      <c r="H9">
        <v>5441361</v>
      </c>
      <c r="I9">
        <v>7255148</v>
      </c>
      <c r="J9">
        <v>9068935</v>
      </c>
      <c r="K9">
        <v>10882722</v>
      </c>
      <c r="L9">
        <v>12696509</v>
      </c>
      <c r="M9">
        <v>14510296</v>
      </c>
      <c r="N9">
        <v>16324083</v>
      </c>
      <c r="O9">
        <v>18137855</v>
      </c>
    </row>
    <row r="10" spans="1:15" x14ac:dyDescent="0.25">
      <c r="A10" s="1" t="s">
        <v>21</v>
      </c>
      <c r="B10" s="1" t="s">
        <v>60</v>
      </c>
      <c r="C10">
        <v>16371739</v>
      </c>
      <c r="D10">
        <v>1637174</v>
      </c>
      <c r="E10">
        <v>1637173</v>
      </c>
      <c r="F10">
        <v>1637174</v>
      </c>
      <c r="G10">
        <v>3274348</v>
      </c>
      <c r="H10">
        <v>4911522</v>
      </c>
      <c r="I10">
        <v>6548696</v>
      </c>
      <c r="J10">
        <v>8185870</v>
      </c>
      <c r="K10">
        <v>9823044</v>
      </c>
      <c r="L10">
        <v>11460218</v>
      </c>
      <c r="M10">
        <v>13097392</v>
      </c>
      <c r="N10">
        <v>14734566</v>
      </c>
      <c r="O10">
        <v>16371739</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18"/>
  <sheetViews>
    <sheetView workbookViewId="0">
      <selection activeCell="B2" sqref="B2"/>
    </sheetView>
  </sheetViews>
  <sheetFormatPr defaultRowHeight="15" x14ac:dyDescent="0.25"/>
  <cols>
    <col min="1" max="1" width="33.5703125" bestFit="1" customWidth="1"/>
    <col min="2" max="2" width="32.140625" bestFit="1" customWidth="1"/>
    <col min="3" max="3" width="11.140625" bestFit="1" customWidth="1"/>
    <col min="9" max="9" width="23.140625" bestFit="1" customWidth="1"/>
    <col min="10" max="10" width="5.140625" bestFit="1" customWidth="1"/>
  </cols>
  <sheetData>
    <row r="1" spans="1:11" x14ac:dyDescent="0.25">
      <c r="A1" s="5" t="s">
        <v>22</v>
      </c>
      <c r="B1" s="6">
        <v>2023</v>
      </c>
      <c r="C1" s="4"/>
      <c r="D1" s="4"/>
      <c r="E1" s="4"/>
      <c r="F1" s="4"/>
      <c r="G1" s="7"/>
      <c r="H1" s="7"/>
      <c r="I1" s="5" t="s">
        <v>23</v>
      </c>
      <c r="J1" s="4"/>
      <c r="K1" t="s">
        <v>48</v>
      </c>
    </row>
    <row r="2" spans="1:11" x14ac:dyDescent="0.25">
      <c r="A2" s="5" t="s">
        <v>24</v>
      </c>
      <c r="B2" s="6" t="s">
        <v>34</v>
      </c>
      <c r="C2" s="4"/>
      <c r="D2" s="4"/>
      <c r="E2" s="4"/>
      <c r="F2" s="4"/>
      <c r="G2" s="4"/>
      <c r="H2" s="4"/>
      <c r="I2" s="5" t="s">
        <v>25</v>
      </c>
      <c r="J2" s="5" t="s">
        <v>26</v>
      </c>
      <c r="K2">
        <v>1</v>
      </c>
    </row>
    <row r="3" spans="1:11" x14ac:dyDescent="0.25">
      <c r="A3" s="5" t="s">
        <v>37</v>
      </c>
      <c r="B3" s="5" t="str">
        <f>IF($B$2="June","Pay 2 Final","Pay1 - Sept - May")</f>
        <v>Pay1 - Sept - May</v>
      </c>
      <c r="C3" s="4"/>
      <c r="D3" s="4"/>
      <c r="E3" s="4"/>
      <c r="F3" s="4"/>
      <c r="G3" s="4"/>
      <c r="H3" s="4"/>
      <c r="I3" s="5" t="s">
        <v>27</v>
      </c>
      <c r="J3" s="5" t="s">
        <v>26</v>
      </c>
      <c r="K3">
        <v>2</v>
      </c>
    </row>
    <row r="4" spans="1:11" x14ac:dyDescent="0.25">
      <c r="A4" s="5"/>
      <c r="B4" s="5"/>
      <c r="C4" s="4"/>
      <c r="D4" s="4"/>
      <c r="E4" s="4"/>
      <c r="F4" s="4"/>
      <c r="G4" s="4"/>
      <c r="H4" s="4"/>
      <c r="I4" s="5" t="s">
        <v>28</v>
      </c>
      <c r="J4" s="5" t="s">
        <v>26</v>
      </c>
      <c r="K4">
        <v>3</v>
      </c>
    </row>
    <row r="5" spans="1:11" x14ac:dyDescent="0.25">
      <c r="A5" s="4"/>
      <c r="B5" s="4"/>
      <c r="C5" s="4"/>
      <c r="D5" s="4"/>
      <c r="E5" s="4"/>
      <c r="F5" s="4"/>
      <c r="G5" s="4"/>
      <c r="H5" s="4"/>
      <c r="I5" s="5" t="s">
        <v>29</v>
      </c>
      <c r="J5" s="5" t="s">
        <v>26</v>
      </c>
      <c r="K5">
        <v>4</v>
      </c>
    </row>
    <row r="6" spans="1:11" x14ac:dyDescent="0.25">
      <c r="A6" s="4"/>
      <c r="B6" s="4"/>
      <c r="C6" s="4"/>
      <c r="D6" s="4"/>
      <c r="E6" s="4"/>
      <c r="F6" s="4"/>
      <c r="G6" s="4"/>
      <c r="H6" s="4"/>
      <c r="I6" s="5" t="s">
        <v>30</v>
      </c>
      <c r="J6" s="5" t="s">
        <v>26</v>
      </c>
      <c r="K6">
        <v>5</v>
      </c>
    </row>
    <row r="7" spans="1:11" x14ac:dyDescent="0.25">
      <c r="A7" s="4"/>
      <c r="B7" s="4"/>
      <c r="C7" s="4"/>
      <c r="D7" s="4"/>
      <c r="E7" s="4"/>
      <c r="F7" s="4"/>
      <c r="G7" s="4"/>
      <c r="H7" s="4"/>
      <c r="I7" s="5" t="s">
        <v>32</v>
      </c>
      <c r="J7" s="5" t="s">
        <v>26</v>
      </c>
      <c r="K7">
        <v>6</v>
      </c>
    </row>
    <row r="8" spans="1:11" x14ac:dyDescent="0.25">
      <c r="A8" s="4"/>
      <c r="B8" s="4"/>
      <c r="C8" s="4"/>
      <c r="D8" s="4"/>
      <c r="E8" s="4"/>
      <c r="F8" s="4"/>
      <c r="G8" s="4"/>
      <c r="H8" s="4"/>
      <c r="I8" s="5" t="s">
        <v>33</v>
      </c>
      <c r="J8" s="5" t="s">
        <v>26</v>
      </c>
      <c r="K8">
        <v>7</v>
      </c>
    </row>
    <row r="9" spans="1:11" x14ac:dyDescent="0.25">
      <c r="A9" s="4"/>
      <c r="B9" s="4"/>
      <c r="C9" s="4"/>
      <c r="D9" s="4"/>
      <c r="E9" s="4"/>
      <c r="F9" s="4"/>
      <c r="G9" s="4"/>
      <c r="H9" s="4"/>
      <c r="I9" s="5" t="s">
        <v>34</v>
      </c>
      <c r="J9" s="5" t="s">
        <v>26</v>
      </c>
      <c r="K9">
        <v>8</v>
      </c>
    </row>
    <row r="10" spans="1:11" x14ac:dyDescent="0.25">
      <c r="A10" s="4"/>
      <c r="B10" s="4"/>
      <c r="C10" s="4"/>
      <c r="D10" s="4"/>
      <c r="E10" s="4"/>
      <c r="F10" s="4"/>
      <c r="G10" s="4"/>
      <c r="H10" s="4"/>
      <c r="I10" s="5" t="s">
        <v>35</v>
      </c>
      <c r="J10" s="5" t="s">
        <v>26</v>
      </c>
      <c r="K10">
        <v>9</v>
      </c>
    </row>
    <row r="11" spans="1:11" x14ac:dyDescent="0.25">
      <c r="A11" s="4"/>
      <c r="B11" s="4"/>
      <c r="C11" s="4"/>
      <c r="D11" s="4"/>
      <c r="E11" s="4"/>
      <c r="F11" s="4"/>
      <c r="G11" s="4"/>
      <c r="H11" s="4"/>
      <c r="I11" s="5" t="s">
        <v>36</v>
      </c>
      <c r="J11" s="5" t="s">
        <v>31</v>
      </c>
      <c r="K11">
        <v>10</v>
      </c>
    </row>
    <row r="14" spans="1:11" x14ac:dyDescent="0.25">
      <c r="A14" t="s">
        <v>40</v>
      </c>
      <c r="B14" t="s">
        <v>41</v>
      </c>
      <c r="C14" t="s">
        <v>62</v>
      </c>
    </row>
    <row r="15" spans="1:11" x14ac:dyDescent="0.25">
      <c r="A15" t="s">
        <v>42</v>
      </c>
      <c r="B15" s="9">
        <f>Payment!F13+Payment!E13-Payment!C13</f>
        <v>0</v>
      </c>
    </row>
    <row r="16" spans="1:11" x14ac:dyDescent="0.25">
      <c r="A16" t="s">
        <v>47</v>
      </c>
      <c r="B16" s="9">
        <f>SUM(Payment!L4:$L$12)</f>
        <v>0</v>
      </c>
    </row>
    <row r="17" spans="1:3" x14ac:dyDescent="0.25">
      <c r="A17" t="s">
        <v>46</v>
      </c>
      <c r="B17">
        <f>Payment!D13*INDEX($I$2:$K$11,MATCH($B$2,$I$2:$I$11,0),3)-Payment!E13</f>
        <v>0</v>
      </c>
      <c r="C17" t="s">
        <v>49</v>
      </c>
    </row>
    <row r="18" spans="1:3" x14ac:dyDescent="0.25">
      <c r="A18" t="s">
        <v>61</v>
      </c>
      <c r="B18" s="9">
        <f>C18-Payment!C13</f>
        <v>0</v>
      </c>
      <c r="C18" s="9">
        <v>241465645</v>
      </c>
    </row>
  </sheetData>
  <dataValidations count="1">
    <dataValidation type="list" allowBlank="1" showInputMessage="1" showErrorMessage="1" sqref="B2" xr:uid="{00000000-0002-0000-0100-000000000000}">
      <formula1>$I$2:$I$11</formula1>
    </dataValidation>
  </dataValidation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L14"/>
  <sheetViews>
    <sheetView tabSelected="1" workbookViewId="0">
      <selection sqref="A1:F1"/>
    </sheetView>
  </sheetViews>
  <sheetFormatPr defaultRowHeight="12.75" x14ac:dyDescent="0.2"/>
  <cols>
    <col min="1" max="1" width="4.42578125" style="2" customWidth="1"/>
    <col min="2" max="2" width="26.7109375" style="2" bestFit="1" customWidth="1"/>
    <col min="3" max="3" width="13.7109375" style="2" bestFit="1" customWidth="1"/>
    <col min="4" max="4" width="12.42578125" style="2" bestFit="1" customWidth="1"/>
    <col min="5" max="5" width="14.85546875" style="2" bestFit="1" customWidth="1"/>
    <col min="6" max="6" width="13.7109375" style="2" bestFit="1" customWidth="1"/>
    <col min="7" max="8" width="9.140625" style="2" customWidth="1"/>
    <col min="9" max="9" width="9.140625" style="2" hidden="1" customWidth="1"/>
    <col min="10" max="10" width="9.140625" style="3" hidden="1" customWidth="1"/>
    <col min="11" max="12" width="9.140625" style="2" hidden="1" customWidth="1"/>
    <col min="13" max="13" width="9.140625" style="2" customWidth="1"/>
    <col min="14" max="16384" width="9.140625" style="2"/>
  </cols>
  <sheetData>
    <row r="1" spans="1:12" ht="15" x14ac:dyDescent="0.2">
      <c r="A1" s="19" t="str">
        <f>CONCATENATE("FY ",Notes!$B$1," AEA State Aid Payments")</f>
        <v>FY 2023 AEA State Aid Payments</v>
      </c>
      <c r="B1" s="20"/>
      <c r="C1" s="20"/>
      <c r="D1" s="20"/>
      <c r="E1" s="20"/>
      <c r="F1" s="20"/>
    </row>
    <row r="2" spans="1:12" ht="25.5" x14ac:dyDescent="0.2">
      <c r="A2" s="10"/>
      <c r="B2" s="11"/>
      <c r="C2" s="12" t="s">
        <v>38</v>
      </c>
      <c r="D2" s="12" t="str">
        <f>CONCATENATE(Notes!$B$2," 
Payment")</f>
        <v>April 
Payment</v>
      </c>
      <c r="E2" s="12" t="str">
        <f>CONCATENATE("Paid Through 
",Notes!$B$2)</f>
        <v>Paid Through 
April</v>
      </c>
      <c r="F2" s="12" t="s">
        <v>39</v>
      </c>
      <c r="I2" s="2" t="s">
        <v>45</v>
      </c>
      <c r="L2" s="8" t="s">
        <v>43</v>
      </c>
    </row>
    <row r="3" spans="1:12" hidden="1" x14ac:dyDescent="0.2">
      <c r="A3" s="13"/>
      <c r="B3" s="14" t="str">
        <f>Data[[#Headers],[AEA Name]]</f>
        <v>AEA Name</v>
      </c>
      <c r="C3" s="14" t="str">
        <f>Data[[#Headers],[Original Budget]]</f>
        <v>Original Budget</v>
      </c>
      <c r="D3" s="15" t="str">
        <f>Notes!B3</f>
        <v>Pay1 - Sept - May</v>
      </c>
      <c r="E3" s="15" t="str">
        <f>CONCATENATE("Paid Thru ",Notes!$B$2)</f>
        <v>Paid Thru April</v>
      </c>
      <c r="F3" s="15"/>
      <c r="K3" s="2" t="s">
        <v>44</v>
      </c>
    </row>
    <row r="4" spans="1:12" x14ac:dyDescent="0.2">
      <c r="A4" s="16" t="str">
        <f>Data!A2</f>
        <v>01</v>
      </c>
      <c r="B4" s="11" t="str">
        <f>INDEX(Data[],MATCH($A4,Data[AEA],0),MATCH(B$3,Data[#Headers],0))</f>
        <v>Keystone AEA 1</v>
      </c>
      <c r="C4" s="17">
        <f>INDEX(Data[],MATCH($A4,Data[AEA],0),MATCH(C$3,Data[#Headers],0))</f>
        <v>14489650</v>
      </c>
      <c r="D4" s="17">
        <f>INDEX(Data[],MATCH($A4,Data[AEA],0),MATCH(D$3,Data[#Headers],0))</f>
        <v>1448965</v>
      </c>
      <c r="E4" s="17">
        <f>INDEX(Data[],MATCH($A4,Data[AEA],0),MATCH(E$3,Data[#Headers],0))</f>
        <v>11591720</v>
      </c>
      <c r="F4" s="17">
        <f>C4-E4</f>
        <v>2897930</v>
      </c>
      <c r="I4" s="2" t="s">
        <v>63</v>
      </c>
      <c r="J4" s="3">
        <v>1448965</v>
      </c>
      <c r="K4" s="2" t="str">
        <f>MID(I4,3,2)</f>
        <v>01</v>
      </c>
      <c r="L4" s="3">
        <f>INDEX($A$4:$F$12,MATCH(K4,$A$4:$A$12,0),4)-J4</f>
        <v>0</v>
      </c>
    </row>
    <row r="5" spans="1:12" x14ac:dyDescent="0.2">
      <c r="A5" s="16" t="str">
        <f>Data!A3</f>
        <v>05</v>
      </c>
      <c r="B5" s="11" t="str">
        <f>INDEX(Data[],MATCH($A5,Data[AEA],0),MATCH(B$3,Data[#Headers],0))</f>
        <v>Prairie Lakes AEA 8</v>
      </c>
      <c r="C5" s="17">
        <f>INDEX(Data[],MATCH($A5,Data[AEA],0),MATCH(C$3,Data[#Headers],0))</f>
        <v>15137338</v>
      </c>
      <c r="D5" s="17">
        <f>INDEX(Data[],MATCH($A5,Data[AEA],0),MATCH(D$3,Data[#Headers],0))</f>
        <v>1513738</v>
      </c>
      <c r="E5" s="17">
        <f>INDEX(Data[],MATCH($A5,Data[AEA],0),MATCH(E$3,Data[#Headers],0))</f>
        <v>12109904</v>
      </c>
      <c r="F5" s="17">
        <f t="shared" ref="F5:F12" si="0">C5-E5</f>
        <v>3027434</v>
      </c>
      <c r="I5" s="2" t="s">
        <v>64</v>
      </c>
      <c r="J5" s="3">
        <v>1513738</v>
      </c>
      <c r="K5" s="2" t="str">
        <f t="shared" ref="K5:K12" si="1">MID(I5,3,2)</f>
        <v>05</v>
      </c>
      <c r="L5" s="3">
        <f t="shared" ref="L5:L12" si="2">INDEX($A$4:$F$12,MATCH(K5,$A$4:$A$12,0),4)-J5</f>
        <v>0</v>
      </c>
    </row>
    <row r="6" spans="1:12" x14ac:dyDescent="0.2">
      <c r="A6" s="16" t="str">
        <f>Data!A4</f>
        <v>07</v>
      </c>
      <c r="B6" s="11" t="str">
        <f>INDEX(Data[],MATCH($A6,Data[AEA],0),MATCH(B$3,Data[#Headers],0))</f>
        <v>Central Rivers</v>
      </c>
      <c r="C6" s="17">
        <f>INDEX(Data[],MATCH($A6,Data[AEA],0),MATCH(C$3,Data[#Headers],0))</f>
        <v>31415256</v>
      </c>
      <c r="D6" s="17">
        <f>INDEX(Data[],MATCH($A6,Data[AEA],0),MATCH(D$3,Data[#Headers],0))</f>
        <v>3141526</v>
      </c>
      <c r="E6" s="17">
        <f>INDEX(Data[],MATCH($A6,Data[AEA],0),MATCH(E$3,Data[#Headers],0))</f>
        <v>25132208</v>
      </c>
      <c r="F6" s="17">
        <f t="shared" si="0"/>
        <v>6283048</v>
      </c>
      <c r="I6" s="2" t="s">
        <v>65</v>
      </c>
      <c r="J6" s="3">
        <v>3141526</v>
      </c>
      <c r="K6" s="2" t="str">
        <f t="shared" si="1"/>
        <v>07</v>
      </c>
      <c r="L6" s="3">
        <f t="shared" si="2"/>
        <v>0</v>
      </c>
    </row>
    <row r="7" spans="1:12" x14ac:dyDescent="0.2">
      <c r="A7" s="16" t="str">
        <f>Data!A5</f>
        <v>09</v>
      </c>
      <c r="B7" s="11" t="str">
        <f>INDEX(Data[],MATCH($A7,Data[AEA],0),MATCH(B$3,Data[#Headers],0))</f>
        <v>Mississippi Bend AEA 9</v>
      </c>
      <c r="C7" s="17">
        <f>INDEX(Data[],MATCH($A7,Data[AEA],0),MATCH(C$3,Data[#Headers],0))</f>
        <v>22516116</v>
      </c>
      <c r="D7" s="17">
        <f>INDEX(Data[],MATCH($A7,Data[AEA],0),MATCH(D$3,Data[#Headers],0))</f>
        <v>2251614</v>
      </c>
      <c r="E7" s="17">
        <f>INDEX(Data[],MATCH($A7,Data[AEA],0),MATCH(E$3,Data[#Headers],0))</f>
        <v>18012912</v>
      </c>
      <c r="F7" s="17">
        <f t="shared" si="0"/>
        <v>4503204</v>
      </c>
      <c r="I7" s="2" t="s">
        <v>66</v>
      </c>
      <c r="J7" s="3">
        <v>2251614</v>
      </c>
      <c r="K7" s="2" t="str">
        <f t="shared" si="1"/>
        <v>09</v>
      </c>
      <c r="L7" s="3">
        <f t="shared" si="2"/>
        <v>0</v>
      </c>
    </row>
    <row r="8" spans="1:12" x14ac:dyDescent="0.2">
      <c r="A8" s="16" t="str">
        <f>Data!A6</f>
        <v>10</v>
      </c>
      <c r="B8" s="11" t="str">
        <f>INDEX(Data[],MATCH($A8,Data[AEA],0),MATCH(B$3,Data[#Headers],0))</f>
        <v>Grant Wood AEA 10</v>
      </c>
      <c r="C8" s="17">
        <f>INDEX(Data[],MATCH($A8,Data[AEA],0),MATCH(C$3,Data[#Headers],0))</f>
        <v>34041001</v>
      </c>
      <c r="D8" s="17">
        <f>INDEX(Data[],MATCH($A8,Data[AEA],0),MATCH(D$3,Data[#Headers],0))</f>
        <v>3404103</v>
      </c>
      <c r="E8" s="17">
        <f>INDEX(Data[],MATCH($A8,Data[AEA],0),MATCH(E$3,Data[#Headers],0))</f>
        <v>27232824</v>
      </c>
      <c r="F8" s="17">
        <f t="shared" si="0"/>
        <v>6808177</v>
      </c>
      <c r="I8" s="2" t="s">
        <v>67</v>
      </c>
      <c r="J8" s="3">
        <v>3404103</v>
      </c>
      <c r="K8" s="2" t="str">
        <f t="shared" si="1"/>
        <v>10</v>
      </c>
      <c r="L8" s="3">
        <f t="shared" si="2"/>
        <v>0</v>
      </c>
    </row>
    <row r="9" spans="1:12" x14ac:dyDescent="0.2">
      <c r="A9" s="16" t="str">
        <f>Data!A7</f>
        <v>11</v>
      </c>
      <c r="B9" s="11" t="str">
        <f>INDEX(Data[],MATCH($A9,Data[AEA],0),MATCH(B$3,Data[#Headers],0))</f>
        <v>Heartland AEA 11</v>
      </c>
      <c r="C9" s="17">
        <f>INDEX(Data[],MATCH($A9,Data[AEA],0),MATCH(C$3,Data[#Headers],0))</f>
        <v>68697058</v>
      </c>
      <c r="D9" s="17">
        <f>INDEX(Data[],MATCH($A9,Data[AEA],0),MATCH(D$3,Data[#Headers],0))</f>
        <v>6869709</v>
      </c>
      <c r="E9" s="17">
        <f>INDEX(Data[],MATCH($A9,Data[AEA],0),MATCH(E$3,Data[#Headers],0))</f>
        <v>54957672</v>
      </c>
      <c r="F9" s="17">
        <f t="shared" si="0"/>
        <v>13739386</v>
      </c>
      <c r="I9" s="2" t="s">
        <v>68</v>
      </c>
      <c r="J9" s="3">
        <v>6869709</v>
      </c>
      <c r="K9" s="2" t="str">
        <f t="shared" si="1"/>
        <v>11</v>
      </c>
      <c r="L9" s="3">
        <f t="shared" si="2"/>
        <v>0</v>
      </c>
    </row>
    <row r="10" spans="1:12" x14ac:dyDescent="0.2">
      <c r="A10" s="16" t="str">
        <f>Data!A8</f>
        <v>12</v>
      </c>
      <c r="B10" s="11" t="str">
        <f>INDEX(Data[],MATCH($A10,Data[AEA],0),MATCH(B$3,Data[#Headers],0))</f>
        <v>Northwest AEA</v>
      </c>
      <c r="C10" s="17">
        <f>INDEX(Data[],MATCH($A10,Data[AEA],0),MATCH(C$3,Data[#Headers],0))</f>
        <v>20659632</v>
      </c>
      <c r="D10" s="17">
        <f>INDEX(Data[],MATCH($A10,Data[AEA],0),MATCH(D$3,Data[#Headers],0))</f>
        <v>2065965</v>
      </c>
      <c r="E10" s="17">
        <f>INDEX(Data[],MATCH($A10,Data[AEA],0),MATCH(E$3,Data[#Headers],0))</f>
        <v>16527720</v>
      </c>
      <c r="F10" s="17">
        <f t="shared" si="0"/>
        <v>4131912</v>
      </c>
      <c r="I10" s="2" t="s">
        <v>69</v>
      </c>
      <c r="J10" s="3">
        <v>2065965</v>
      </c>
      <c r="K10" s="2" t="str">
        <f t="shared" si="1"/>
        <v>12</v>
      </c>
      <c r="L10" s="3">
        <f t="shared" si="2"/>
        <v>0</v>
      </c>
    </row>
    <row r="11" spans="1:12" x14ac:dyDescent="0.2">
      <c r="A11" s="16" t="str">
        <f>Data!A9</f>
        <v>13</v>
      </c>
      <c r="B11" s="11" t="str">
        <f>INDEX(Data[],MATCH($A11,Data[AEA],0),MATCH(B$3,Data[#Headers],0))</f>
        <v>Green Hills AEA 13</v>
      </c>
      <c r="C11" s="17">
        <f>INDEX(Data[],MATCH($A11,Data[AEA],0),MATCH(C$3,Data[#Headers],0))</f>
        <v>18137855</v>
      </c>
      <c r="D11" s="17">
        <f>INDEX(Data[],MATCH($A11,Data[AEA],0),MATCH(D$3,Data[#Headers],0))</f>
        <v>1813787</v>
      </c>
      <c r="E11" s="17">
        <f>INDEX(Data[],MATCH($A11,Data[AEA],0),MATCH(E$3,Data[#Headers],0))</f>
        <v>14510296</v>
      </c>
      <c r="F11" s="17">
        <f t="shared" si="0"/>
        <v>3627559</v>
      </c>
      <c r="I11" s="2" t="s">
        <v>70</v>
      </c>
      <c r="J11" s="3">
        <v>1813787</v>
      </c>
      <c r="K11" s="2" t="str">
        <f t="shared" si="1"/>
        <v>13</v>
      </c>
      <c r="L11" s="3">
        <f t="shared" si="2"/>
        <v>0</v>
      </c>
    </row>
    <row r="12" spans="1:12" x14ac:dyDescent="0.2">
      <c r="A12" s="16" t="str">
        <f>Data!A10</f>
        <v>15</v>
      </c>
      <c r="B12" s="11" t="str">
        <f>INDEX(Data[],MATCH($A12,Data[AEA],0),MATCH(B$3,Data[#Headers],0))</f>
        <v>Great Prairie AEA 15</v>
      </c>
      <c r="C12" s="17">
        <f>INDEX(Data[],MATCH($A12,Data[AEA],0),MATCH(C$3,Data[#Headers],0))</f>
        <v>16371739</v>
      </c>
      <c r="D12" s="17">
        <f>INDEX(Data[],MATCH($A12,Data[AEA],0),MATCH(D$3,Data[#Headers],0))</f>
        <v>1637174</v>
      </c>
      <c r="E12" s="17">
        <f>INDEX(Data[],MATCH($A12,Data[AEA],0),MATCH(E$3,Data[#Headers],0))</f>
        <v>13097392</v>
      </c>
      <c r="F12" s="17">
        <f t="shared" si="0"/>
        <v>3274347</v>
      </c>
      <c r="I12" s="2" t="s">
        <v>71</v>
      </c>
      <c r="J12" s="3">
        <v>1637174</v>
      </c>
      <c r="K12" s="2" t="str">
        <f t="shared" si="1"/>
        <v>15</v>
      </c>
      <c r="L12" s="3">
        <f t="shared" si="2"/>
        <v>0</v>
      </c>
    </row>
    <row r="13" spans="1:12" ht="13.5" thickBot="1" x14ac:dyDescent="0.25">
      <c r="A13" s="11"/>
      <c r="B13" s="11"/>
      <c r="C13" s="18">
        <f>SUM(C4:C12)</f>
        <v>241465645</v>
      </c>
      <c r="D13" s="18">
        <f t="shared" ref="D13:F13" si="3">SUM(D4:D12)</f>
        <v>24146581</v>
      </c>
      <c r="E13" s="18">
        <f t="shared" si="3"/>
        <v>193172648</v>
      </c>
      <c r="F13" s="18">
        <f t="shared" si="3"/>
        <v>48292997</v>
      </c>
      <c r="J13" s="3">
        <f>SUM(J4:J12)</f>
        <v>24146581</v>
      </c>
    </row>
    <row r="14" spans="1:12" ht="13.5" thickTop="1" x14ac:dyDescent="0.2"/>
  </sheetData>
  <sheetProtection sheet="1" objects="1" scenarios="1"/>
  <mergeCells count="1">
    <mergeCell ref="A1:F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vt:lpstr>
      <vt:lpstr>Notes</vt:lpstr>
      <vt:lpstr>Payment</vt:lpstr>
    </vt:vector>
  </TitlesOfParts>
  <Company>State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Management</dc:creator>
  <cp:lastModifiedBy>Parker, John [IDOM]</cp:lastModifiedBy>
  <cp:lastPrinted>2017-09-07T15:50:55Z</cp:lastPrinted>
  <dcterms:created xsi:type="dcterms:W3CDTF">2017-09-06T19:30:28Z</dcterms:created>
  <dcterms:modified xsi:type="dcterms:W3CDTF">2022-09-08T14:58:21Z</dcterms:modified>
</cp:coreProperties>
</file>